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dump August Miraroad\"/>
    </mc:Choice>
  </mc:AlternateContent>
  <xr:revisionPtr revIDLastSave="0" documentId="13_ncr:1_{BB46E414-B588-469E-8B88-4863319285C5}"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 l="1"/>
  <c r="I254" i="1" l="1"/>
  <c r="I208" i="1"/>
  <c r="I199" i="1"/>
  <c r="I192" i="1"/>
  <c r="J192" i="1"/>
  <c r="I193" i="1"/>
  <c r="J193" i="1"/>
  <c r="I194" i="1"/>
  <c r="I197" i="1"/>
  <c r="I198" i="1"/>
  <c r="I196" i="1"/>
  <c r="I195" i="1"/>
  <c r="P72" i="1"/>
  <c r="E265" i="1" l="1"/>
  <c r="D265" i="1"/>
  <c r="E264" i="1"/>
  <c r="D264" i="1"/>
  <c r="E270" i="1"/>
  <c r="D270" i="1"/>
  <c r="E269" i="1"/>
  <c r="D269" i="1"/>
  <c r="E268" i="1"/>
  <c r="D268" i="1"/>
  <c r="E267" i="1"/>
  <c r="D267" i="1"/>
  <c r="E266" i="1"/>
  <c r="D266" i="1"/>
  <c r="G243" i="1"/>
  <c r="G242" i="1"/>
  <c r="G241" i="1"/>
  <c r="G240" i="1"/>
  <c r="G239" i="1"/>
  <c r="G238" i="1"/>
  <c r="G237" i="1"/>
  <c r="G236" i="1"/>
  <c r="E261" i="1"/>
  <c r="D261" i="1"/>
  <c r="F261" i="1" s="1"/>
  <c r="H261" i="1" s="1"/>
  <c r="E260" i="1"/>
  <c r="D260" i="1"/>
  <c r="E259" i="1"/>
  <c r="D259" i="1"/>
  <c r="E258" i="1"/>
  <c r="D258" i="1"/>
  <c r="F258" i="1" s="1"/>
  <c r="H258" i="1" s="1"/>
  <c r="E257" i="1"/>
  <c r="D257" i="1"/>
  <c r="F257" i="1" s="1"/>
  <c r="H257" i="1" s="1"/>
  <c r="E256" i="1"/>
  <c r="D256" i="1"/>
  <c r="E255" i="1"/>
  <c r="D255" i="1"/>
  <c r="E254" i="1"/>
  <c r="D254" i="1"/>
  <c r="F254" i="1" s="1"/>
  <c r="H254" i="1" s="1"/>
  <c r="D243" i="1"/>
  <c r="D242" i="1"/>
  <c r="D241" i="1"/>
  <c r="D240" i="1"/>
  <c r="D239" i="1"/>
  <c r="D238" i="1"/>
  <c r="D237" i="1"/>
  <c r="D236" i="1"/>
  <c r="D249" i="1"/>
  <c r="F249" i="1" s="1"/>
  <c r="H249" i="1" s="1"/>
  <c r="D248" i="1"/>
  <c r="F248" i="1" s="1"/>
  <c r="H248" i="1" s="1"/>
  <c r="A246" i="1"/>
  <c r="A247" i="1" s="1"/>
  <c r="A248" i="1" s="1"/>
  <c r="A249" i="1" s="1"/>
  <c r="A250" i="1" s="1"/>
  <c r="A251" i="1" s="1"/>
  <c r="A252" i="1" s="1"/>
  <c r="A255" i="1"/>
  <c r="A256" i="1" s="1"/>
  <c r="A257" i="1" s="1"/>
  <c r="A258" i="1" s="1"/>
  <c r="A259" i="1" s="1"/>
  <c r="A260" i="1" s="1"/>
  <c r="A261" i="1" s="1"/>
  <c r="F259" i="1" l="1"/>
  <c r="H259" i="1" s="1"/>
  <c r="F255" i="1"/>
  <c r="H255" i="1" s="1"/>
  <c r="C143" i="1"/>
  <c r="F256" i="1"/>
  <c r="H256" i="1" s="1"/>
  <c r="F260" i="1"/>
  <c r="H260" i="1" s="1"/>
  <c r="I191" i="1"/>
  <c r="E217" i="1"/>
  <c r="D217" i="1"/>
  <c r="E216" i="1"/>
  <c r="D216" i="1"/>
  <c r="E215" i="1"/>
  <c r="D215" i="1"/>
  <c r="E212" i="1"/>
  <c r="D212" i="1"/>
  <c r="E211" i="1"/>
  <c r="D211" i="1"/>
  <c r="E210" i="1"/>
  <c r="D210" i="1"/>
  <c r="D223" i="1"/>
  <c r="F223" i="1" s="1"/>
  <c r="H223" i="1" s="1"/>
  <c r="D222" i="1"/>
  <c r="F222" i="1" s="1"/>
  <c r="H222" i="1" s="1"/>
  <c r="A220" i="1"/>
  <c r="A221" i="1" s="1"/>
  <c r="A222" i="1" s="1"/>
  <c r="A223" i="1" s="1"/>
  <c r="A224" i="1" s="1"/>
  <c r="A225" i="1" s="1"/>
  <c r="A226" i="1" s="1"/>
  <c r="F243" i="1"/>
  <c r="H243" i="1" s="1"/>
  <c r="F242" i="1"/>
  <c r="H242" i="1" s="1"/>
  <c r="F241" i="1"/>
  <c r="H241" i="1" s="1"/>
  <c r="F240" i="1"/>
  <c r="H240" i="1" s="1"/>
  <c r="F239" i="1"/>
  <c r="H239" i="1" s="1"/>
  <c r="F238" i="1"/>
  <c r="H238" i="1" s="1"/>
  <c r="F237" i="1"/>
  <c r="H237" i="1" s="1"/>
  <c r="A237" i="1"/>
  <c r="A238" i="1" s="1"/>
  <c r="A239" i="1" s="1"/>
  <c r="A240" i="1" s="1"/>
  <c r="A241" i="1" s="1"/>
  <c r="A242" i="1" s="1"/>
  <c r="A243" i="1" s="1"/>
  <c r="F236" i="1"/>
  <c r="E214" i="1"/>
  <c r="D214" i="1"/>
  <c r="E213" i="1"/>
  <c r="D213" i="1"/>
  <c r="E208" i="1"/>
  <c r="E207" i="1"/>
  <c r="E206" i="1"/>
  <c r="E205" i="1"/>
  <c r="E204" i="1"/>
  <c r="E203" i="1"/>
  <c r="E201" i="1"/>
  <c r="E199" i="1"/>
  <c r="E198" i="1"/>
  <c r="E197" i="1"/>
  <c r="E196" i="1"/>
  <c r="E195" i="1"/>
  <c r="E194" i="1"/>
  <c r="E193" i="1"/>
  <c r="E192" i="1"/>
  <c r="H236" i="1" l="1"/>
  <c r="D208" i="1"/>
  <c r="F208" i="1" s="1"/>
  <c r="H208" i="1" s="1"/>
  <c r="D207" i="1"/>
  <c r="F207" i="1" s="1"/>
  <c r="H207" i="1" s="1"/>
  <c r="D206" i="1"/>
  <c r="F206" i="1" s="1"/>
  <c r="H206" i="1" s="1"/>
  <c r="D205" i="1"/>
  <c r="F205" i="1" s="1"/>
  <c r="H205" i="1" s="1"/>
  <c r="D204" i="1"/>
  <c r="F204" i="1" s="1"/>
  <c r="H204" i="1" s="1"/>
  <c r="D203" i="1"/>
  <c r="F203" i="1" s="1"/>
  <c r="H203" i="1" s="1"/>
  <c r="D201" i="1"/>
  <c r="F201" i="1" s="1"/>
  <c r="H201" i="1" s="1"/>
  <c r="D199" i="1"/>
  <c r="F199" i="1" s="1"/>
  <c r="H199" i="1" s="1"/>
  <c r="D198" i="1"/>
  <c r="F198" i="1" s="1"/>
  <c r="H198" i="1" s="1"/>
  <c r="D197" i="1"/>
  <c r="F197" i="1" s="1"/>
  <c r="H197" i="1" s="1"/>
  <c r="D196" i="1"/>
  <c r="F196" i="1" s="1"/>
  <c r="H196" i="1" s="1"/>
  <c r="D195" i="1"/>
  <c r="F195" i="1" s="1"/>
  <c r="H195" i="1" s="1"/>
  <c r="D194" i="1"/>
  <c r="D193" i="1"/>
  <c r="F193" i="1" s="1"/>
  <c r="H193" i="1" s="1"/>
  <c r="D192" i="1"/>
  <c r="F192" i="1" s="1"/>
  <c r="H192" i="1" s="1"/>
  <c r="J196" i="1"/>
  <c r="F217" i="1"/>
  <c r="H217" i="1" s="1"/>
  <c r="F216" i="1"/>
  <c r="H216" i="1" s="1"/>
  <c r="F215" i="1"/>
  <c r="H215" i="1" s="1"/>
  <c r="F214" i="1"/>
  <c r="H214" i="1" s="1"/>
  <c r="F213" i="1"/>
  <c r="H213" i="1" s="1"/>
  <c r="F212" i="1"/>
  <c r="H212" i="1" s="1"/>
  <c r="F211" i="1"/>
  <c r="H211" i="1" s="1"/>
  <c r="A211" i="1"/>
  <c r="A212" i="1" s="1"/>
  <c r="A213" i="1" s="1"/>
  <c r="A214" i="1" s="1"/>
  <c r="A215" i="1" s="1"/>
  <c r="A216" i="1" s="1"/>
  <c r="A217" i="1" s="1"/>
  <c r="F210" i="1"/>
  <c r="H210" i="1" s="1"/>
  <c r="J195" i="1"/>
  <c r="K192" i="1"/>
  <c r="A193" i="1"/>
  <c r="A194" i="1" s="1"/>
  <c r="A195" i="1" s="1"/>
  <c r="A196" i="1" s="1"/>
  <c r="A197" i="1" s="1"/>
  <c r="A198" i="1" s="1"/>
  <c r="A199" i="1" s="1"/>
  <c r="A202" i="1"/>
  <c r="A203" i="1" s="1"/>
  <c r="A204" i="1" s="1"/>
  <c r="A205" i="1" s="1"/>
  <c r="A206" i="1" s="1"/>
  <c r="A207" i="1" s="1"/>
  <c r="A208" i="1" s="1"/>
  <c r="D187" i="1"/>
  <c r="F187" i="1" s="1"/>
  <c r="H187" i="1" s="1"/>
  <c r="D186" i="1"/>
  <c r="F186" i="1" s="1"/>
  <c r="H186" i="1" s="1"/>
  <c r="G181" i="1"/>
  <c r="G180" i="1"/>
  <c r="G179" i="1"/>
  <c r="G178" i="1"/>
  <c r="G177" i="1"/>
  <c r="G176" i="1"/>
  <c r="G175" i="1"/>
  <c r="G174" i="1"/>
  <c r="D181" i="1"/>
  <c r="F181" i="1" s="1"/>
  <c r="H181" i="1" s="1"/>
  <c r="D180" i="1"/>
  <c r="F180" i="1" s="1"/>
  <c r="H180" i="1" s="1"/>
  <c r="D179" i="1"/>
  <c r="D178" i="1"/>
  <c r="F178" i="1" s="1"/>
  <c r="D177" i="1"/>
  <c r="D176" i="1"/>
  <c r="D175" i="1"/>
  <c r="D174" i="1"/>
  <c r="F270" i="1"/>
  <c r="H270" i="1" s="1"/>
  <c r="F269" i="1"/>
  <c r="H269" i="1" s="1"/>
  <c r="F268" i="1"/>
  <c r="H268" i="1" s="1"/>
  <c r="F267" i="1"/>
  <c r="H267" i="1" s="1"/>
  <c r="F266" i="1"/>
  <c r="H266" i="1" s="1"/>
  <c r="F265" i="1"/>
  <c r="H265" i="1" s="1"/>
  <c r="F264" i="1"/>
  <c r="H264" i="1" s="1"/>
  <c r="A264" i="1"/>
  <c r="A265" i="1" s="1"/>
  <c r="A266" i="1" s="1"/>
  <c r="A267" i="1" s="1"/>
  <c r="A268" i="1" s="1"/>
  <c r="A269" i="1" s="1"/>
  <c r="A270" i="1" s="1"/>
  <c r="I177" i="1"/>
  <c r="J177" i="1"/>
  <c r="A184" i="1"/>
  <c r="A185" i="1" s="1"/>
  <c r="A186" i="1" s="1"/>
  <c r="A187" i="1" s="1"/>
  <c r="A188" i="1" s="1"/>
  <c r="A189" i="1" s="1"/>
  <c r="A190" i="1" s="1"/>
  <c r="F179" i="1"/>
  <c r="H179" i="1" s="1"/>
  <c r="E43" i="1"/>
  <c r="I43" i="1"/>
  <c r="I42" i="1"/>
  <c r="C142" i="1" l="1"/>
  <c r="C144" i="1" s="1"/>
  <c r="C145" i="1" s="1"/>
  <c r="E143" i="1"/>
  <c r="G143" i="1"/>
  <c r="H178" i="1"/>
  <c r="F194" i="1"/>
  <c r="H194"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324" i="1"/>
  <c r="B298" i="1"/>
  <c r="B297" i="1"/>
  <c r="F294" i="1"/>
  <c r="H294" i="1" s="1"/>
  <c r="F293" i="1"/>
  <c r="H293" i="1" s="1"/>
  <c r="F292" i="1"/>
  <c r="H292" i="1" s="1"/>
  <c r="F291" i="1"/>
  <c r="H291" i="1" s="1"/>
  <c r="F290" i="1"/>
  <c r="H290" i="1" s="1"/>
  <c r="F288" i="1"/>
  <c r="H288" i="1" s="1"/>
  <c r="F287" i="1"/>
  <c r="H287" i="1" s="1"/>
  <c r="F286" i="1"/>
  <c r="H286" i="1" s="1"/>
  <c r="F285" i="1"/>
  <c r="H285" i="1" s="1"/>
  <c r="F284" i="1"/>
  <c r="H284" i="1" s="1"/>
  <c r="F282" i="1"/>
  <c r="H282" i="1" s="1"/>
  <c r="F281" i="1"/>
  <c r="H281" i="1" s="1"/>
  <c r="F280" i="1"/>
  <c r="H280" i="1" s="1"/>
  <c r="F279" i="1"/>
  <c r="H279" i="1" s="1"/>
  <c r="F278" i="1"/>
  <c r="H278" i="1" s="1"/>
  <c r="F276" i="1"/>
  <c r="H276" i="1" s="1"/>
  <c r="F275" i="1"/>
  <c r="H275" i="1" s="1"/>
  <c r="F274" i="1"/>
  <c r="H274" i="1" s="1"/>
  <c r="F273" i="1"/>
  <c r="H273" i="1" s="1"/>
  <c r="F272" i="1"/>
  <c r="H272" i="1" s="1"/>
  <c r="A272" i="1"/>
  <c r="A273" i="1" s="1"/>
  <c r="A274" i="1" s="1"/>
  <c r="A275" i="1" s="1"/>
  <c r="A276" i="1" s="1"/>
  <c r="F177" i="1"/>
  <c r="H177" i="1" s="1"/>
  <c r="F176" i="1"/>
  <c r="H176" i="1" s="1"/>
  <c r="F175" i="1"/>
  <c r="H175" i="1" s="1"/>
  <c r="A175" i="1"/>
  <c r="A176" i="1" s="1"/>
  <c r="A177" i="1" s="1"/>
  <c r="A178" i="1" s="1"/>
  <c r="A179" i="1" s="1"/>
  <c r="A180" i="1" s="1"/>
  <c r="A181" i="1" s="1"/>
  <c r="F174" i="1"/>
  <c r="H174" i="1" s="1"/>
  <c r="F154" i="1"/>
  <c r="H154" i="1" s="1"/>
  <c r="F153" i="1"/>
  <c r="H153" i="1" s="1"/>
  <c r="F152" i="1"/>
  <c r="H152" i="1" s="1"/>
  <c r="A152" i="1"/>
  <c r="A153" i="1" s="1"/>
  <c r="A154" i="1" s="1"/>
  <c r="F151" i="1"/>
  <c r="H151" i="1" s="1"/>
  <c r="F134" i="1"/>
  <c r="C107" i="1"/>
  <c r="J116" i="1" s="1"/>
  <c r="C93" i="1"/>
  <c r="C79" i="1"/>
  <c r="D73" i="1"/>
  <c r="D66" i="1"/>
  <c r="K53" i="1"/>
  <c r="G51" i="1"/>
  <c r="C51" i="1"/>
  <c r="E44" i="1"/>
  <c r="E45" i="1" s="1"/>
  <c r="S33" i="1"/>
  <c r="E31" i="1"/>
  <c r="E28" i="1"/>
  <c r="E26" i="1"/>
  <c r="C16" i="1"/>
  <c r="I15" i="1"/>
  <c r="Z13" i="1"/>
  <c r="E8" i="1"/>
  <c r="E3" i="1"/>
  <c r="B309" i="1" s="1"/>
  <c r="H108" i="1"/>
  <c r="A278" i="1"/>
  <c r="A290" i="1"/>
  <c r="H94" i="1"/>
  <c r="A284" i="1"/>
  <c r="I42" i="7" l="1"/>
  <c r="H42" i="7" s="1"/>
  <c r="L42" i="7"/>
  <c r="K42" i="7" s="1"/>
  <c r="E42" i="7"/>
  <c r="E142" i="1"/>
  <c r="E144" i="1" s="1"/>
  <c r="E145" i="1" s="1"/>
  <c r="G142" i="1"/>
  <c r="G144" i="1" s="1"/>
  <c r="G145" i="1" s="1"/>
  <c r="J87" i="1"/>
  <c r="J88" i="1"/>
  <c r="J93" i="1"/>
  <c r="J95" i="1" s="1"/>
  <c r="D102" i="1"/>
  <c r="D101" i="1"/>
  <c r="D106" i="1"/>
  <c r="D100" i="1"/>
  <c r="J96" i="1"/>
  <c r="D105" i="1"/>
  <c r="J98" i="1"/>
  <c r="D99" i="1"/>
  <c r="D104" i="1"/>
  <c r="J97" i="1"/>
  <c r="D103" i="1"/>
  <c r="D117" i="1"/>
  <c r="J111" i="1"/>
  <c r="J107" i="1"/>
  <c r="J109" i="1" s="1"/>
  <c r="J110" i="1"/>
  <c r="D115" i="1"/>
  <c r="D120" i="1"/>
  <c r="D114" i="1"/>
  <c r="D119" i="1"/>
  <c r="D113" i="1"/>
  <c r="D116" i="1"/>
  <c r="J112" i="1"/>
  <c r="C111" i="1" s="1"/>
  <c r="D118" i="1"/>
  <c r="E44" i="7"/>
  <c r="D42" i="7"/>
  <c r="D44" i="7" s="1"/>
  <c r="L53" i="1"/>
  <c r="J89" i="1"/>
  <c r="J118" i="1"/>
  <c r="J90" i="1"/>
  <c r="J113" i="1"/>
  <c r="I52" i="1"/>
  <c r="J117" i="1"/>
  <c r="J115" i="1"/>
  <c r="A291" i="1"/>
  <c r="A285" i="1"/>
  <c r="H80" i="1"/>
  <c r="A279" i="1"/>
  <c r="C97" i="1" l="1"/>
  <c r="C98" i="1"/>
  <c r="D91" i="1"/>
  <c r="D85" i="1"/>
  <c r="J84" i="1"/>
  <c r="C83" i="1" s="1"/>
  <c r="D88" i="1"/>
  <c r="J82" i="1"/>
  <c r="D89" i="1"/>
  <c r="J85" i="1"/>
  <c r="J86" i="1" s="1"/>
  <c r="J91" i="1" s="1"/>
  <c r="D92" i="1"/>
  <c r="D90" i="1"/>
  <c r="D86" i="1"/>
  <c r="D87" i="1"/>
  <c r="J83" i="1"/>
  <c r="J79" i="1"/>
  <c r="J81" i="1" s="1"/>
  <c r="J114" i="1"/>
  <c r="J119" i="1" s="1"/>
  <c r="D111" i="1"/>
  <c r="J102" i="1"/>
  <c r="J99" i="1"/>
  <c r="J104" i="1"/>
  <c r="J101" i="1"/>
  <c r="J103" i="1"/>
  <c r="A286" i="1"/>
  <c r="A280" i="1"/>
  <c r="A292" i="1"/>
  <c r="J92" i="1" l="1"/>
  <c r="C84" i="1"/>
  <c r="D84" i="1" s="1"/>
  <c r="J120" i="1"/>
  <c r="C112" i="1" s="1"/>
  <c r="G111" i="1" s="1"/>
  <c r="D83" i="1"/>
  <c r="J100" i="1"/>
  <c r="J105" i="1" s="1"/>
  <c r="J106" i="1" s="1"/>
  <c r="D97" i="1"/>
  <c r="E97" i="1"/>
  <c r="D98" i="1"/>
  <c r="A287" i="1"/>
  <c r="A281" i="1"/>
  <c r="A293" i="1"/>
  <c r="G83" i="1" l="1"/>
  <c r="D77" i="1" s="1"/>
  <c r="F78" i="1" s="1"/>
  <c r="J108" i="1"/>
  <c r="E83" i="1"/>
  <c r="E111" i="1"/>
  <c r="D112" i="1"/>
  <c r="I108" i="1" s="1"/>
  <c r="I109" i="1" s="1"/>
  <c r="I80" i="1"/>
  <c r="I81" i="1" s="1"/>
  <c r="J80" i="1"/>
  <c r="I94" i="1"/>
  <c r="I95" i="1" s="1"/>
  <c r="G97" i="1"/>
  <c r="J94" i="1"/>
  <c r="A288" i="1"/>
  <c r="A294" i="1"/>
  <c r="A282" i="1"/>
  <c r="I107" i="1" l="1"/>
  <c r="C109" i="1" s="1"/>
  <c r="D78" i="1"/>
  <c r="I79" i="1"/>
  <c r="C81" i="1" s="1"/>
  <c r="I93" i="1"/>
  <c r="C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Floor with height</t>
        </r>
      </text>
    </comment>
    <comment ref="C59" authorId="1" shapeId="0" xr:uid="{00000000-0006-0000-0000-000005000000}">
      <text>
        <r>
          <rPr>
            <b/>
            <sz val="9"/>
            <color indexed="81"/>
            <rFont val="Tahoma"/>
            <family val="2"/>
          </rPr>
          <t>SACHIN:</t>
        </r>
        <r>
          <rPr>
            <sz val="9"/>
            <color indexed="81"/>
            <rFont val="Tahoma"/>
            <family val="2"/>
          </rPr>
          <t xml:space="preserve">
Floor with height</t>
        </r>
      </text>
    </comment>
    <comment ref="C61" authorId="1" shapeId="0" xr:uid="{00000000-0006-0000-0000-000006000000}">
      <text>
        <r>
          <rPr>
            <b/>
            <sz val="9"/>
            <color indexed="81"/>
            <rFont val="Tahoma"/>
            <family val="2"/>
          </rPr>
          <t>SACHIN:</t>
        </r>
        <r>
          <rPr>
            <sz val="9"/>
            <color indexed="81"/>
            <rFont val="Tahoma"/>
            <family val="2"/>
          </rPr>
          <t xml:space="preserve">
Survey Nos.</t>
        </r>
      </text>
    </comment>
    <comment ref="C63" authorId="1" shapeId="0" xr:uid="{00000000-0006-0000-0000-000007000000}">
      <text>
        <r>
          <rPr>
            <b/>
            <sz val="9"/>
            <color indexed="81"/>
            <rFont val="Tahoma"/>
            <family val="2"/>
          </rPr>
          <t>SACHIN:</t>
        </r>
        <r>
          <rPr>
            <sz val="9"/>
            <color indexed="81"/>
            <rFont val="Tahoma"/>
            <family val="2"/>
          </rPr>
          <t xml:space="preserve">
Height from AMSL</t>
        </r>
      </text>
    </comment>
    <comment ref="D66" authorId="0" shapeId="0" xr:uid="{00000000-0006-0000-0000-000008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6" authorId="1" shapeId="0" xr:uid="{00000000-0006-0000-0000-000009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7" authorId="1" shapeId="0" xr:uid="{00000000-0006-0000-0000-00000A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<sst xmlns="http://schemas.openxmlformats.org/spreadsheetml/2006/main" count="826" uniqueCount="449">
  <si>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</si>
  <si>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</si>
  <si>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</si>
  <si>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</si>
  <si>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</si>
  <si>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</si>
  <si>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</si>
  <si>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</si>
  <si>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</si>
  <si>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</si>
  <si>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</si>
  <si>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</si>
  <si>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</si>
  <si>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</si>
  <si>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</si>
  <si>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</si>
  <si>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</si>
  <si>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</si>
  <si>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</si>
  <si>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</si>
  <si>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</si>
  <si>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</si>
  <si>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</si>
  <si>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</si>
  <si>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</si>
  <si>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</si>
  <si>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</si>
  <si>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</si>
  <si>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</si>
  <si>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</si>
  <si>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</si>
  <si>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</si>
  <si>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</si>
  <si>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</si>
  <si>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</si>
  <si>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</si>
  <si>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</si>
  <si>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</si>
  <si>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</si>
  <si>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</si>
  <si>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</si>
  <si>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</si>
  <si>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</si>
  <si>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</si>
  <si>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</si>
  <si>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</si>
  <si>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</si>
  <si>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</si>
  <si>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</si>
  <si>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</si>
  <si>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</si>
  <si>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</si>
  <si>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</si>
  <si>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</si>
  <si>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</si>
  <si>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</si>
  <si>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</si>
  <si>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</si>
  <si>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</si>
  <si>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</si>
  <si>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</si>
  <si>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</si>
  <si>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</si>
  <si>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</si>
  <si>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</si>
  <si>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</si>
  <si>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</si>
  <si>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</si>
  <si>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</si>
  <si>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</si>
  <si>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</si>
  <si>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</si>
  <si>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</si>
  <si>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</si>
  <si>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</si>
  <si>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</si>
  <si>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</si>
  <si>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</si>
  <si>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</si>
  <si>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</si>
  <si>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</si>
  <si>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</si>
  <si>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</si>
  <si>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</si>
  <si>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</si>
  <si>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</si>
  <si>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</si>
  <si>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</si>
  <si>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</si>
  <si>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</si>
  <si>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</si>
  <si>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</si>
  <si>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</si>
  <si>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</si>
  <si>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</si>
  <si>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</si>
  <si>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</si>
  <si>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</si>
  <si>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</si>
  <si>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</si>
  <si>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</si>
  <si>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</si>
  <si>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</si>
  <si>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</si>
  <si>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</si>
  <si>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</si>
  <si>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</si>
  <si>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</si>
  <si>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</si>
  <si>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</si>
  <si>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</si>
  <si>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</si>
  <si>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</si>
  <si>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</si>
  <si>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</si>
  <si>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</si>
  <si>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</si>
  <si>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</si>
  <si>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</si>
  <si>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</si>
  <si>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</si>
  <si>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</si>
  <si>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</si>
  <si>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</si>
  <si>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</si>
  <si>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</si>
  <si>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</si>
  <si>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</si>
  <si>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</si>
  <si>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</si>
  <si>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</si>
  <si>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</si>
  <si>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</si>
  <si>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</si>
  <si>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</si>
  <si>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</si>
  <si>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</si>
  <si>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</si>
  <si>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</si>
  <si>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</si>
  <si>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</si>
  <si>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</si>
  <si>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</si>
  <si>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</si>
  <si>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</si>
  <si>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</si>
  <si>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</si>
  <si>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</si>
  <si>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</si>
  <si>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</si>
  <si>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</si>
  <si>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</si>
  <si>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</si>
  <si>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</si>
  <si>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</si>
  <si>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</si>
  <si>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</si>
  <si>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</si>
  <si>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</si>
  <si>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</si>
  <si>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</si>
  <si>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</si>
  <si>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</si>
  <si>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</si>
  <si>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</si>
  <si>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</si>
  <si>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</si>
  <si>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</si>
  <si>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</si>
  <si>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</si>
  <si>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</si>
  <si>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</si>
  <si>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</si>
  <si>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</si>
  <si>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</si>
  <si>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</si>
  <si>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</si>
  <si>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</si>
  <si>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</si>
  <si>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</si>
  <si>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</si>
  <si>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</si>
  <si>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</si>
  <si>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</si>
  <si>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</si>
  <si>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</si>
  <si>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</si>
  <si>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</si>
  <si>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</si>
  <si>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</si>
  <si>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</si>
  <si>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</si>
  <si>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</si>
  <si>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</si>
  <si>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</si>
  <si>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</si>
  <si>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</si>
  <si>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</si>
  <si>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</si>
  <si>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</si>
  <si>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</si>
  <si>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</si>
  <si>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</si>
  <si>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</si>
  <si>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</si>
  <si>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</si>
  <si>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</si>
  <si>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</si>
  <si>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</si>
  <si>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</si>
  <si>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</si>
  <si>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</si>
  <si>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</si>
  <si>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</si>
  <si>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</si>
  <si>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</si>
  <si>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</si>
  <si>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</si>
  <si>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</si>
  <si>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</si>
  <si>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</si>
  <si>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</si>
  <si>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</si>
  <si>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</si>
  <si>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</si>
  <si>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</si>
  <si>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</si>
  <si>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</si>
  <si>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</si>
  <si>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</si>
  <si>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</si>
  <si>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</si>
  <si>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</si>
  <si>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</si>
  <si>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</si>
  <si>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</si>
  <si>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</si>
  <si>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</si>
  <si>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</si>
  <si>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</si>
  <si>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</si>
  <si>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</si>
  <si>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</si>
  <si>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</si>
  <si>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</si>
  <si>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</si>
  <si>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</si>
  <si>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</si>
  <si>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</si>
  <si>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</si>
  <si>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</si>
  <si>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</si>
  <si>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</si>
  <si>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</si>
  <si>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</si>
  <si>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</si>
  <si>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</si>
  <si>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</si>
  <si>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</si>
  <si>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</si>
  <si>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</si>
  <si>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</si>
  <si>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</si>
  <si>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</si>
  <si>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</si>
  <si>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</si>
  <si>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</si>
  <si>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</si>
  <si>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</si>
  <si>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</si>
  <si>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</si>
  <si>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</si>
  <si>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</si>
  <si>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</si>
  <si>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</si>
  <si>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</si>
  <si>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</si>
  <si>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</si>
  <si>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</si>
  <si>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</si>
  <si>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</si>
  <si>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</si>
  <si>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</si>
  <si>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</si>
  <si>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</si>
  <si>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</si>
  <si>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</si>
  <si>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</si>
  <si>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</si>
  <si>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</si>
  <si>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</si>
  <si>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</si>
  <si>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</si>
  <si>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</si>
  <si>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</si>
  <si>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</si>
  <si>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</si>
  <si>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</si>
  <si>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</si>
  <si>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</si>
  <si>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</si>
  <si>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</si>
  <si>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</si>
  <si>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</si>
  <si>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</si>
  <si>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</si>
  <si>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</si>
  <si>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</si>
  <si>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</si>
  <si>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</si>
  <si>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</si>
  <si>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</si>
  <si>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</si>
  <si>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</si>
  <si>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</si>
  <si>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</si>
  <si>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</si>
  <si>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</si>
  <si>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</si>
  <si>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</si>
  <si>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</si>
  <si>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</si>
  <si>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</si>
  <si>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</si>
  <si>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</si>
  <si>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</si>
  <si>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</si>
  <si>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</si>
  <si>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</si>
  <si>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</si>
  <si>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</si>
  <si>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</si>
  <si>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</si>
  <si>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</si>
  <si>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</si>
  <si>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</si>
  <si>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</si>
  <si>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</si>
  <si>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</si>
  <si>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</si>
  <si>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</si>
  <si>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</si>
  <si>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</si>
  <si>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</si>
  <si>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</si>
  <si>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</si>
  <si>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</si>
  <si>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</si>
  <si>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</si>
  <si>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</si>
  <si>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</si>
  <si>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</si>
  <si>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</si>
  <si>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</si>
  <si>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</si>
  <si>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</si>
  <si>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PR1331012400078</t>
  </si>
  <si>
    <t>Oberoi Realty Limited</t>
  </si>
  <si>
    <t>OGC Thane Phase 1</t>
  </si>
  <si>
    <t>912266773333/ 9930966354 /912266773334</t>
  </si>
  <si>
    <t>As per RERA - 30/06/2031</t>
  </si>
  <si>
    <t>Tower A, B &amp; C</t>
  </si>
  <si>
    <t>Plot No</t>
  </si>
  <si>
    <t>Pokhran Road No.2</t>
  </si>
  <si>
    <t>Thane West</t>
  </si>
  <si>
    <t>03 Buildings</t>
  </si>
  <si>
    <t>19.219772,72.968126</t>
  </si>
  <si>
    <t>https://maps.app.goo.gl/BCaF2U2Xuo3zWVRb9</t>
  </si>
  <si>
    <t>Panchvati Apartment</t>
  </si>
  <si>
    <t>Vasant Vihar</t>
  </si>
  <si>
    <t>40.00MT Wide Road</t>
  </si>
  <si>
    <t>Other Plot</t>
  </si>
  <si>
    <t>40.00M Wide Pokhran Road No.2</t>
  </si>
  <si>
    <t>Vasant Vihar Row Houses / Hyacinth</t>
  </si>
  <si>
    <t>Panchvati Apartment / Conwood Enclave</t>
  </si>
  <si>
    <t>Gladys Alvares Road</t>
  </si>
  <si>
    <t>TMC/CFO/M/HR/207/244</t>
  </si>
  <si>
    <t>Tower A = B + LG + G + 1st to 67th Floor (Height = 208.10m)</t>
  </si>
  <si>
    <t>Tower A = B + LG + G + 1st to 6th Floor
Tower B = B + LG + G + 1st to 67th Floor
Tower C = B + LG + G + 1st to 65th Floor</t>
  </si>
  <si>
    <t>TMC/CFO/M/HR/208/245</t>
  </si>
  <si>
    <t>Tower B = B + LG + G + 1st to 67th Floor (Height = 208.10m)</t>
  </si>
  <si>
    <t>TMC/CFO/M/HR/209/246</t>
  </si>
  <si>
    <t>Tower C = B+ LG +  G + 1st to 67th Floor (Height = 208.10m)</t>
  </si>
  <si>
    <t xml:space="preserve">SIA/MH/INFRA2/441330/2023 </t>
  </si>
  <si>
    <t>SNCR/WEST/B/051123/76835</t>
  </si>
  <si>
    <t>Site Elevation = 29.52m
Permissible Top Elevation = 341.72m</t>
  </si>
  <si>
    <t xml:space="preserve">S No.172/1, 175, 176/1, 176/5, 176/6, 176/7, 177, 178, 179, 180/1, 181/2, 182/B, 283C/7, 283C/8, 362/1, 362/2, 401, Majiwade &amp; S No.124, 125, 126A/1, 128A, 504/1, 504/2, 505/1, Pachpakhadi
Plot A - 48805 Sq.mt
Tower A to E = 3B + Stilt + 5P + 6th to 73rd Floor
Tower F = 3B + Stilt + 1st to 30th Floor </t>
  </si>
  <si>
    <t>Majiwada</t>
  </si>
  <si>
    <t>Tower A = B + LG + G + 5P + 6th Floor
Tower B = B + LG + G + 5P +  6th to 67th Floor
Tower C = B + LG + G + 5P + 6th to 65th Floor</t>
  </si>
  <si>
    <t>Tower A = B + LG + G + 5P +  6th to 67th Floor</t>
  </si>
  <si>
    <t>Tower C = B + LG + G + 5P +  6th to 67th Floor</t>
  </si>
  <si>
    <t>Basketball Court, Swimming Pool, Gymnasium, Jogging Track, Tennis Court, Billiards Table</t>
  </si>
  <si>
    <r>
      <t xml:space="preserve">Proposed Amenities :                                                                                                                                                                                                                         </t>
    </r>
    <r>
      <rPr>
        <b/>
        <sz val="12"/>
        <color theme="1"/>
        <rFont val="Times New Roman"/>
        <family val="1"/>
      </rPr>
      <t xml:space="preserve">                                               </t>
    </r>
  </si>
  <si>
    <t>https://www.oberoigardencity.site/new-launch/search/index.html?gad_source=1&amp;gclid=CjwKCAjwpbi4BhByEiwAMC8JnT7NSVwly5WRIm4VrvPzdcBtLdlucC4vgR93mod_vtI5W3ev9HBfOhoCiH8QAvD_BwE#amenities</t>
  </si>
  <si>
    <t>Plot A</t>
  </si>
  <si>
    <t>Tower A</t>
  </si>
  <si>
    <t>Lower Ground Floor For Parking</t>
  </si>
  <si>
    <t>Basement Floor For Parking</t>
  </si>
  <si>
    <t>Ground Floor For Entrance Lobby &amp; Parking</t>
  </si>
  <si>
    <t>1st to 5th Podium Floor For Parking</t>
  </si>
  <si>
    <t>Tower B</t>
  </si>
  <si>
    <t>1st Podium Floor For Parking</t>
  </si>
  <si>
    <t>2nd Podium For Meter Room, MEP Room &amp; Parking</t>
  </si>
  <si>
    <t>3rd Podium Floor For Society Office &amp; Parking</t>
  </si>
  <si>
    <t>Basement Floor For Pump Room, Water Tank &amp; Parking</t>
  </si>
  <si>
    <t>4th &amp; 5th Podium Floor For Parking</t>
  </si>
  <si>
    <t>6th Floor For Residential</t>
  </si>
  <si>
    <t>1RK</t>
  </si>
  <si>
    <t>7th Floor</t>
  </si>
  <si>
    <t>-</t>
  </si>
  <si>
    <t>Refuge Area</t>
  </si>
  <si>
    <t>5BHK</t>
  </si>
  <si>
    <t>4Bedrooms +  1 Family Room</t>
  </si>
  <si>
    <t>3BHK</t>
  </si>
  <si>
    <t>We considered Gross carpet area = Net carpet + Balcony + Utility Area.</t>
  </si>
  <si>
    <t>66th Floor</t>
  </si>
  <si>
    <t>Balcony Area</t>
  </si>
  <si>
    <t>5BHK (Duplex with 7th Floor)</t>
  </si>
  <si>
    <t>67th Floor</t>
  </si>
  <si>
    <t>Tower C</t>
  </si>
  <si>
    <t>2nd Podium For Meter Room &amp; Parking</t>
  </si>
  <si>
    <t>Flats - 934</t>
  </si>
  <si>
    <t>5.50KM from Thane Railway Station</t>
  </si>
  <si>
    <t xml:space="preserve">Fire Noc No (TowerB)
Valid Up to: </t>
  </si>
  <si>
    <t xml:space="preserve">Fire Noc No (TowerA)
Valid Up to: </t>
  </si>
  <si>
    <t xml:space="preserve">Fire Noc No (TowerC)
Valid Up to: </t>
  </si>
  <si>
    <t>6th Floor For Terrace</t>
  </si>
  <si>
    <t>Ajay Songare</t>
  </si>
  <si>
    <t>Approved Plans, CC, Cost Sheet, Airport Noc, Fire Noc, EC</t>
  </si>
  <si>
    <t>A, S No.172/1, 176/1, 176/5, 176/6, 176/7, 283/7/C, 283/8/C</t>
  </si>
  <si>
    <t>S04/0813/20/TMC/TDD/0030/( P/C)23/AUTO DCR</t>
  </si>
  <si>
    <t>S04/0813/20(Plot-A) /TMC/TDD/ 0030/( P/C)23/AUTO DCR</t>
  </si>
  <si>
    <t>Duplex with 6th Floor</t>
  </si>
  <si>
    <t>9th to 12th, 14th to 17th, 19th to 22nd, 
24th to 27th, 29th to 32nd, 34th to 37th, 
39th to 42nd, 44th to 47th, 49th to 52nd, 
54th to 57th, 59th to 62nd, 64th &amp; 65th Floor</t>
  </si>
  <si>
    <t>Duplex with 66th Floor</t>
  </si>
  <si>
    <t>8th, 13th, 18th, 23rd, 28th, 33rd, 38th, 43rd, 
48th, 53rd, 58th, 63rd Floor (Part Refuge Area)</t>
  </si>
  <si>
    <t>As per layout, Garden built on Survey Number 175 will be handed over to TMC.</t>
  </si>
  <si>
    <t>Club House Charges</t>
  </si>
  <si>
    <t>Development &amp; Infrastructure Charges</t>
  </si>
  <si>
    <t>Corpus Fund</t>
  </si>
  <si>
    <t>RATE 14500 + OC FROM COST SHEET 
TRUPTI B2407 CASE  04/02/2025</t>
  </si>
  <si>
    <t>RATE 15500 BY TRUPTI   05/02/2025</t>
  </si>
  <si>
    <t>Rate 17300 by Sanjay for case B6203 verbal and index2  On 25/04/2025</t>
  </si>
  <si>
    <t>Recommended Rates / Other charges of the Property have been revised on 04/02/2025, 05/02/2025 &amp; 25/04/2025.</t>
  </si>
  <si>
    <t>Tower B = B + LG + G + 5P +  6th to 67th Floor</t>
  </si>
  <si>
    <t>Miss. Tarunya</t>
  </si>
  <si>
    <t>Construction work is in process at the time of visit. (Internal visit was not allowed.)</t>
  </si>
  <si>
    <t xml:space="preserve">As  per visitor conformed 13/08/2025 B &amp; C SAME Stage as 6 slab but as per arche. Certificate Jun 2025 stage are taken13/08/2025  </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</si>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</sst>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sz val="11"/>
      <color indexed="8"/>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6" fontId="5" fillId="0" borderId="0" applyFont="0" applyFill="0" applyBorder="0" applyAlignment="0" applyProtection="0"/>
    <xf numFmtId="0" fontId="21" fillId="0" borderId="0"/>
    <xf numFmtId="9" fontId="22" fillId="0" borderId="0" applyFont="0" applyFill="0" applyBorder="0" applyAlignment="0" applyProtection="0"/>
    <xf numFmtId="164" fontId="22" fillId="0" borderId="0" applyFont="0" applyFill="0" applyBorder="0" applyAlignment="0" applyProtection="0"/>
    <xf numFmtId="0" fontId="27" fillId="0" borderId="0" applyNumberFormat="0" applyFill="0" applyBorder="0" applyAlignment="0" applyProtection="0"/>
  </cellStyleXfs>
  <cellXfs count="29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1" fontId="6" fillId="0" borderId="8" xfId="1" applyNumberFormat="1" applyFont="1" applyBorder="1" applyAlignment="1" applyProtection="1">
      <alignment horizontal="center" vertical="center" wrapText="1"/>
      <protection locked="0"/>
    </xf>
    <xf numFmtId="0" fontId="27" fillId="0" borderId="0" xfId="10" applyAlignment="1">
      <alignment wrapText="1"/>
    </xf>
    <xf numFmtId="0" fontId="17" fillId="0" borderId="0" xfId="1" applyFont="1" applyAlignment="1">
      <alignment horizontal="center" vertical="center"/>
    </xf>
    <xf numFmtId="165" fontId="7" fillId="0" borderId="0" xfId="1" applyNumberFormat="1" applyFont="1" applyAlignment="1">
      <alignment horizontal="center" vertical="center"/>
    </xf>
    <xf numFmtId="1" fontId="6" fillId="0" borderId="0" xfId="1" applyNumberFormat="1" applyFont="1" applyAlignment="1" applyProtection="1">
      <alignment horizontal="center" vertical="center" wrapText="1"/>
      <protection locked="0"/>
    </xf>
    <xf numFmtId="1" fontId="32"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0" fontId="6" fillId="4" borderId="1" xfId="1" applyFont="1" applyFill="1" applyBorder="1" applyAlignment="1" applyProtection="1">
      <alignment vertical="top" wrapText="1"/>
      <protection locked="0"/>
    </xf>
    <xf numFmtId="0" fontId="6" fillId="6" borderId="1" xfId="1" applyFont="1" applyFill="1" applyBorder="1" applyAlignment="1" applyProtection="1">
      <alignment vertical="top" wrapText="1"/>
      <protection locked="0"/>
    </xf>
    <xf numFmtId="0" fontId="6" fillId="5" borderId="1" xfId="1" applyFont="1" applyFill="1" applyBorder="1" applyAlignment="1" applyProtection="1">
      <alignment vertical="top" wrapText="1"/>
      <protection locked="0"/>
    </xf>
    <xf numFmtId="9" fontId="13" fillId="0" borderId="16" xfId="8" applyFont="1" applyFill="1" applyBorder="1" applyAlignment="1" applyProtection="1">
      <alignment horizontal="center" vertical="top" wrapText="1"/>
      <protection locked="0"/>
    </xf>
    <xf numFmtId="0" fontId="0" fillId="0" borderId="3" xfId="0" applyBorder="1" applyAlignment="1">
      <alignment horizontal="center" vertical="center"/>
    </xf>
    <xf numFmtId="0" fontId="6" fillId="0" borderId="1" xfId="1" applyFont="1" applyBorder="1" applyAlignment="1" applyProtection="1">
      <alignment horizontal="left" vertical="top"/>
      <protection locked="0"/>
    </xf>
    <xf numFmtId="168" fontId="12" fillId="0" borderId="1" xfId="9" applyNumberFormat="1" applyFont="1" applyFill="1" applyBorder="1" applyAlignment="1" applyProtection="1">
      <alignment horizontal="lef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4" borderId="8" xfId="1" applyFont="1" applyFill="1" applyBorder="1" applyAlignment="1" applyProtection="1">
      <alignment vertical="top" wrapText="1"/>
      <protection locked="0"/>
    </xf>
    <xf numFmtId="0" fontId="6" fillId="4" borderId="21" xfId="1" applyFont="1" applyFill="1" applyBorder="1" applyAlignment="1" applyProtection="1">
      <alignment vertical="top" wrapText="1"/>
      <protection locked="0"/>
    </xf>
    <xf numFmtId="0" fontId="6" fillId="4" borderId="9" xfId="1" applyFont="1" applyFill="1" applyBorder="1" applyAlignment="1" applyProtection="1">
      <alignment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7" fillId="0" borderId="16"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4" borderId="8" xfId="1" applyFont="1" applyFill="1" applyBorder="1" applyAlignment="1" applyProtection="1">
      <alignment horizontal="left" vertical="top" wrapText="1"/>
      <protection locked="0"/>
    </xf>
    <xf numFmtId="0" fontId="6" fillId="4" borderId="21" xfId="1" applyFont="1" applyFill="1" applyBorder="1" applyAlignment="1" applyProtection="1">
      <alignment horizontal="left" vertical="top" wrapText="1"/>
      <protection locked="0"/>
    </xf>
    <xf numFmtId="0" fontId="6" fillId="4" borderId="9" xfId="1" applyFont="1" applyFill="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17" xfId="1" applyFont="1" applyBorder="1" applyAlignment="1" applyProtection="1">
      <alignment horizontal="left" vertical="top"/>
      <protection locked="0"/>
    </xf>
    <xf numFmtId="0" fontId="7" fillId="0" borderId="24" xfId="1" applyFont="1" applyBorder="1" applyAlignment="1" applyProtection="1">
      <alignment horizontal="left" vertical="top"/>
      <protection locked="0"/>
    </xf>
    <xf numFmtId="0" fontId="7" fillId="0" borderId="18"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21"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12" fillId="0" borderId="8" xfId="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7" fillId="0" borderId="1" xfId="1" applyFont="1" applyBorder="1" applyAlignment="1" applyProtection="1">
      <alignment horizontal="left"/>
      <protection locked="0"/>
    </xf>
    <xf numFmtId="0" fontId="7" fillId="0" borderId="1"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8" fillId="0" borderId="16" xfId="1" applyFont="1" applyBorder="1" applyAlignment="1" applyProtection="1">
      <alignment horizontal="left" vertical="top"/>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0" fontId="13" fillId="0" borderId="16" xfId="1" applyFont="1" applyBorder="1" applyAlignment="1" applyProtection="1">
      <alignment horizontal="center" vertical="top"/>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4" borderId="17" xfId="1" applyFont="1" applyFill="1" applyBorder="1" applyAlignment="1" applyProtection="1">
      <alignment horizontal="left" vertical="top" wrapText="1"/>
      <protection locked="0"/>
    </xf>
    <xf numFmtId="0" fontId="7" fillId="4" borderId="18" xfId="1" applyFont="1" applyFill="1" applyBorder="1" applyAlignment="1" applyProtection="1">
      <alignment horizontal="left" vertical="top" wrapText="1"/>
      <protection locked="0"/>
    </xf>
    <xf numFmtId="0" fontId="7" fillId="4" borderId="19" xfId="1" applyFont="1" applyFill="1" applyBorder="1" applyAlignment="1" applyProtection="1">
      <alignment horizontal="left" vertical="top" wrapText="1"/>
      <protection locked="0"/>
    </xf>
    <xf numFmtId="0" fontId="7" fillId="4" borderId="20" xfId="1" applyFont="1" applyFill="1" applyBorder="1" applyAlignment="1" applyProtection="1">
      <alignment horizontal="left" vertical="top" wrapText="1"/>
      <protection locked="0"/>
    </xf>
    <xf numFmtId="14" fontId="6" fillId="4" borderId="8" xfId="1" applyNumberFormat="1" applyFont="1" applyFill="1" applyBorder="1" applyAlignment="1" applyProtection="1">
      <alignment horizontal="left" vertical="top" wrapText="1"/>
      <protection locked="0"/>
    </xf>
    <xf numFmtId="14" fontId="6" fillId="4" borderId="9" xfId="1" applyNumberFormat="1" applyFont="1" applyFill="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7" fillId="5" borderId="17" xfId="1" applyFont="1" applyFill="1" applyBorder="1" applyAlignment="1" applyProtection="1">
      <alignment horizontal="left" vertical="top" wrapText="1"/>
      <protection locked="0"/>
    </xf>
    <xf numFmtId="0" fontId="7" fillId="5" borderId="18" xfId="1" applyFont="1" applyFill="1" applyBorder="1" applyAlignment="1" applyProtection="1">
      <alignment horizontal="left" vertical="top" wrapText="1"/>
      <protection locked="0"/>
    </xf>
    <xf numFmtId="0" fontId="7" fillId="5" borderId="19" xfId="1" applyFont="1" applyFill="1" applyBorder="1" applyAlignment="1" applyProtection="1">
      <alignment horizontal="left" vertical="top" wrapText="1"/>
      <protection locked="0"/>
    </xf>
    <xf numFmtId="0" fontId="7" fillId="5" borderId="20" xfId="1" applyFont="1" applyFill="1" applyBorder="1" applyAlignment="1" applyProtection="1">
      <alignment horizontal="left" vertical="top" wrapText="1"/>
      <protection locked="0"/>
    </xf>
    <xf numFmtId="0" fontId="6" fillId="5" borderId="8" xfId="1" applyFont="1" applyFill="1" applyBorder="1" applyAlignment="1" applyProtection="1">
      <alignment horizontal="left" vertical="top" wrapText="1"/>
      <protection locked="0"/>
    </xf>
    <xf numFmtId="0" fontId="6" fillId="5" borderId="21" xfId="1" applyFont="1" applyFill="1" applyBorder="1" applyAlignment="1" applyProtection="1">
      <alignment horizontal="left" vertical="top" wrapText="1"/>
      <protection locked="0"/>
    </xf>
    <xf numFmtId="0" fontId="6" fillId="5" borderId="9" xfId="1" applyFont="1" applyFill="1" applyBorder="1" applyAlignment="1" applyProtection="1">
      <alignment horizontal="left" vertical="top" wrapText="1"/>
      <protection locked="0"/>
    </xf>
    <xf numFmtId="14" fontId="6" fillId="5" borderId="8" xfId="1" applyNumberFormat="1" applyFont="1" applyFill="1" applyBorder="1" applyAlignment="1" applyProtection="1">
      <alignment horizontal="left" vertical="top" wrapText="1"/>
      <protection locked="0"/>
    </xf>
    <xf numFmtId="14" fontId="6" fillId="5" borderId="9" xfId="1" applyNumberFormat="1" applyFont="1" applyFill="1" applyBorder="1" applyAlignment="1" applyProtection="1">
      <alignment horizontal="left" vertical="top" wrapText="1"/>
      <protection locked="0"/>
    </xf>
    <xf numFmtId="0" fontId="6" fillId="5" borderId="8" xfId="1" applyFont="1" applyFill="1" applyBorder="1" applyAlignment="1" applyProtection="1">
      <alignment vertical="top" wrapText="1"/>
      <protection locked="0"/>
    </xf>
    <xf numFmtId="0" fontId="6" fillId="5" borderId="21" xfId="1" applyFont="1" applyFill="1" applyBorder="1" applyAlignment="1" applyProtection="1">
      <alignment vertical="top" wrapText="1"/>
      <protection locked="0"/>
    </xf>
    <xf numFmtId="0" fontId="6" fillId="5" borderId="9" xfId="1" applyFont="1" applyFill="1" applyBorder="1" applyAlignment="1" applyProtection="1">
      <alignment vertical="top" wrapText="1"/>
      <protection locked="0"/>
    </xf>
    <xf numFmtId="0" fontId="7" fillId="6" borderId="17" xfId="1" applyFont="1" applyFill="1" applyBorder="1" applyAlignment="1" applyProtection="1">
      <alignment horizontal="left" vertical="top" wrapText="1"/>
      <protection locked="0"/>
    </xf>
    <xf numFmtId="0" fontId="7" fillId="6" borderId="18" xfId="1" applyFont="1" applyFill="1" applyBorder="1" applyAlignment="1" applyProtection="1">
      <alignment horizontal="left" vertical="top" wrapText="1"/>
      <protection locked="0"/>
    </xf>
    <xf numFmtId="0" fontId="7" fillId="6" borderId="19" xfId="1" applyFont="1" applyFill="1" applyBorder="1" applyAlignment="1" applyProtection="1">
      <alignment horizontal="left" vertical="top" wrapText="1"/>
      <protection locked="0"/>
    </xf>
    <xf numFmtId="0" fontId="7" fillId="6" borderId="20" xfId="1" applyFont="1" applyFill="1" applyBorder="1" applyAlignment="1" applyProtection="1">
      <alignment horizontal="left" vertical="top" wrapText="1"/>
      <protection locked="0"/>
    </xf>
    <xf numFmtId="0" fontId="6" fillId="6" borderId="8" xfId="1" applyFont="1" applyFill="1" applyBorder="1" applyAlignment="1" applyProtection="1">
      <alignment horizontal="left" vertical="top" wrapText="1"/>
      <protection locked="0"/>
    </xf>
    <xf numFmtId="0" fontId="6" fillId="6" borderId="21" xfId="1" applyFont="1" applyFill="1" applyBorder="1" applyAlignment="1" applyProtection="1">
      <alignment horizontal="left" vertical="top" wrapText="1"/>
      <protection locked="0"/>
    </xf>
    <xf numFmtId="0" fontId="6" fillId="6" borderId="9" xfId="1" applyFont="1" applyFill="1" applyBorder="1" applyAlignment="1" applyProtection="1">
      <alignment horizontal="left" vertical="top" wrapText="1"/>
      <protection locked="0"/>
    </xf>
    <xf numFmtId="14" fontId="6" fillId="6" borderId="8" xfId="1" applyNumberFormat="1" applyFont="1" applyFill="1" applyBorder="1" applyAlignment="1" applyProtection="1">
      <alignment horizontal="left" vertical="top" wrapText="1"/>
      <protection locked="0"/>
    </xf>
    <xf numFmtId="14" fontId="6" fillId="6" borderId="9" xfId="1" applyNumberFormat="1" applyFont="1" applyFill="1" applyBorder="1" applyAlignment="1" applyProtection="1">
      <alignment horizontal="left" vertical="top" wrapText="1"/>
      <protection locked="0"/>
    </xf>
    <xf numFmtId="0" fontId="6" fillId="6" borderId="8" xfId="1" applyFont="1" applyFill="1" applyBorder="1" applyAlignment="1" applyProtection="1">
      <alignment vertical="top" wrapText="1"/>
      <protection locked="0"/>
    </xf>
    <xf numFmtId="0" fontId="6" fillId="6" borderId="21" xfId="1" applyFont="1" applyFill="1" applyBorder="1" applyAlignment="1" applyProtection="1">
      <alignment vertical="top" wrapText="1"/>
      <protection locked="0"/>
    </xf>
    <xf numFmtId="0" fontId="6" fillId="6" borderId="9" xfId="1" applyFont="1" applyFill="1" applyBorder="1" applyAlignment="1" applyProtection="1">
      <alignment vertical="top" wrapText="1"/>
      <protection locked="0"/>
    </xf>
    <xf numFmtId="0" fontId="12" fillId="0" borderId="0" xfId="1" applyFont="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7" fillId="0" borderId="35" xfId="1" applyFont="1" applyBorder="1" applyAlignment="1">
      <alignment horizontal="center" wrapText="1"/>
    </xf>
    <xf numFmtId="0" fontId="17" fillId="0" borderId="0" xfId="1" applyFont="1" applyBorder="1" applyAlignment="1">
      <alignment horizontal="center" wrapText="1"/>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eg"/><Relationship Id="rId8"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8</xdr:col>
      <xdr:colOff>762000</xdr:colOff>
      <xdr:row>172</xdr:row>
      <xdr:rowOff>56029</xdr:rowOff>
    </xdr:from>
    <xdr:to>
      <xdr:col>17</xdr:col>
      <xdr:colOff>161071</xdr:colOff>
      <xdr:row>175</xdr:row>
      <xdr:rowOff>468158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070912" y="39254205"/>
          <a:ext cx="6828571" cy="1980952"/>
        </a:xfrm>
        <a:prstGeom prst="rect">
          <a:avLst/>
        </a:prstGeom>
        <a:ln>
          <a:solidFill>
            <a:schemeClr val="tx1"/>
          </a:solidFill>
        </a:ln>
      </xdr:spPr>
    </xdr:pic>
    <xdr:clientData/>
  </xdr:twoCellAnchor>
  <xdr:twoCellAnchor editAs="oneCell">
    <xdr:from>
      <xdr:col>8</xdr:col>
      <xdr:colOff>874059</xdr:colOff>
      <xdr:row>181</xdr:row>
      <xdr:rowOff>156883</xdr:rowOff>
    </xdr:from>
    <xdr:to>
      <xdr:col>17</xdr:col>
      <xdr:colOff>311226</xdr:colOff>
      <xdr:row>188</xdr:row>
      <xdr:rowOff>154466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182971" y="43680530"/>
          <a:ext cx="6866667" cy="1409524"/>
        </a:xfrm>
        <a:prstGeom prst="rect">
          <a:avLst/>
        </a:prstGeom>
        <a:ln>
          <a:solidFill>
            <a:schemeClr val="tx1"/>
          </a:solidFill>
        </a:ln>
      </xdr:spPr>
    </xdr:pic>
    <xdr:clientData/>
  </xdr:twoCellAnchor>
  <xdr:twoCellAnchor editAs="oneCell">
    <xdr:from>
      <xdr:col>10</xdr:col>
      <xdr:colOff>168087</xdr:colOff>
      <xdr:row>190</xdr:row>
      <xdr:rowOff>336176</xdr:rowOff>
    </xdr:from>
    <xdr:to>
      <xdr:col>19</xdr:col>
      <xdr:colOff>180118</xdr:colOff>
      <xdr:row>194</xdr:row>
      <xdr:rowOff>191446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8404411" y="45675176"/>
          <a:ext cx="6847619" cy="1390476"/>
        </a:xfrm>
        <a:prstGeom prst="rect">
          <a:avLst/>
        </a:prstGeom>
        <a:ln>
          <a:solidFill>
            <a:schemeClr val="tx1"/>
          </a:solidFill>
        </a:ln>
      </xdr:spPr>
    </xdr:pic>
    <xdr:clientData/>
  </xdr:twoCellAnchor>
  <xdr:twoCellAnchor editAs="oneCell">
    <xdr:from>
      <xdr:col>9</xdr:col>
      <xdr:colOff>224117</xdr:colOff>
      <xdr:row>201</xdr:row>
      <xdr:rowOff>67235</xdr:rowOff>
    </xdr:from>
    <xdr:to>
      <xdr:col>18</xdr:col>
      <xdr:colOff>193007</xdr:colOff>
      <xdr:row>208</xdr:row>
      <xdr:rowOff>93389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698441" y="48768000"/>
          <a:ext cx="6838095" cy="1438095"/>
        </a:xfrm>
        <a:prstGeom prst="rect">
          <a:avLst/>
        </a:prstGeom>
        <a:ln>
          <a:solidFill>
            <a:schemeClr val="tx1"/>
          </a:solidFill>
        </a:ln>
      </xdr:spPr>
    </xdr:pic>
    <xdr:clientData/>
  </xdr:twoCellAnchor>
  <xdr:twoCellAnchor editAs="oneCell">
    <xdr:from>
      <xdr:col>8</xdr:col>
      <xdr:colOff>840442</xdr:colOff>
      <xdr:row>209</xdr:row>
      <xdr:rowOff>246529</xdr:rowOff>
    </xdr:from>
    <xdr:to>
      <xdr:col>17</xdr:col>
      <xdr:colOff>239513</xdr:colOff>
      <xdr:row>211</xdr:row>
      <xdr:rowOff>473275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7149354" y="49832558"/>
          <a:ext cx="6828571" cy="1380952"/>
        </a:xfrm>
        <a:prstGeom prst="rect">
          <a:avLst/>
        </a:prstGeom>
        <a:ln>
          <a:solidFill>
            <a:schemeClr val="tx1"/>
          </a:solidFill>
        </a:ln>
      </xdr:spPr>
    </xdr:pic>
    <xdr:clientData/>
  </xdr:twoCellAnchor>
  <xdr:twoCellAnchor editAs="oneCell">
    <xdr:from>
      <xdr:col>8</xdr:col>
      <xdr:colOff>997324</xdr:colOff>
      <xdr:row>218</xdr:row>
      <xdr:rowOff>22412</xdr:rowOff>
    </xdr:from>
    <xdr:to>
      <xdr:col>17</xdr:col>
      <xdr:colOff>396395</xdr:colOff>
      <xdr:row>224</xdr:row>
      <xdr:rowOff>193129</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7306236" y="53743412"/>
          <a:ext cx="6828571" cy="1380952"/>
        </a:xfrm>
        <a:prstGeom prst="rect">
          <a:avLst/>
        </a:prstGeom>
        <a:ln>
          <a:solidFill>
            <a:schemeClr val="tx1"/>
          </a:solidFill>
        </a:ln>
      </xdr:spPr>
    </xdr:pic>
    <xdr:clientData/>
  </xdr:twoCellAnchor>
  <xdr:twoCellAnchor editAs="oneCell">
    <xdr:from>
      <xdr:col>8</xdr:col>
      <xdr:colOff>997323</xdr:colOff>
      <xdr:row>235</xdr:row>
      <xdr:rowOff>145677</xdr:rowOff>
    </xdr:from>
    <xdr:to>
      <xdr:col>20</xdr:col>
      <xdr:colOff>507623</xdr:colOff>
      <xdr:row>240</xdr:row>
      <xdr:rowOff>465860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7306235" y="57295677"/>
          <a:ext cx="8990476" cy="2438095"/>
        </a:xfrm>
        <a:prstGeom prst="rect">
          <a:avLst/>
        </a:prstGeom>
        <a:ln>
          <a:solidFill>
            <a:schemeClr val="tx1"/>
          </a:solidFill>
        </a:ln>
      </xdr:spPr>
    </xdr:pic>
    <xdr:clientData/>
  </xdr:twoCellAnchor>
  <xdr:twoCellAnchor editAs="oneCell">
    <xdr:from>
      <xdr:col>8</xdr:col>
      <xdr:colOff>750795</xdr:colOff>
      <xdr:row>244</xdr:row>
      <xdr:rowOff>1</xdr:rowOff>
    </xdr:from>
    <xdr:to>
      <xdr:col>19</xdr:col>
      <xdr:colOff>244938</xdr:colOff>
      <xdr:row>252</xdr:row>
      <xdr:rowOff>53021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7059707" y="61251354"/>
          <a:ext cx="8257143" cy="1666667"/>
        </a:xfrm>
        <a:prstGeom prst="rect">
          <a:avLst/>
        </a:prstGeom>
        <a:ln>
          <a:solidFill>
            <a:schemeClr val="tx1"/>
          </a:solidFill>
        </a:ln>
      </xdr:spPr>
    </xdr:pic>
    <xdr:clientData/>
  </xdr:twoCellAnchor>
  <xdr:twoCellAnchor editAs="oneCell">
    <xdr:from>
      <xdr:col>9</xdr:col>
      <xdr:colOff>67235</xdr:colOff>
      <xdr:row>252</xdr:row>
      <xdr:rowOff>381000</xdr:rowOff>
    </xdr:from>
    <xdr:to>
      <xdr:col>19</xdr:col>
      <xdr:colOff>707742</xdr:colOff>
      <xdr:row>259</xdr:row>
      <xdr:rowOff>25562</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7541559" y="63974382"/>
          <a:ext cx="8238095" cy="1695238"/>
        </a:xfrm>
        <a:prstGeom prst="rect">
          <a:avLst/>
        </a:prstGeom>
        <a:ln>
          <a:solidFill>
            <a:schemeClr val="tx1"/>
          </a:solidFill>
        </a:ln>
      </xdr:spPr>
    </xdr:pic>
    <xdr:clientData/>
  </xdr:twoCellAnchor>
  <xdr:twoCellAnchor editAs="oneCell">
    <xdr:from>
      <xdr:col>8</xdr:col>
      <xdr:colOff>649941</xdr:colOff>
      <xdr:row>262</xdr:row>
      <xdr:rowOff>78442</xdr:rowOff>
    </xdr:from>
    <xdr:to>
      <xdr:col>19</xdr:col>
      <xdr:colOff>144084</xdr:colOff>
      <xdr:row>269</xdr:row>
      <xdr:rowOff>190311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6958853" y="65352707"/>
          <a:ext cx="8257143" cy="1523810"/>
        </a:xfrm>
        <a:prstGeom prst="rect">
          <a:avLst/>
        </a:prstGeom>
        <a:ln>
          <a:solidFill>
            <a:schemeClr val="tx1"/>
          </a:solidFill>
        </a:ln>
      </xdr:spPr>
    </xdr:pic>
    <xdr:clientData/>
  </xdr:twoCellAnchor>
  <xdr:twoCellAnchor editAs="oneCell">
    <xdr:from>
      <xdr:col>8</xdr:col>
      <xdr:colOff>89647</xdr:colOff>
      <xdr:row>69</xdr:row>
      <xdr:rowOff>44822</xdr:rowOff>
    </xdr:from>
    <xdr:to>
      <xdr:col>14</xdr:col>
      <xdr:colOff>285071</xdr:colOff>
      <xdr:row>74</xdr:row>
      <xdr:rowOff>204546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6398559" y="19117234"/>
          <a:ext cx="5428571" cy="1171429"/>
        </a:xfrm>
        <a:prstGeom prst="rect">
          <a:avLst/>
        </a:prstGeom>
        <a:ln>
          <a:solidFill>
            <a:schemeClr val="tx1"/>
          </a:solidFill>
        </a:ln>
      </xdr:spPr>
    </xdr:pic>
    <xdr:clientData/>
  </xdr:twoCellAnchor>
  <xdr:twoCellAnchor editAs="oneCell">
    <xdr:from>
      <xdr:col>1</xdr:col>
      <xdr:colOff>786365</xdr:colOff>
      <xdr:row>408</xdr:row>
      <xdr:rowOff>179295</xdr:rowOff>
    </xdr:from>
    <xdr:to>
      <xdr:col>5</xdr:col>
      <xdr:colOff>315806</xdr:colOff>
      <xdr:row>424</xdr:row>
      <xdr:rowOff>141260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1548365" y="90341824"/>
          <a:ext cx="2880000" cy="3189259"/>
        </a:xfrm>
        <a:prstGeom prst="rect">
          <a:avLst/>
        </a:prstGeom>
        <a:ln>
          <a:solidFill>
            <a:schemeClr val="tx1"/>
          </a:solidFill>
        </a:ln>
      </xdr:spPr>
    </xdr:pic>
    <xdr:clientData/>
  </xdr:twoCellAnchor>
  <xdr:twoCellAnchor>
    <xdr:from>
      <xdr:col>0</xdr:col>
      <xdr:colOff>381000</xdr:colOff>
      <xdr:row>426</xdr:row>
      <xdr:rowOff>32004</xdr:rowOff>
    </xdr:from>
    <xdr:to>
      <xdr:col>7</xdr:col>
      <xdr:colOff>197224</xdr:colOff>
      <xdr:row>441</xdr:row>
      <xdr:rowOff>90274</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381000" y="89887044"/>
          <a:ext cx="5546464" cy="3030070"/>
          <a:chOff x="825634" y="4275216"/>
          <a:chExt cx="5396753" cy="3083859"/>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825634" y="4275216"/>
            <a:ext cx="5396753" cy="3083859"/>
          </a:xfrm>
          <a:prstGeom prst="rect">
            <a:avLst/>
          </a:prstGeom>
          <a:ln>
            <a:solidFill>
              <a:schemeClr val="tx1"/>
            </a:solidFill>
          </a:ln>
        </xdr:spPr>
      </xdr:pic>
      <xdr:sp macro="" textlink="">
        <xdr:nvSpPr>
          <xdr:cNvPr id="16" name="Freeform 15">
            <a:extLst>
              <a:ext uri="{FF2B5EF4-FFF2-40B4-BE49-F238E27FC236}">
                <a16:creationId xmlns:a16="http://schemas.microsoft.com/office/drawing/2014/main" id="{00000000-0008-0000-0000-000010000000}"/>
              </a:ext>
            </a:extLst>
          </xdr:cNvPr>
          <xdr:cNvSpPr/>
        </xdr:nvSpPr>
        <xdr:spPr>
          <a:xfrm>
            <a:off x="3055620" y="4610100"/>
            <a:ext cx="1539240" cy="1600200"/>
          </a:xfrm>
          <a:custGeom>
            <a:avLst/>
            <a:gdLst>
              <a:gd name="connsiteX0" fmla="*/ 15240 w 1539240"/>
              <a:gd name="connsiteY0" fmla="*/ 1211580 h 1600200"/>
              <a:gd name="connsiteX1" fmla="*/ 0 w 1539240"/>
              <a:gd name="connsiteY1" fmla="*/ 853440 h 1600200"/>
              <a:gd name="connsiteX2" fmla="*/ 373380 w 1539240"/>
              <a:gd name="connsiteY2" fmla="*/ 617220 h 1600200"/>
              <a:gd name="connsiteX3" fmla="*/ 579120 w 1539240"/>
              <a:gd name="connsiteY3" fmla="*/ 259080 h 1600200"/>
              <a:gd name="connsiteX4" fmla="*/ 822960 w 1539240"/>
              <a:gd name="connsiteY4" fmla="*/ 0 h 1600200"/>
              <a:gd name="connsiteX5" fmla="*/ 853440 w 1539240"/>
              <a:gd name="connsiteY5" fmla="*/ 419100 h 1600200"/>
              <a:gd name="connsiteX6" fmla="*/ 1082040 w 1539240"/>
              <a:gd name="connsiteY6" fmla="*/ 472440 h 1600200"/>
              <a:gd name="connsiteX7" fmla="*/ 1165860 w 1539240"/>
              <a:gd name="connsiteY7" fmla="*/ 480060 h 1600200"/>
              <a:gd name="connsiteX8" fmla="*/ 1021080 w 1539240"/>
              <a:gd name="connsiteY8" fmla="*/ 769620 h 1600200"/>
              <a:gd name="connsiteX9" fmla="*/ 1539240 w 1539240"/>
              <a:gd name="connsiteY9" fmla="*/ 967740 h 1600200"/>
              <a:gd name="connsiteX10" fmla="*/ 1447800 w 1539240"/>
              <a:gd name="connsiteY10" fmla="*/ 1600200 h 1600200"/>
              <a:gd name="connsiteX11" fmla="*/ 15240 w 1539240"/>
              <a:gd name="connsiteY11" fmla="*/ 1211580 h 160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539240" h="1600200">
                <a:moveTo>
                  <a:pt x="15240" y="1211580"/>
                </a:moveTo>
                <a:lnTo>
                  <a:pt x="0" y="853440"/>
                </a:lnTo>
                <a:lnTo>
                  <a:pt x="373380" y="617220"/>
                </a:lnTo>
                <a:lnTo>
                  <a:pt x="579120" y="259080"/>
                </a:lnTo>
                <a:lnTo>
                  <a:pt x="822960" y="0"/>
                </a:lnTo>
                <a:lnTo>
                  <a:pt x="853440" y="419100"/>
                </a:lnTo>
                <a:lnTo>
                  <a:pt x="1082040" y="472440"/>
                </a:lnTo>
                <a:lnTo>
                  <a:pt x="1165860" y="480060"/>
                </a:lnTo>
                <a:lnTo>
                  <a:pt x="1021080" y="769620"/>
                </a:lnTo>
                <a:lnTo>
                  <a:pt x="1539240" y="967740"/>
                </a:lnTo>
                <a:lnTo>
                  <a:pt x="1447800" y="1600200"/>
                </a:lnTo>
                <a:lnTo>
                  <a:pt x="15240" y="121158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TextBox 14">
            <a:extLst>
              <a:ext uri="{FF2B5EF4-FFF2-40B4-BE49-F238E27FC236}">
                <a16:creationId xmlns:a16="http://schemas.microsoft.com/office/drawing/2014/main" id="{00000000-0008-0000-0000-000011000000}"/>
              </a:ext>
            </a:extLst>
          </xdr:cNvPr>
          <xdr:cNvSpPr txBox="1"/>
        </xdr:nvSpPr>
        <xdr:spPr>
          <a:xfrm>
            <a:off x="4593692" y="4291673"/>
            <a:ext cx="1626023" cy="307777"/>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OCG Thane Phase 1</a:t>
            </a:r>
            <a:endParaRPr lang="en-IN" sz="1400" b="1"/>
          </a:p>
        </xdr:txBody>
      </xdr:sp>
      <xdr:cxnSp macro="">
        <xdr:nvCxnSpPr>
          <xdr:cNvPr id="18" name="Straight Arrow Connector 17">
            <a:extLst>
              <a:ext uri="{FF2B5EF4-FFF2-40B4-BE49-F238E27FC236}">
                <a16:creationId xmlns:a16="http://schemas.microsoft.com/office/drawing/2014/main" id="{00000000-0008-0000-0000-000012000000}"/>
              </a:ext>
            </a:extLst>
          </xdr:cNvPr>
          <xdr:cNvCxnSpPr>
            <a:stCxn id="17" idx="2"/>
            <a:endCxn id="16" idx="8"/>
          </xdr:cNvCxnSpPr>
        </xdr:nvCxnSpPr>
        <xdr:spPr>
          <a:xfrm flipH="1">
            <a:off x="4076700" y="4599450"/>
            <a:ext cx="1330004" cy="780270"/>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134469</xdr:colOff>
      <xdr:row>39</xdr:row>
      <xdr:rowOff>33618</xdr:rowOff>
    </xdr:from>
    <xdr:to>
      <xdr:col>12</xdr:col>
      <xdr:colOff>127857</xdr:colOff>
      <xdr:row>47</xdr:row>
      <xdr:rowOff>96161</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4"/>
        <a:stretch>
          <a:fillRect/>
        </a:stretch>
      </xdr:blipFill>
      <xdr:spPr>
        <a:xfrm>
          <a:off x="6443381" y="10555942"/>
          <a:ext cx="3590476" cy="1676190"/>
        </a:xfrm>
        <a:prstGeom prst="rect">
          <a:avLst/>
        </a:prstGeom>
        <a:ln>
          <a:solidFill>
            <a:schemeClr val="tx1"/>
          </a:solidFill>
        </a:ln>
      </xdr:spPr>
    </xdr:pic>
    <xdr:clientData/>
  </xdr:twoCellAnchor>
  <xdr:twoCellAnchor editAs="oneCell">
    <xdr:from>
      <xdr:col>8</xdr:col>
      <xdr:colOff>78441</xdr:colOff>
      <xdr:row>47</xdr:row>
      <xdr:rowOff>168087</xdr:rowOff>
    </xdr:from>
    <xdr:to>
      <xdr:col>13</xdr:col>
      <xdr:colOff>185735</xdr:colOff>
      <xdr:row>53</xdr:row>
      <xdr:rowOff>117427</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6387353" y="12304058"/>
          <a:ext cx="4500000" cy="2414634"/>
        </a:xfrm>
        <a:prstGeom prst="rect">
          <a:avLst/>
        </a:prstGeom>
        <a:ln>
          <a:solidFill>
            <a:schemeClr val="tx1"/>
          </a:solidFill>
        </a:ln>
      </xdr:spPr>
    </xdr:pic>
    <xdr:clientData/>
  </xdr:twoCellAnchor>
  <xdr:twoCellAnchor editAs="oneCell">
    <xdr:from>
      <xdr:col>8</xdr:col>
      <xdr:colOff>89647</xdr:colOff>
      <xdr:row>54</xdr:row>
      <xdr:rowOff>2</xdr:rowOff>
    </xdr:from>
    <xdr:to>
      <xdr:col>11</xdr:col>
      <xdr:colOff>831441</xdr:colOff>
      <xdr:row>60</xdr:row>
      <xdr:rowOff>199754</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398559" y="14814178"/>
          <a:ext cx="3420000" cy="1746163"/>
        </a:xfrm>
        <a:prstGeom prst="rect">
          <a:avLst/>
        </a:prstGeom>
        <a:ln>
          <a:solidFill>
            <a:schemeClr val="tx1"/>
          </a:solidFill>
        </a:ln>
      </xdr:spPr>
    </xdr:pic>
    <xdr:clientData/>
  </xdr:twoCellAnchor>
  <xdr:twoCellAnchor editAs="oneCell">
    <xdr:from>
      <xdr:col>12</xdr:col>
      <xdr:colOff>1</xdr:colOff>
      <xdr:row>54</xdr:row>
      <xdr:rowOff>1</xdr:rowOff>
    </xdr:from>
    <xdr:to>
      <xdr:col>16</xdr:col>
      <xdr:colOff>192707</xdr:colOff>
      <xdr:row>60</xdr:row>
      <xdr:rowOff>233864</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9906001" y="14814177"/>
          <a:ext cx="3420000" cy="1780274"/>
        </a:xfrm>
        <a:prstGeom prst="rect">
          <a:avLst/>
        </a:prstGeom>
        <a:ln>
          <a:solidFill>
            <a:schemeClr val="tx1"/>
          </a:solidFill>
        </a:ln>
      </xdr:spPr>
    </xdr:pic>
    <xdr:clientData/>
  </xdr:twoCellAnchor>
  <xdr:twoCellAnchor editAs="oneCell">
    <xdr:from>
      <xdr:col>12</xdr:col>
      <xdr:colOff>246530</xdr:colOff>
      <xdr:row>60</xdr:row>
      <xdr:rowOff>313764</xdr:rowOff>
    </xdr:from>
    <xdr:to>
      <xdr:col>16</xdr:col>
      <xdr:colOff>439236</xdr:colOff>
      <xdr:row>64</xdr:row>
      <xdr:rowOff>90927</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0152530" y="16674352"/>
          <a:ext cx="3420000" cy="1827840"/>
        </a:xfrm>
        <a:prstGeom prst="rect">
          <a:avLst/>
        </a:prstGeom>
        <a:ln>
          <a:solidFill>
            <a:schemeClr val="tx1"/>
          </a:solidFill>
        </a:ln>
      </xdr:spPr>
    </xdr:pic>
    <xdr:clientData/>
  </xdr:twoCellAnchor>
  <xdr:twoCellAnchor editAs="oneCell">
    <xdr:from>
      <xdr:col>8</xdr:col>
      <xdr:colOff>123263</xdr:colOff>
      <xdr:row>63</xdr:row>
      <xdr:rowOff>67236</xdr:rowOff>
    </xdr:from>
    <xdr:to>
      <xdr:col>12</xdr:col>
      <xdr:colOff>190498</xdr:colOff>
      <xdr:row>69</xdr:row>
      <xdr:rowOff>13702</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9"/>
        <a:stretch>
          <a:fillRect/>
        </a:stretch>
      </xdr:blipFill>
      <xdr:spPr>
        <a:xfrm>
          <a:off x="6432175" y="17526001"/>
          <a:ext cx="3664323" cy="1560113"/>
        </a:xfrm>
        <a:prstGeom prst="rect">
          <a:avLst/>
        </a:prstGeom>
        <a:ln>
          <a:solidFill>
            <a:schemeClr val="tx1"/>
          </a:solidFill>
        </a:ln>
      </xdr:spPr>
    </xdr:pic>
    <xdr:clientData/>
  </xdr:twoCellAnchor>
  <xdr:twoCellAnchor editAs="oneCell">
    <xdr:from>
      <xdr:col>8</xdr:col>
      <xdr:colOff>56030</xdr:colOff>
      <xdr:row>60</xdr:row>
      <xdr:rowOff>268941</xdr:rowOff>
    </xdr:from>
    <xdr:to>
      <xdr:col>12</xdr:col>
      <xdr:colOff>239894</xdr:colOff>
      <xdr:row>60</xdr:row>
      <xdr:rowOff>545131</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0"/>
        <a:stretch>
          <a:fillRect/>
        </a:stretch>
      </xdr:blipFill>
      <xdr:spPr>
        <a:xfrm>
          <a:off x="6364942" y="17313088"/>
          <a:ext cx="3780952" cy="276190"/>
        </a:xfrm>
        <a:prstGeom prst="rect">
          <a:avLst/>
        </a:prstGeom>
        <a:ln>
          <a:solidFill>
            <a:schemeClr val="tx1"/>
          </a:solidFill>
        </a:ln>
      </xdr:spPr>
    </xdr:pic>
    <xdr:clientData/>
  </xdr:twoCellAnchor>
  <xdr:twoCellAnchor editAs="oneCell">
    <xdr:from>
      <xdr:col>2</xdr:col>
      <xdr:colOff>222134</xdr:colOff>
      <xdr:row>385</xdr:row>
      <xdr:rowOff>43689</xdr:rowOff>
    </xdr:from>
    <xdr:to>
      <xdr:col>5</xdr:col>
      <xdr:colOff>86543</xdr:colOff>
      <xdr:row>396</xdr:row>
      <xdr:rowOff>44250</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1"/>
        <a:stretch>
          <a:fillRect/>
        </a:stretch>
      </xdr:blipFill>
      <xdr:spPr>
        <a:xfrm>
          <a:off x="1779752" y="85208395"/>
          <a:ext cx="2419350" cy="2219325"/>
        </a:xfrm>
        <a:prstGeom prst="rect">
          <a:avLst/>
        </a:prstGeom>
        <a:ln>
          <a:solidFill>
            <a:schemeClr val="tx1"/>
          </a:solidFill>
        </a:ln>
      </xdr:spPr>
    </xdr:pic>
    <xdr:clientData/>
  </xdr:twoCellAnchor>
  <xdr:twoCellAnchor>
    <xdr:from>
      <xdr:col>0</xdr:col>
      <xdr:colOff>481853</xdr:colOff>
      <xdr:row>367</xdr:row>
      <xdr:rowOff>22413</xdr:rowOff>
    </xdr:from>
    <xdr:to>
      <xdr:col>7</xdr:col>
      <xdr:colOff>121324</xdr:colOff>
      <xdr:row>384</xdr:row>
      <xdr:rowOff>12145</xdr:rowOff>
    </xdr:to>
    <xdr:grpSp>
      <xdr:nvGrpSpPr>
        <xdr:cNvPr id="29" name="Group 28">
          <a:extLst>
            <a:ext uri="{FF2B5EF4-FFF2-40B4-BE49-F238E27FC236}">
              <a16:creationId xmlns:a16="http://schemas.microsoft.com/office/drawing/2014/main" id="{00000000-0008-0000-0000-00001D000000}"/>
            </a:ext>
          </a:extLst>
        </xdr:cNvPr>
        <xdr:cNvGrpSpPr/>
      </xdr:nvGrpSpPr>
      <xdr:grpSpPr>
        <a:xfrm>
          <a:off x="481853" y="78188373"/>
          <a:ext cx="5369711" cy="3357772"/>
          <a:chOff x="1342637" y="2318302"/>
          <a:chExt cx="5220000" cy="3418732"/>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2"/>
          <a:stretch>
            <a:fillRect/>
          </a:stretch>
        </xdr:blipFill>
        <xdr:spPr>
          <a:xfrm>
            <a:off x="1342637" y="2318302"/>
            <a:ext cx="5220000" cy="3418732"/>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3"/>
          <a:stretch>
            <a:fillRect/>
          </a:stretch>
        </xdr:blipFill>
        <xdr:spPr>
          <a:xfrm>
            <a:off x="2838919" y="5210378"/>
            <a:ext cx="286027" cy="360000"/>
          </a:xfrm>
          <a:prstGeom prst="rect">
            <a:avLst/>
          </a:prstGeom>
        </xdr:spPr>
      </xdr:pic>
      <xdr:sp macro="" textlink="">
        <xdr:nvSpPr>
          <xdr:cNvPr id="32" name="Freeform 31">
            <a:extLst>
              <a:ext uri="{FF2B5EF4-FFF2-40B4-BE49-F238E27FC236}">
                <a16:creationId xmlns:a16="http://schemas.microsoft.com/office/drawing/2014/main" id="{00000000-0008-0000-0000-000020000000}"/>
              </a:ext>
            </a:extLst>
          </xdr:cNvPr>
          <xdr:cNvSpPr/>
        </xdr:nvSpPr>
        <xdr:spPr>
          <a:xfrm>
            <a:off x="4450080" y="2377440"/>
            <a:ext cx="1790700" cy="1752600"/>
          </a:xfrm>
          <a:custGeom>
            <a:avLst/>
            <a:gdLst>
              <a:gd name="connsiteX0" fmla="*/ 647700 w 1790700"/>
              <a:gd name="connsiteY0" fmla="*/ 106680 h 1752600"/>
              <a:gd name="connsiteX1" fmla="*/ 586740 w 1790700"/>
              <a:gd name="connsiteY1" fmla="*/ 464820 h 1752600"/>
              <a:gd name="connsiteX2" fmla="*/ 38100 w 1790700"/>
              <a:gd name="connsiteY2" fmla="*/ 982980 h 1752600"/>
              <a:gd name="connsiteX3" fmla="*/ 0 w 1790700"/>
              <a:gd name="connsiteY3" fmla="*/ 1242060 h 1752600"/>
              <a:gd name="connsiteX4" fmla="*/ 830580 w 1790700"/>
              <a:gd name="connsiteY4" fmla="*/ 1417320 h 1752600"/>
              <a:gd name="connsiteX5" fmla="*/ 1684020 w 1790700"/>
              <a:gd name="connsiteY5" fmla="*/ 1752600 h 1752600"/>
              <a:gd name="connsiteX6" fmla="*/ 1790700 w 1790700"/>
              <a:gd name="connsiteY6" fmla="*/ 1165860 h 1752600"/>
              <a:gd name="connsiteX7" fmla="*/ 1257300 w 1790700"/>
              <a:gd name="connsiteY7" fmla="*/ 1005840 h 1752600"/>
              <a:gd name="connsiteX8" fmla="*/ 1363980 w 1790700"/>
              <a:gd name="connsiteY8" fmla="*/ 975360 h 1752600"/>
              <a:gd name="connsiteX9" fmla="*/ 1348740 w 1790700"/>
              <a:gd name="connsiteY9" fmla="*/ 693420 h 1752600"/>
              <a:gd name="connsiteX10" fmla="*/ 1173480 w 1790700"/>
              <a:gd name="connsiteY10" fmla="*/ 678180 h 1752600"/>
              <a:gd name="connsiteX11" fmla="*/ 1226820 w 1790700"/>
              <a:gd name="connsiteY11" fmla="*/ 571500 h 1752600"/>
              <a:gd name="connsiteX12" fmla="*/ 967740 w 1790700"/>
              <a:gd name="connsiteY12" fmla="*/ 662940 h 1752600"/>
              <a:gd name="connsiteX13" fmla="*/ 960120 w 1790700"/>
              <a:gd name="connsiteY13" fmla="*/ 0 h 1752600"/>
              <a:gd name="connsiteX14" fmla="*/ 647700 w 1790700"/>
              <a:gd name="connsiteY14" fmla="*/ 106680 h 1752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790700" h="1752600">
                <a:moveTo>
                  <a:pt x="647700" y="106680"/>
                </a:moveTo>
                <a:lnTo>
                  <a:pt x="586740" y="464820"/>
                </a:lnTo>
                <a:lnTo>
                  <a:pt x="38100" y="982980"/>
                </a:lnTo>
                <a:lnTo>
                  <a:pt x="0" y="1242060"/>
                </a:lnTo>
                <a:lnTo>
                  <a:pt x="830580" y="1417320"/>
                </a:lnTo>
                <a:lnTo>
                  <a:pt x="1684020" y="1752600"/>
                </a:lnTo>
                <a:lnTo>
                  <a:pt x="1790700" y="1165860"/>
                </a:lnTo>
                <a:lnTo>
                  <a:pt x="1257300" y="1005840"/>
                </a:lnTo>
                <a:lnTo>
                  <a:pt x="1363980" y="975360"/>
                </a:lnTo>
                <a:lnTo>
                  <a:pt x="1348740" y="693420"/>
                </a:lnTo>
                <a:lnTo>
                  <a:pt x="1173480" y="678180"/>
                </a:lnTo>
                <a:lnTo>
                  <a:pt x="1226820" y="571500"/>
                </a:lnTo>
                <a:lnTo>
                  <a:pt x="967740" y="662940"/>
                </a:lnTo>
                <a:lnTo>
                  <a:pt x="960120" y="0"/>
                </a:lnTo>
                <a:lnTo>
                  <a:pt x="647700" y="106680"/>
                </a:lnTo>
                <a:close/>
              </a:path>
            </a:pathLst>
          </a:cu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rot="562349">
            <a:off x="4542988" y="3334904"/>
            <a:ext cx="298574" cy="294154"/>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Rectangle 33">
            <a:extLst>
              <a:ext uri="{FF2B5EF4-FFF2-40B4-BE49-F238E27FC236}">
                <a16:creationId xmlns:a16="http://schemas.microsoft.com/office/drawing/2014/main" id="{00000000-0008-0000-0000-000022000000}"/>
              </a:ext>
            </a:extLst>
          </xdr:cNvPr>
          <xdr:cNvSpPr/>
        </xdr:nvSpPr>
        <xdr:spPr>
          <a:xfrm rot="562349">
            <a:off x="4875683" y="3106662"/>
            <a:ext cx="298574" cy="294154"/>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5" name="Rectangle 34">
            <a:extLst>
              <a:ext uri="{FF2B5EF4-FFF2-40B4-BE49-F238E27FC236}">
                <a16:creationId xmlns:a16="http://schemas.microsoft.com/office/drawing/2014/main" id="{00000000-0008-0000-0000-000023000000}"/>
              </a:ext>
            </a:extLst>
          </xdr:cNvPr>
          <xdr:cNvSpPr/>
        </xdr:nvSpPr>
        <xdr:spPr>
          <a:xfrm rot="562349">
            <a:off x="5114488" y="3472313"/>
            <a:ext cx="298574" cy="294154"/>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6" name="TextBox 28">
            <a:extLst>
              <a:ext uri="{FF2B5EF4-FFF2-40B4-BE49-F238E27FC236}">
                <a16:creationId xmlns:a16="http://schemas.microsoft.com/office/drawing/2014/main" id="{00000000-0008-0000-0000-000024000000}"/>
              </a:ext>
            </a:extLst>
          </xdr:cNvPr>
          <xdr:cNvSpPr txBox="1"/>
        </xdr:nvSpPr>
        <xdr:spPr>
          <a:xfrm>
            <a:off x="3727504" y="3130628"/>
            <a:ext cx="663404" cy="24622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Tower A</a:t>
            </a:r>
            <a:endParaRPr lang="en-IN" sz="1000" b="1"/>
          </a:p>
        </xdr:txBody>
      </xdr:sp>
      <xdr:sp macro="" textlink="">
        <xdr:nvSpPr>
          <xdr:cNvPr id="37" name="TextBox 83">
            <a:extLst>
              <a:ext uri="{FF2B5EF4-FFF2-40B4-BE49-F238E27FC236}">
                <a16:creationId xmlns:a16="http://schemas.microsoft.com/office/drawing/2014/main" id="{00000000-0008-0000-0000-000025000000}"/>
              </a:ext>
            </a:extLst>
          </xdr:cNvPr>
          <xdr:cNvSpPr txBox="1"/>
        </xdr:nvSpPr>
        <xdr:spPr>
          <a:xfrm>
            <a:off x="4007094" y="2833922"/>
            <a:ext cx="663404" cy="24622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Tower B</a:t>
            </a:r>
            <a:endParaRPr lang="en-IN" sz="1000" b="1"/>
          </a:p>
        </xdr:txBody>
      </xdr:sp>
      <xdr:sp macro="" textlink="">
        <xdr:nvSpPr>
          <xdr:cNvPr id="38" name="TextBox 85">
            <a:extLst>
              <a:ext uri="{FF2B5EF4-FFF2-40B4-BE49-F238E27FC236}">
                <a16:creationId xmlns:a16="http://schemas.microsoft.com/office/drawing/2014/main" id="{00000000-0008-0000-0000-000026000000}"/>
              </a:ext>
            </a:extLst>
          </xdr:cNvPr>
          <xdr:cNvSpPr txBox="1"/>
        </xdr:nvSpPr>
        <xdr:spPr>
          <a:xfrm>
            <a:off x="5842710" y="3080143"/>
            <a:ext cx="663404" cy="24622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Tower C</a:t>
            </a:r>
            <a:endParaRPr lang="en-IN" sz="1000" b="1"/>
          </a:p>
        </xdr:txBody>
      </xdr:sp>
      <xdr:cxnSp macro="">
        <xdr:nvCxnSpPr>
          <xdr:cNvPr id="39" name="Straight Arrow Connector 38">
            <a:extLst>
              <a:ext uri="{FF2B5EF4-FFF2-40B4-BE49-F238E27FC236}">
                <a16:creationId xmlns:a16="http://schemas.microsoft.com/office/drawing/2014/main" id="{00000000-0008-0000-0000-000027000000}"/>
              </a:ext>
            </a:extLst>
          </xdr:cNvPr>
          <xdr:cNvCxnSpPr>
            <a:stCxn id="36" idx="3"/>
            <a:endCxn id="33" idx="1"/>
          </xdr:cNvCxnSpPr>
        </xdr:nvCxnSpPr>
        <xdr:spPr>
          <a:xfrm>
            <a:off x="4390908" y="3253739"/>
            <a:ext cx="154073" cy="2039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0" name="Straight Arrow Connector 39">
            <a:extLst>
              <a:ext uri="{FF2B5EF4-FFF2-40B4-BE49-F238E27FC236}">
                <a16:creationId xmlns:a16="http://schemas.microsoft.com/office/drawing/2014/main" id="{00000000-0008-0000-0000-000028000000}"/>
              </a:ext>
            </a:extLst>
          </xdr:cNvPr>
          <xdr:cNvCxnSpPr>
            <a:stCxn id="37" idx="3"/>
            <a:endCxn id="34" idx="1"/>
          </xdr:cNvCxnSpPr>
        </xdr:nvCxnSpPr>
        <xdr:spPr>
          <a:xfrm>
            <a:off x="4670498" y="2957033"/>
            <a:ext cx="207178" cy="27239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 name="Straight Arrow Connector 40">
            <a:extLst>
              <a:ext uri="{FF2B5EF4-FFF2-40B4-BE49-F238E27FC236}">
                <a16:creationId xmlns:a16="http://schemas.microsoft.com/office/drawing/2014/main" id="{00000000-0008-0000-0000-000029000000}"/>
              </a:ext>
            </a:extLst>
          </xdr:cNvPr>
          <xdr:cNvCxnSpPr>
            <a:stCxn id="38" idx="1"/>
            <a:endCxn id="35" idx="0"/>
          </xdr:cNvCxnSpPr>
        </xdr:nvCxnSpPr>
        <xdr:spPr>
          <a:xfrm flipH="1">
            <a:off x="5287727" y="3203254"/>
            <a:ext cx="554983" cy="27102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2" name="TextBox 86">
            <a:extLst>
              <a:ext uri="{FF2B5EF4-FFF2-40B4-BE49-F238E27FC236}">
                <a16:creationId xmlns:a16="http://schemas.microsoft.com/office/drawing/2014/main" id="{00000000-0008-0000-0000-00002A000000}"/>
              </a:ext>
            </a:extLst>
          </xdr:cNvPr>
          <xdr:cNvSpPr txBox="1"/>
        </xdr:nvSpPr>
        <xdr:spPr>
          <a:xfrm>
            <a:off x="5437233" y="2650206"/>
            <a:ext cx="663404" cy="246221"/>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Tower D</a:t>
            </a:r>
            <a:endParaRPr lang="en-IN" sz="1000" b="1"/>
          </a:p>
        </xdr:txBody>
      </xdr:sp>
    </xdr:grpSp>
    <xdr:clientData/>
  </xdr:twoCellAnchor>
  <xdr:twoCellAnchor editAs="oneCell">
    <xdr:from>
      <xdr:col>8</xdr:col>
      <xdr:colOff>257735</xdr:colOff>
      <xdr:row>60</xdr:row>
      <xdr:rowOff>549089</xdr:rowOff>
    </xdr:from>
    <xdr:to>
      <xdr:col>11</xdr:col>
      <xdr:colOff>459529</xdr:colOff>
      <xdr:row>63</xdr:row>
      <xdr:rowOff>20552</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6566647" y="17593236"/>
          <a:ext cx="2880000" cy="1320434"/>
        </a:xfrm>
        <a:prstGeom prst="rect">
          <a:avLst/>
        </a:prstGeom>
        <a:ln>
          <a:solidFill>
            <a:schemeClr val="tx1"/>
          </a:solidFill>
        </a:ln>
      </xdr:spPr>
    </xdr:pic>
    <xdr:clientData/>
  </xdr:twoCellAnchor>
  <xdr:twoCellAnchor editAs="oneCell">
    <xdr:from>
      <xdr:col>8</xdr:col>
      <xdr:colOff>425823</xdr:colOff>
      <xdr:row>20</xdr:row>
      <xdr:rowOff>22411</xdr:rowOff>
    </xdr:from>
    <xdr:to>
      <xdr:col>13</xdr:col>
      <xdr:colOff>804546</xdr:colOff>
      <xdr:row>30</xdr:row>
      <xdr:rowOff>78154</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5"/>
        <a:stretch>
          <a:fillRect/>
        </a:stretch>
      </xdr:blipFill>
      <xdr:spPr>
        <a:xfrm>
          <a:off x="6734735" y="5300382"/>
          <a:ext cx="4771429" cy="2285714"/>
        </a:xfrm>
        <a:prstGeom prst="rect">
          <a:avLst/>
        </a:prstGeom>
        <a:ln>
          <a:solidFill>
            <a:schemeClr val="tx1"/>
          </a:solidFill>
        </a:ln>
      </xdr:spPr>
    </xdr:pic>
    <xdr:clientData/>
  </xdr:twoCellAnchor>
  <xdr:twoCellAnchor editAs="oneCell">
    <xdr:from>
      <xdr:col>9</xdr:col>
      <xdr:colOff>110377</xdr:colOff>
      <xdr:row>13</xdr:row>
      <xdr:rowOff>243729</xdr:rowOff>
    </xdr:from>
    <xdr:to>
      <xdr:col>12</xdr:col>
      <xdr:colOff>118694</xdr:colOff>
      <xdr:row>15</xdr:row>
      <xdr:rowOff>666751</xdr:rowOff>
    </xdr:to>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6"/>
        <a:stretch>
          <a:fillRect/>
        </a:stretch>
      </xdr:blipFill>
      <xdr:spPr>
        <a:xfrm>
          <a:off x="7587502" y="3225054"/>
          <a:ext cx="2446717" cy="1032622"/>
        </a:xfrm>
        <a:prstGeom prst="rect">
          <a:avLst/>
        </a:prstGeom>
        <a:ln>
          <a:solidFill>
            <a:schemeClr val="tx1"/>
          </a:solidFill>
        </a:ln>
      </xdr:spPr>
    </xdr:pic>
    <xdr:clientData/>
  </xdr:twoCellAnchor>
  <xdr:twoCellAnchor editAs="oneCell">
    <xdr:from>
      <xdr:col>8</xdr:col>
      <xdr:colOff>358588</xdr:colOff>
      <xdr:row>16</xdr:row>
      <xdr:rowOff>145676</xdr:rowOff>
    </xdr:from>
    <xdr:to>
      <xdr:col>14</xdr:col>
      <xdr:colOff>20679</xdr:colOff>
      <xdr:row>20</xdr:row>
      <xdr:rowOff>100758</xdr:rowOff>
    </xdr:to>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7"/>
        <a:stretch>
          <a:fillRect/>
        </a:stretch>
      </xdr:blipFill>
      <xdr:spPr>
        <a:xfrm>
          <a:off x="6667500" y="4471147"/>
          <a:ext cx="4895238" cy="761905"/>
        </a:xfrm>
        <a:prstGeom prst="rect">
          <a:avLst/>
        </a:prstGeom>
        <a:ln>
          <a:solidFill>
            <a:schemeClr val="tx1"/>
          </a:solidFill>
        </a:ln>
      </xdr:spPr>
    </xdr:pic>
    <xdr:clientData/>
  </xdr:twoCellAnchor>
  <xdr:twoCellAnchor>
    <xdr:from>
      <xdr:col>9</xdr:col>
      <xdr:colOff>405765</xdr:colOff>
      <xdr:row>322</xdr:row>
      <xdr:rowOff>169545</xdr:rowOff>
    </xdr:from>
    <xdr:to>
      <xdr:col>17</xdr:col>
      <xdr:colOff>28241</xdr:colOff>
      <xdr:row>345</xdr:row>
      <xdr:rowOff>91263</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8086725" y="69427725"/>
          <a:ext cx="6068996" cy="4470858"/>
          <a:chOff x="219075" y="67303650"/>
          <a:chExt cx="5920406" cy="4512768"/>
        </a:xfrm>
      </xdr:grpSpPr>
      <xdr:pic>
        <xdr:nvPicPr>
          <xdr:cNvPr id="53" name="Picture 52" descr="http://vsjcllp.vsjadon.com/upload/insp-233825-1525.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3503272" y="69624018"/>
            <a:ext cx="1642587" cy="2192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vsjcllp.vsjadon.com/upload/insp-233825-843.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a:ext>
            </a:extLst>
          </a:blip>
          <a:srcRect/>
          <a:stretch>
            <a:fillRect/>
          </a:stretch>
        </xdr:blipFill>
        <xdr:spPr bwMode="auto">
          <a:xfrm>
            <a:off x="219075" y="67303650"/>
            <a:ext cx="2920492" cy="2192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vsjcllp.vsjadon.com/upload/insp-233825-849.jpg">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500276" y="69624018"/>
            <a:ext cx="2920492" cy="2192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vsjcllp.vsjadon.com/upload/insp-233825-851.jpg">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a:ext>
            </a:extLst>
          </a:blip>
          <a:srcRect/>
          <a:stretch>
            <a:fillRect/>
          </a:stretch>
        </xdr:blipFill>
        <xdr:spPr bwMode="auto">
          <a:xfrm>
            <a:off x="3218989" y="67313175"/>
            <a:ext cx="2920492" cy="2192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381000</xdr:colOff>
      <xdr:row>324</xdr:row>
      <xdr:rowOff>83820</xdr:rowOff>
    </xdr:from>
    <xdr:to>
      <xdr:col>7</xdr:col>
      <xdr:colOff>358140</xdr:colOff>
      <xdr:row>359</xdr:row>
      <xdr:rowOff>129540</xdr:rowOff>
    </xdr:to>
    <xdr:grpSp>
      <xdr:nvGrpSpPr>
        <xdr:cNvPr id="43" name="Group 42">
          <a:extLst>
            <a:ext uri="{FF2B5EF4-FFF2-40B4-BE49-F238E27FC236}">
              <a16:creationId xmlns:a16="http://schemas.microsoft.com/office/drawing/2014/main" id="{251C005E-9777-2692-8AD2-45F038F991D5}"/>
            </a:ext>
          </a:extLst>
        </xdr:cNvPr>
        <xdr:cNvGrpSpPr/>
      </xdr:nvGrpSpPr>
      <xdr:grpSpPr>
        <a:xfrm>
          <a:off x="381000" y="69738240"/>
          <a:ext cx="5707380" cy="6972300"/>
          <a:chOff x="904493" y="100178"/>
          <a:chExt cx="5049013" cy="6081377"/>
        </a:xfrm>
      </xdr:grpSpPr>
      <xdr:pic>
        <xdr:nvPicPr>
          <xdr:cNvPr id="45" name="Picture 44">
            <a:extLst>
              <a:ext uri="{FF2B5EF4-FFF2-40B4-BE49-F238E27FC236}">
                <a16:creationId xmlns:a16="http://schemas.microsoft.com/office/drawing/2014/main" id="{78FA1485-5283-A6AC-EDFF-9925A8525B39}"/>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054651" y="4021555"/>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a:extLst>
              <a:ext uri="{FF2B5EF4-FFF2-40B4-BE49-F238E27FC236}">
                <a16:creationId xmlns:a16="http://schemas.microsoft.com/office/drawing/2014/main" id="{DC0E89EB-D521-C1F1-9F3B-236261DD794A}"/>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04493" y="100178"/>
            <a:ext cx="5049013" cy="37902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a:extLst>
              <a:ext uri="{FF2B5EF4-FFF2-40B4-BE49-F238E27FC236}">
                <a16:creationId xmlns:a16="http://schemas.microsoft.com/office/drawing/2014/main" id="{0F96EA0B-F37B-A686-4CCE-1C50712CE507}"/>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084692" y="4021555"/>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oberoigardencity.site/new-launch/search/index.html?gad_source=1&amp;gclid=CjwKCAjwpbi4BhByEiwAMC8JnT7NSVwly5WRIm4VrvPzdcBtLdlucC4vgR93mod_vtI5W3ev9HBfOhoCiH8QAvD_BwE" TargetMode="External"/><Relationship Id="rId1" Type="http://schemas.openxmlformats.org/officeDocument/2006/relationships/hyperlink" Target="https://maps.app.goo.gl/BCaF2U2Xuo3zWVRb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408"/>
  <sheetViews>
    <sheetView tabSelected="1" view="pageBreakPreview" zoomScaleNormal="100" zoomScaleSheetLayoutView="100" zoomScalePageLayoutView="85" workbookViewId="0">
      <selection activeCell="I11" sqref="I11:L11"/>
    </sheetView>
  </sheetViews>
  <sheetFormatPr defaultColWidth="9.109375" defaultRowHeight="15.6" x14ac:dyDescent="0.3"/>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8" width="11" style="39" customWidth="1"/>
    <col min="9" max="9" width="17.44140625" style="20" customWidth="1"/>
    <col min="10" max="10" width="11.44140625" style="20" customWidth="1"/>
    <col min="11" max="11" width="11.33203125" style="20" bestFit="1" customWidth="1"/>
    <col min="12" max="12" width="13.88671875" style="20" bestFit="1" customWidth="1"/>
    <col min="13" max="13" width="11.88671875" style="20" customWidth="1"/>
    <col min="14" max="14" width="12.554687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225" t="s">
        <v>165</v>
      </c>
      <c r="B1" s="225"/>
      <c r="C1" s="225"/>
      <c r="D1" s="225"/>
      <c r="E1" s="225"/>
      <c r="F1" s="225"/>
      <c r="G1" s="225"/>
      <c r="H1" s="225"/>
    </row>
    <row r="2" spans="1:26" ht="16.5" customHeight="1" x14ac:dyDescent="0.3">
      <c r="A2" s="226" t="s">
        <v>0</v>
      </c>
      <c r="B2" s="226"/>
      <c r="C2" s="226"/>
      <c r="D2" s="226"/>
      <c r="E2" s="226"/>
      <c r="F2" s="226"/>
      <c r="G2" s="226"/>
      <c r="H2" s="226"/>
    </row>
    <row r="3" spans="1:26" x14ac:dyDescent="0.3">
      <c r="A3" s="180" t="s">
        <v>1</v>
      </c>
      <c r="B3" s="180"/>
      <c r="C3" s="180"/>
      <c r="D3" s="180"/>
      <c r="E3" s="180" t="str">
        <f ca="1">TEXT(TODAY(),"DD/MM/YYYY")</f>
        <v>13/08/2025</v>
      </c>
      <c r="F3" s="180"/>
      <c r="G3" s="180"/>
      <c r="H3" s="180"/>
      <c r="K3" s="55" t="s">
        <v>237</v>
      </c>
      <c r="L3" s="53" t="s">
        <v>235</v>
      </c>
      <c r="M3" s="53" t="s">
        <v>240</v>
      </c>
      <c r="N3" s="53" t="s">
        <v>238</v>
      </c>
      <c r="O3" s="53" t="s">
        <v>341</v>
      </c>
      <c r="P3" s="53" t="s">
        <v>241</v>
      </c>
    </row>
    <row r="4" spans="1:26" ht="15" customHeight="1" x14ac:dyDescent="0.3">
      <c r="A4" s="180" t="s">
        <v>234</v>
      </c>
      <c r="B4" s="180"/>
      <c r="C4" s="180"/>
      <c r="D4" s="180"/>
      <c r="E4" s="187" t="s">
        <v>235</v>
      </c>
      <c r="F4" s="187"/>
      <c r="G4" s="187"/>
      <c r="H4" s="187"/>
      <c r="K4" s="52" t="s">
        <v>236</v>
      </c>
      <c r="L4" s="53" t="s">
        <v>171</v>
      </c>
      <c r="M4" s="53" t="s">
        <v>245</v>
      </c>
      <c r="N4" s="53" t="s">
        <v>247</v>
      </c>
      <c r="O4" s="53" t="s">
        <v>342</v>
      </c>
      <c r="P4" s="53"/>
    </row>
    <row r="5" spans="1:26" ht="15" customHeight="1" x14ac:dyDescent="0.3">
      <c r="A5" s="180" t="s">
        <v>2</v>
      </c>
      <c r="B5" s="180"/>
      <c r="C5" s="180"/>
      <c r="D5" s="180"/>
      <c r="E5" s="187" t="s">
        <v>171</v>
      </c>
      <c r="F5" s="187"/>
      <c r="G5" s="187"/>
      <c r="H5" s="187"/>
      <c r="K5" s="52"/>
      <c r="L5" s="53" t="s">
        <v>242</v>
      </c>
      <c r="M5" s="53" t="s">
        <v>246</v>
      </c>
      <c r="N5" s="53" t="s">
        <v>248</v>
      </c>
      <c r="O5" s="53" t="s">
        <v>343</v>
      </c>
      <c r="P5" s="53"/>
    </row>
    <row r="6" spans="1:26" x14ac:dyDescent="0.3">
      <c r="A6" s="187" t="s">
        <v>3</v>
      </c>
      <c r="B6" s="187"/>
      <c r="C6" s="187"/>
      <c r="D6" s="187"/>
      <c r="E6" s="227">
        <v>45881</v>
      </c>
      <c r="F6" s="180"/>
      <c r="G6" s="180"/>
      <c r="H6" s="180"/>
      <c r="K6" s="52"/>
      <c r="L6" s="53" t="s">
        <v>243</v>
      </c>
      <c r="M6" s="53"/>
      <c r="N6" s="53"/>
      <c r="O6" s="53" t="s">
        <v>344</v>
      </c>
      <c r="P6" s="53"/>
    </row>
    <row r="7" spans="1:26" ht="16.5" customHeight="1" x14ac:dyDescent="0.3">
      <c r="A7" s="180" t="s">
        <v>4</v>
      </c>
      <c r="B7" s="180"/>
      <c r="C7" s="180"/>
      <c r="D7" s="180"/>
      <c r="E7" s="180" t="s">
        <v>357</v>
      </c>
      <c r="F7" s="180"/>
      <c r="G7" s="180"/>
      <c r="H7" s="180"/>
      <c r="K7" s="52"/>
      <c r="L7" s="53" t="s">
        <v>244</v>
      </c>
      <c r="M7" s="53"/>
      <c r="N7" s="53"/>
      <c r="O7" s="53" t="s">
        <v>344</v>
      </c>
      <c r="P7" s="53"/>
    </row>
    <row r="8" spans="1:26" ht="15" customHeight="1" x14ac:dyDescent="0.3">
      <c r="A8" s="180" t="s">
        <v>5</v>
      </c>
      <c r="B8" s="180"/>
      <c r="C8" s="180"/>
      <c r="D8" s="180"/>
      <c r="E8" s="180" t="str">
        <f>E7</f>
        <v>Oberoi Realty Limited</v>
      </c>
      <c r="F8" s="180"/>
      <c r="G8" s="180"/>
      <c r="H8" s="180"/>
      <c r="K8" s="52"/>
      <c r="L8" s="53"/>
      <c r="M8" s="53"/>
      <c r="N8" s="53"/>
      <c r="O8" s="53" t="s">
        <v>345</v>
      </c>
      <c r="P8" s="53"/>
    </row>
    <row r="9" spans="1:26" x14ac:dyDescent="0.3">
      <c r="A9" s="180" t="s">
        <v>6</v>
      </c>
      <c r="B9" s="180"/>
      <c r="C9" s="180"/>
      <c r="D9" s="180"/>
      <c r="E9" s="127" t="s">
        <v>358</v>
      </c>
      <c r="F9" s="127"/>
      <c r="G9" s="127"/>
      <c r="H9" s="127"/>
      <c r="K9" s="52"/>
      <c r="L9" s="53"/>
      <c r="M9" s="53"/>
      <c r="N9" s="53"/>
      <c r="O9" s="53" t="s">
        <v>346</v>
      </c>
      <c r="P9" s="53"/>
    </row>
    <row r="10" spans="1:26" x14ac:dyDescent="0.3">
      <c r="A10" s="180" t="s">
        <v>168</v>
      </c>
      <c r="B10" s="180"/>
      <c r="C10" s="180"/>
      <c r="D10" s="180"/>
      <c r="E10" s="180" t="s">
        <v>359</v>
      </c>
      <c r="F10" s="180"/>
      <c r="G10" s="180"/>
      <c r="H10" s="180"/>
      <c r="K10" s="52"/>
      <c r="L10" s="91"/>
      <c r="M10" s="53"/>
      <c r="N10" s="53"/>
      <c r="O10" s="53" t="s">
        <v>347</v>
      </c>
      <c r="P10" s="53"/>
    </row>
    <row r="11" spans="1:26" x14ac:dyDescent="0.3">
      <c r="A11" s="187" t="s">
        <v>169</v>
      </c>
      <c r="B11" s="187"/>
      <c r="C11" s="187"/>
      <c r="D11" s="187"/>
      <c r="E11" s="180" t="s">
        <v>445</v>
      </c>
      <c r="F11" s="180"/>
      <c r="G11" s="180"/>
      <c r="H11" s="224"/>
      <c r="I11" s="284"/>
      <c r="J11" s="284"/>
      <c r="K11" s="284"/>
      <c r="L11" s="284"/>
      <c r="O11" s="53" t="s">
        <v>348</v>
      </c>
    </row>
    <row r="12" spans="1:26" x14ac:dyDescent="0.3">
      <c r="A12" s="180" t="s">
        <v>7</v>
      </c>
      <c r="B12" s="180"/>
      <c r="C12" s="180"/>
      <c r="D12" s="180"/>
      <c r="E12" s="180" t="s">
        <v>361</v>
      </c>
      <c r="F12" s="180"/>
      <c r="G12" s="180"/>
      <c r="H12" s="180"/>
    </row>
    <row r="13" spans="1:26" x14ac:dyDescent="0.3">
      <c r="A13" s="187" t="s">
        <v>172</v>
      </c>
      <c r="B13" s="187"/>
      <c r="C13" s="187"/>
      <c r="D13" s="187"/>
      <c r="E13" s="180" t="s">
        <v>28</v>
      </c>
      <c r="F13" s="180"/>
      <c r="G13" s="180"/>
      <c r="H13" s="180"/>
      <c r="S13" s="53" t="s">
        <v>181</v>
      </c>
      <c r="T13" s="53" t="s">
        <v>190</v>
      </c>
      <c r="U13" s="53" t="s">
        <v>173</v>
      </c>
      <c r="V13" s="53" t="s">
        <v>195</v>
      </c>
      <c r="W13" s="53" t="s">
        <v>213</v>
      </c>
      <c r="X13"/>
      <c r="Y13" t="s">
        <v>195</v>
      </c>
      <c r="Z13" t="e">
        <f ca="1">OFFSET($S$13,1,MATCH($G20,$S$13:$W$13,0)-1,15,1)</f>
        <v>#VALUE!</v>
      </c>
    </row>
    <row r="14" spans="1:26" ht="32.25" customHeight="1" x14ac:dyDescent="0.3">
      <c r="A14" s="92" t="s">
        <v>280</v>
      </c>
      <c r="B14" s="92"/>
      <c r="C14" s="92"/>
      <c r="D14" s="92"/>
      <c r="E14" s="223" t="s">
        <v>428</v>
      </c>
      <c r="F14" s="223"/>
      <c r="G14" s="223"/>
      <c r="H14" s="223"/>
      <c r="S14" s="53" t="s">
        <v>181</v>
      </c>
      <c r="T14" s="53" t="s">
        <v>188</v>
      </c>
      <c r="U14" s="53" t="s">
        <v>210</v>
      </c>
      <c r="V14" s="53" t="s">
        <v>196</v>
      </c>
      <c r="W14" s="53" t="s">
        <v>214</v>
      </c>
      <c r="X14"/>
      <c r="Y14"/>
      <c r="Z14"/>
    </row>
    <row r="15" spans="1:26" x14ac:dyDescent="0.3">
      <c r="A15" s="92" t="s">
        <v>8</v>
      </c>
      <c r="B15" s="92"/>
      <c r="C15" s="92"/>
      <c r="D15" s="92"/>
      <c r="E15" s="223" t="s">
        <v>356</v>
      </c>
      <c r="F15" s="187"/>
      <c r="G15" s="187"/>
      <c r="H15" s="187"/>
      <c r="I15" s="245" t="e">
        <f ca="1">OFFSET($D$5,1,MATCH($J13,$D$5:$H$5,0)-1,15,1)</f>
        <v>#N/A</v>
      </c>
      <c r="J15" s="246"/>
      <c r="K15" s="246"/>
      <c r="L15" s="246"/>
      <c r="M15" s="246"/>
      <c r="N15" s="246"/>
      <c r="O15" s="246"/>
      <c r="P15" s="246"/>
      <c r="S15" s="53" t="s">
        <v>182</v>
      </c>
      <c r="T15" s="53" t="s">
        <v>189</v>
      </c>
      <c r="U15" s="53" t="s">
        <v>211</v>
      </c>
      <c r="V15" s="53" t="s">
        <v>197</v>
      </c>
      <c r="W15" s="53" t="s">
        <v>227</v>
      </c>
      <c r="X15"/>
      <c r="Y15"/>
      <c r="Z15"/>
    </row>
    <row r="16" spans="1:26" ht="55.5" customHeight="1" x14ac:dyDescent="0.3">
      <c r="A16" s="207" t="s">
        <v>9</v>
      </c>
      <c r="B16" s="207"/>
      <c r="C16" s="207" t="str">
        <f>CONCATENATE((IF(OR(E9="",E9="NA"),"",E9)),", ",(IF(OR(A17="",A17="NA"),"",A17)),".",(IF(OR(C17="",C17="NA"),"",C17)),", near ",(IF(OR(C22="",C22="NA"),"",C22)),", ",(IF(OR(C19="",C19="NA"),"",C19)),", ",(IF(OR(C18="",C18="NA"),"",C18)),", ",(IF(OR(G19="",G19="NA"),"",G19)),", ",(IF(OR(C20="",C20="NA"),"",C20)),", ",(IF(OR(C21="",C21="NA"),"",C21)),", ",(IF(OR(G20="",G20="NA"),"",G20))," - ",(IF(OR(G21="",G21="NA"),"",G21)),".")</f>
        <v>OGC Thane Phase 1, Plot No.A, S No.172/1, 176/1, 176/5, 176/6, 176/7, 283/7/C, 283/8/C, near Panchvati Apartment, Pokhran Road No.2, Vasant Vihar, Majiwada, Thane West, Thane, Thane - 400606.</v>
      </c>
      <c r="D16" s="207"/>
      <c r="E16" s="207"/>
      <c r="F16" s="207"/>
      <c r="G16" s="207"/>
      <c r="H16" s="207"/>
      <c r="S16" s="53" t="s">
        <v>183</v>
      </c>
      <c r="T16" s="53" t="s">
        <v>191</v>
      </c>
      <c r="U16" s="53" t="s">
        <v>212</v>
      </c>
      <c r="V16" s="53" t="s">
        <v>198</v>
      </c>
      <c r="W16" s="53" t="s">
        <v>215</v>
      </c>
      <c r="X16"/>
      <c r="Y16"/>
      <c r="Z16"/>
    </row>
    <row r="17" spans="1:26" x14ac:dyDescent="0.3">
      <c r="A17" s="223" t="s">
        <v>362</v>
      </c>
      <c r="B17" s="223"/>
      <c r="C17" s="223" t="s">
        <v>429</v>
      </c>
      <c r="D17" s="223"/>
      <c r="E17" s="223"/>
      <c r="F17" s="223"/>
      <c r="G17" s="223"/>
      <c r="H17" s="223"/>
      <c r="S17" s="53" t="s">
        <v>184</v>
      </c>
      <c r="T17" s="53" t="s">
        <v>192</v>
      </c>
      <c r="U17" s="53" t="s">
        <v>173</v>
      </c>
      <c r="V17" s="53" t="s">
        <v>199</v>
      </c>
      <c r="W17" s="53" t="s">
        <v>216</v>
      </c>
      <c r="X17"/>
      <c r="Y17"/>
      <c r="Z17"/>
    </row>
    <row r="18" spans="1:26" ht="15.75" customHeight="1" x14ac:dyDescent="0.3">
      <c r="A18" s="155" t="s">
        <v>163</v>
      </c>
      <c r="B18" s="155"/>
      <c r="C18" s="155" t="s">
        <v>369</v>
      </c>
      <c r="D18" s="155"/>
      <c r="E18" s="155"/>
      <c r="F18" s="155"/>
      <c r="G18" s="155"/>
      <c r="H18" s="155"/>
      <c r="S18" s="53" t="s">
        <v>185</v>
      </c>
      <c r="T18" s="53" t="s">
        <v>190</v>
      </c>
      <c r="U18" s="53"/>
      <c r="V18" s="53" t="s">
        <v>200</v>
      </c>
      <c r="W18" s="53" t="s">
        <v>217</v>
      </c>
      <c r="X18"/>
      <c r="Y18"/>
      <c r="Z18"/>
    </row>
    <row r="19" spans="1:26" x14ac:dyDescent="0.3">
      <c r="A19" s="207" t="s">
        <v>10</v>
      </c>
      <c r="B19" s="207"/>
      <c r="C19" s="180" t="s">
        <v>363</v>
      </c>
      <c r="D19" s="180"/>
      <c r="E19" s="207" t="s">
        <v>70</v>
      </c>
      <c r="F19" s="207"/>
      <c r="G19" s="223" t="s">
        <v>387</v>
      </c>
      <c r="H19" s="223"/>
      <c r="S19" s="53" t="s">
        <v>186</v>
      </c>
      <c r="T19" s="53" t="s">
        <v>193</v>
      </c>
      <c r="U19" s="53"/>
      <c r="V19" s="53" t="s">
        <v>201</v>
      </c>
      <c r="W19" s="53" t="s">
        <v>218</v>
      </c>
      <c r="X19"/>
      <c r="Y19"/>
      <c r="Z19"/>
    </row>
    <row r="20" spans="1:26" x14ac:dyDescent="0.3">
      <c r="A20" s="92" t="s">
        <v>12</v>
      </c>
      <c r="B20" s="92"/>
      <c r="C20" s="155" t="s">
        <v>364</v>
      </c>
      <c r="D20" s="155"/>
      <c r="E20" s="207" t="s">
        <v>11</v>
      </c>
      <c r="F20" s="207"/>
      <c r="G20" s="222" t="s">
        <v>181</v>
      </c>
      <c r="H20" s="222"/>
      <c r="S20" s="53" t="s">
        <v>187</v>
      </c>
      <c r="T20" s="53" t="s">
        <v>194</v>
      </c>
      <c r="U20" s="53"/>
      <c r="V20" s="53" t="s">
        <v>202</v>
      </c>
      <c r="W20" s="53" t="s">
        <v>219</v>
      </c>
      <c r="X20"/>
      <c r="Y20"/>
      <c r="Z20"/>
    </row>
    <row r="21" spans="1:26" x14ac:dyDescent="0.3">
      <c r="A21" s="92" t="s">
        <v>71</v>
      </c>
      <c r="B21" s="92"/>
      <c r="C21" s="223" t="s">
        <v>181</v>
      </c>
      <c r="D21" s="223"/>
      <c r="E21" s="207" t="s">
        <v>13</v>
      </c>
      <c r="F21" s="207"/>
      <c r="G21" s="155">
        <v>400606</v>
      </c>
      <c r="H21" s="155"/>
      <c r="S21" s="53"/>
      <c r="T21" s="53"/>
      <c r="U21" s="53"/>
      <c r="V21" s="53" t="s">
        <v>203</v>
      </c>
      <c r="W21" s="53" t="s">
        <v>220</v>
      </c>
      <c r="X21"/>
      <c r="Y21"/>
      <c r="Z21"/>
    </row>
    <row r="22" spans="1:26" ht="32.25" customHeight="1" x14ac:dyDescent="0.3">
      <c r="A22" s="92" t="s">
        <v>119</v>
      </c>
      <c r="B22" s="92"/>
      <c r="C22" s="155" t="s">
        <v>368</v>
      </c>
      <c r="D22" s="155"/>
      <c r="E22" s="207" t="s">
        <v>14</v>
      </c>
      <c r="F22" s="207"/>
      <c r="G22" s="223" t="s">
        <v>422</v>
      </c>
      <c r="H22" s="223"/>
      <c r="S22" s="53"/>
      <c r="T22" s="53"/>
      <c r="U22" s="53"/>
      <c r="V22" s="53" t="s">
        <v>204</v>
      </c>
      <c r="W22" s="53" t="s">
        <v>221</v>
      </c>
      <c r="X22"/>
      <c r="Y22"/>
      <c r="Z22"/>
    </row>
    <row r="23" spans="1:26" ht="15" customHeight="1" x14ac:dyDescent="0.3">
      <c r="A23" s="207" t="s">
        <v>73</v>
      </c>
      <c r="B23" s="207"/>
      <c r="C23" s="207"/>
      <c r="D23" s="207"/>
      <c r="E23" s="180" t="s">
        <v>15</v>
      </c>
      <c r="F23" s="180"/>
      <c r="G23" s="180"/>
      <c r="H23" s="180"/>
      <c r="S23" s="53"/>
      <c r="T23" s="53"/>
      <c r="U23" s="53"/>
      <c r="V23" s="53" t="s">
        <v>205</v>
      </c>
      <c r="W23" s="53" t="s">
        <v>222</v>
      </c>
      <c r="X23"/>
      <c r="Y23"/>
      <c r="Z23"/>
    </row>
    <row r="24" spans="1:26" ht="18.75" customHeight="1" x14ac:dyDescent="0.3">
      <c r="A24" s="207"/>
      <c r="B24" s="207"/>
      <c r="C24" s="207"/>
      <c r="D24" s="207"/>
      <c r="E24" s="180"/>
      <c r="F24" s="180"/>
      <c r="G24" s="180"/>
      <c r="H24" s="180"/>
      <c r="S24" s="53"/>
      <c r="T24" s="53"/>
      <c r="U24" s="53"/>
      <c r="V24" s="53" t="s">
        <v>206</v>
      </c>
      <c r="W24" s="53" t="s">
        <v>223</v>
      </c>
      <c r="X24"/>
      <c r="Y24"/>
      <c r="Z24"/>
    </row>
    <row r="25" spans="1:26" ht="15" customHeight="1" x14ac:dyDescent="0.3">
      <c r="A25" s="207" t="s">
        <v>16</v>
      </c>
      <c r="B25" s="207"/>
      <c r="C25" s="207"/>
      <c r="D25" s="207"/>
      <c r="E25" s="155" t="s">
        <v>17</v>
      </c>
      <c r="F25" s="155"/>
      <c r="G25" s="155"/>
      <c r="H25" s="155"/>
      <c r="S25" s="53"/>
      <c r="T25" s="53"/>
      <c r="U25" s="53"/>
      <c r="V25" s="53" t="s">
        <v>207</v>
      </c>
      <c r="W25" s="53" t="s">
        <v>224</v>
      </c>
      <c r="X25"/>
      <c r="Y25"/>
      <c r="Z25"/>
    </row>
    <row r="26" spans="1:26" ht="15" customHeight="1" x14ac:dyDescent="0.3">
      <c r="A26" s="92" t="s">
        <v>18</v>
      </c>
      <c r="B26" s="92"/>
      <c r="C26" s="92"/>
      <c r="D26" s="92"/>
      <c r="E26" s="155" t="str">
        <f>IF(AND(G20="Mumbai"),"Upper Class","Middle Class")</f>
        <v>Middle Class</v>
      </c>
      <c r="F26" s="155"/>
      <c r="G26" s="155"/>
      <c r="H26" s="155"/>
      <c r="S26" s="53"/>
      <c r="T26" s="53"/>
      <c r="U26" s="53"/>
      <c r="V26" s="53" t="s">
        <v>208</v>
      </c>
      <c r="W26" s="53" t="s">
        <v>225</v>
      </c>
      <c r="X26"/>
      <c r="Y26"/>
      <c r="Z26"/>
    </row>
    <row r="27" spans="1:26" x14ac:dyDescent="0.3">
      <c r="A27" s="92" t="s">
        <v>19</v>
      </c>
      <c r="B27" s="92"/>
      <c r="C27" s="92"/>
      <c r="D27" s="92"/>
      <c r="E27" s="155" t="s">
        <v>20</v>
      </c>
      <c r="F27" s="155"/>
      <c r="G27" s="155"/>
      <c r="H27" s="155"/>
      <c r="S27" s="53"/>
      <c r="T27" s="53"/>
      <c r="U27" s="53"/>
      <c r="V27" s="53" t="s">
        <v>209</v>
      </c>
      <c r="W27" s="53" t="s">
        <v>226</v>
      </c>
      <c r="X27"/>
      <c r="Y27"/>
      <c r="Z27"/>
    </row>
    <row r="28" spans="1:26" ht="15.75" customHeight="1" x14ac:dyDescent="0.3">
      <c r="A28" s="92" t="s">
        <v>21</v>
      </c>
      <c r="B28" s="92"/>
      <c r="C28" s="92"/>
      <c r="D28" s="92"/>
      <c r="E28" s="155" t="str">
        <f>IF(AND(G20="Mumbai"),"Developed","Developing")</f>
        <v>Developing</v>
      </c>
      <c r="F28" s="155"/>
      <c r="G28" s="155"/>
      <c r="H28" s="155"/>
    </row>
    <row r="29" spans="1:26" x14ac:dyDescent="0.3">
      <c r="A29" s="92" t="s">
        <v>22</v>
      </c>
      <c r="B29" s="92"/>
      <c r="C29" s="92"/>
      <c r="D29" s="92"/>
      <c r="E29" s="155" t="s">
        <v>23</v>
      </c>
      <c r="F29" s="155"/>
      <c r="G29" s="155"/>
      <c r="H29" s="155"/>
    </row>
    <row r="30" spans="1:26" ht="15.75" customHeight="1" x14ac:dyDescent="0.3">
      <c r="A30" s="92" t="s">
        <v>78</v>
      </c>
      <c r="B30" s="92"/>
      <c r="C30" s="92"/>
      <c r="D30" s="92"/>
      <c r="E30" s="155" t="s">
        <v>79</v>
      </c>
      <c r="F30" s="155"/>
      <c r="G30" s="155"/>
      <c r="H30" s="155"/>
    </row>
    <row r="31" spans="1:26" ht="15" customHeight="1" x14ac:dyDescent="0.3">
      <c r="A31" s="92" t="s">
        <v>30</v>
      </c>
      <c r="B31" s="92"/>
      <c r="C31" s="92"/>
      <c r="D31" s="92"/>
      <c r="E31" s="155" t="str">
        <f>IF(AND(ISNUMBER(SEARCH("Flat",D67)),ISNUMBER(SEARCH("Shop",D67)),ISNUMBER(SEARCH("Office",D67))),"Residential + Commercial",IF(AND(ISNUMBER(SEARCH("Flat",D67)),ISNUMBER(SEARCH("Shop",D67))),"Residential + Commercial",IF(AND(ISNUMBER(SEARCH("Flat",D67)),ISNUMBER(SEARCH("Office",D67))),"Residential + Commercial",IF(AND(ISNUMBER(SEARCH("Shop",D67)),ISNUMBER(SEARCH("Office",D67))),"Commercial",IF(ISNUMBER(SEARCH("Shop",D67)),"Commercial",IF(ISNUMBER(SEARCH("Office",D67)),"Commercial",IF(ISNUMBER(SEARCH("Flat",D67)),"Residential")))))))</f>
        <v>Residential</v>
      </c>
      <c r="F31" s="155"/>
      <c r="G31" s="155"/>
      <c r="H31" s="155"/>
    </row>
    <row r="32" spans="1:26" ht="15.75" customHeight="1" x14ac:dyDescent="0.3">
      <c r="A32" s="92" t="s">
        <v>90</v>
      </c>
      <c r="B32" s="92"/>
      <c r="C32" s="92"/>
      <c r="D32" s="92"/>
      <c r="E32" s="155" t="s">
        <v>31</v>
      </c>
      <c r="F32" s="155"/>
      <c r="G32" s="155"/>
      <c r="H32" s="155"/>
    </row>
    <row r="33" spans="1:19" s="21" customFormat="1" x14ac:dyDescent="0.3">
      <c r="A33" s="214" t="s">
        <v>91</v>
      </c>
      <c r="B33" s="214"/>
      <c r="C33" s="211" t="s">
        <v>174</v>
      </c>
      <c r="D33" s="212"/>
      <c r="E33" s="213"/>
      <c r="F33" s="211" t="s">
        <v>29</v>
      </c>
      <c r="G33" s="212"/>
      <c r="H33" s="213"/>
      <c r="S33" s="21" t="e">
        <f ca="1">OFFSET($S$13,1,MATCH($G20,$S$13:$W$13,0)-1,15,1)</f>
        <v>#VALUE!</v>
      </c>
    </row>
    <row r="34" spans="1:19" s="21" customFormat="1" x14ac:dyDescent="0.3">
      <c r="A34" s="160" t="s">
        <v>24</v>
      </c>
      <c r="B34" s="160" t="s">
        <v>28</v>
      </c>
      <c r="C34" s="161" t="s">
        <v>370</v>
      </c>
      <c r="D34" s="162"/>
      <c r="E34" s="163"/>
      <c r="F34" s="161" t="s">
        <v>375</v>
      </c>
      <c r="G34" s="162"/>
      <c r="H34" s="163"/>
    </row>
    <row r="35" spans="1:19" ht="31.5" customHeight="1" x14ac:dyDescent="0.3">
      <c r="A35" s="215" t="s">
        <v>25</v>
      </c>
      <c r="B35" s="215" t="s">
        <v>28</v>
      </c>
      <c r="C35" s="216" t="s">
        <v>371</v>
      </c>
      <c r="D35" s="217"/>
      <c r="E35" s="218"/>
      <c r="F35" s="219" t="s">
        <v>374</v>
      </c>
      <c r="G35" s="220"/>
      <c r="H35" s="221"/>
    </row>
    <row r="36" spans="1:19" s="21" customFormat="1" x14ac:dyDescent="0.3">
      <c r="A36" s="160" t="s">
        <v>27</v>
      </c>
      <c r="B36" s="160" t="s">
        <v>28</v>
      </c>
      <c r="C36" s="161" t="s">
        <v>371</v>
      </c>
      <c r="D36" s="162"/>
      <c r="E36" s="163"/>
      <c r="F36" s="161" t="s">
        <v>373</v>
      </c>
      <c r="G36" s="162"/>
      <c r="H36" s="163"/>
    </row>
    <row r="37" spans="1:19" x14ac:dyDescent="0.3">
      <c r="A37" s="160" t="s">
        <v>26</v>
      </c>
      <c r="B37" s="160" t="s">
        <v>28</v>
      </c>
      <c r="C37" s="161" t="s">
        <v>372</v>
      </c>
      <c r="D37" s="162"/>
      <c r="E37" s="163"/>
      <c r="F37" s="161" t="s">
        <v>363</v>
      </c>
      <c r="G37" s="162"/>
      <c r="H37" s="163"/>
    </row>
    <row r="38" spans="1:19" x14ac:dyDescent="0.3">
      <c r="A38" s="92" t="s">
        <v>281</v>
      </c>
      <c r="B38" s="92"/>
      <c r="C38" s="92"/>
      <c r="D38" s="92"/>
      <c r="E38" s="92"/>
      <c r="F38" s="92"/>
      <c r="G38" s="92"/>
      <c r="H38" s="92"/>
    </row>
    <row r="39" spans="1:19" ht="15.75" customHeight="1" x14ac:dyDescent="0.3">
      <c r="A39" s="92" t="s">
        <v>166</v>
      </c>
      <c r="B39" s="92"/>
      <c r="C39" s="165" t="s">
        <v>366</v>
      </c>
      <c r="D39" s="165"/>
      <c r="E39" s="165"/>
      <c r="F39" s="165"/>
      <c r="G39" s="165"/>
      <c r="H39" s="165"/>
    </row>
    <row r="40" spans="1:19" x14ac:dyDescent="0.3">
      <c r="A40" s="92" t="s">
        <v>162</v>
      </c>
      <c r="B40" s="92"/>
      <c r="C40" s="154" t="s">
        <v>367</v>
      </c>
      <c r="D40" s="155"/>
      <c r="E40" s="155"/>
      <c r="F40" s="155"/>
      <c r="G40" s="155"/>
      <c r="H40" s="155"/>
    </row>
    <row r="41" spans="1:19" x14ac:dyDescent="0.3">
      <c r="A41" s="165" t="s">
        <v>32</v>
      </c>
      <c r="B41" s="165"/>
      <c r="C41" s="165"/>
      <c r="D41" s="165"/>
      <c r="E41" s="165"/>
      <c r="F41" s="165"/>
      <c r="G41" s="165"/>
      <c r="H41" s="165"/>
    </row>
    <row r="42" spans="1:19" x14ac:dyDescent="0.3">
      <c r="A42" s="92" t="s">
        <v>33</v>
      </c>
      <c r="B42" s="92"/>
      <c r="C42" s="92"/>
      <c r="D42" s="92"/>
      <c r="E42" s="164">
        <f>41850+157334+8375</f>
        <v>207559</v>
      </c>
      <c r="F42" s="164"/>
      <c r="G42" s="164"/>
      <c r="H42" s="164"/>
      <c r="I42" s="20">
        <f>41850+157334+8375</f>
        <v>207559</v>
      </c>
    </row>
    <row r="43" spans="1:19" x14ac:dyDescent="0.3">
      <c r="A43" s="92" t="s">
        <v>34</v>
      </c>
      <c r="B43" s="92"/>
      <c r="C43" s="92"/>
      <c r="D43" s="92"/>
      <c r="E43" s="185">
        <f>219102/E42</f>
        <v>1.0556131027804143</v>
      </c>
      <c r="F43" s="185"/>
      <c r="G43" s="185"/>
      <c r="H43" s="185"/>
      <c r="I43" s="20">
        <f>46035+173067</f>
        <v>219102</v>
      </c>
    </row>
    <row r="44" spans="1:19" x14ac:dyDescent="0.3">
      <c r="A44" s="92" t="s">
        <v>35</v>
      </c>
      <c r="B44" s="92"/>
      <c r="C44" s="92"/>
      <c r="D44" s="92"/>
      <c r="E44" s="185">
        <f>E46/E42-E43</f>
        <v>1.8083400864332553</v>
      </c>
      <c r="F44" s="185"/>
      <c r="G44" s="185"/>
      <c r="H44" s="185"/>
    </row>
    <row r="45" spans="1:19" x14ac:dyDescent="0.3">
      <c r="A45" s="92" t="s">
        <v>36</v>
      </c>
      <c r="B45" s="92"/>
      <c r="C45" s="92"/>
      <c r="D45" s="92"/>
      <c r="E45" s="185">
        <f>E43+E44</f>
        <v>2.8639531892136696</v>
      </c>
      <c r="F45" s="185"/>
      <c r="G45" s="185"/>
      <c r="H45" s="185"/>
    </row>
    <row r="46" spans="1:19" x14ac:dyDescent="0.3">
      <c r="A46" s="92" t="s">
        <v>89</v>
      </c>
      <c r="B46" s="92"/>
      <c r="C46" s="92"/>
      <c r="D46" s="92"/>
      <c r="E46" s="186">
        <v>594439.26</v>
      </c>
      <c r="F46" s="186"/>
      <c r="G46" s="186"/>
      <c r="H46" s="186"/>
    </row>
    <row r="47" spans="1:19" x14ac:dyDescent="0.3">
      <c r="A47" s="180" t="s">
        <v>37</v>
      </c>
      <c r="B47" s="180"/>
      <c r="C47" s="180"/>
      <c r="D47" s="180"/>
      <c r="E47" s="187" t="s">
        <v>365</v>
      </c>
      <c r="F47" s="187"/>
      <c r="G47" s="187"/>
      <c r="H47" s="187"/>
    </row>
    <row r="48" spans="1:19" x14ac:dyDescent="0.3">
      <c r="A48" s="165" t="s">
        <v>38</v>
      </c>
      <c r="B48" s="165"/>
      <c r="C48" s="165"/>
      <c r="D48" s="165"/>
      <c r="E48" s="165"/>
      <c r="F48" s="165"/>
      <c r="G48" s="165"/>
      <c r="H48" s="165"/>
    </row>
    <row r="49" spans="1:24" ht="33.75" customHeight="1" x14ac:dyDescent="0.3">
      <c r="A49" s="167" t="s">
        <v>151</v>
      </c>
      <c r="B49" s="169"/>
      <c r="C49" s="193" t="s">
        <v>261</v>
      </c>
      <c r="D49" s="194"/>
      <c r="E49" s="194"/>
      <c r="F49" s="194"/>
      <c r="G49" s="194"/>
      <c r="H49" s="195"/>
      <c r="R49" t="s">
        <v>254</v>
      </c>
      <c r="S49" s="56" t="s">
        <v>173</v>
      </c>
      <c r="T49" s="56" t="s">
        <v>181</v>
      </c>
      <c r="U49" s="56" t="s">
        <v>195</v>
      </c>
      <c r="V49" s="56" t="s">
        <v>190</v>
      </c>
    </row>
    <row r="50" spans="1:24" ht="30.75" customHeight="1" x14ac:dyDescent="0.3">
      <c r="A50" s="167" t="s">
        <v>39</v>
      </c>
      <c r="B50" s="169"/>
      <c r="C50" s="167" t="s">
        <v>430</v>
      </c>
      <c r="D50" s="168"/>
      <c r="E50" s="169"/>
      <c r="F50" s="17" t="s">
        <v>40</v>
      </c>
      <c r="G50" s="170">
        <v>45254</v>
      </c>
      <c r="H50" s="171"/>
      <c r="R50"/>
      <c r="S50" s="56" t="s">
        <v>255</v>
      </c>
      <c r="T50" s="56" t="s">
        <v>260</v>
      </c>
      <c r="U50" s="56" t="s">
        <v>271</v>
      </c>
      <c r="V50" s="56" t="s">
        <v>276</v>
      </c>
    </row>
    <row r="51" spans="1:24" ht="30.75" customHeight="1" x14ac:dyDescent="0.3">
      <c r="A51" s="167" t="s">
        <v>41</v>
      </c>
      <c r="B51" s="169"/>
      <c r="C51" s="167" t="str">
        <f>C50</f>
        <v>S04/0813/20/TMC/TDD/0030/( P/C)23/AUTO DCR</v>
      </c>
      <c r="D51" s="168"/>
      <c r="E51" s="169"/>
      <c r="F51" s="17" t="s">
        <v>40</v>
      </c>
      <c r="G51" s="170">
        <f>G50</f>
        <v>45254</v>
      </c>
      <c r="H51" s="171"/>
      <c r="R51"/>
      <c r="S51" s="56" t="s">
        <v>256</v>
      </c>
      <c r="T51" s="56" t="s">
        <v>261</v>
      </c>
      <c r="U51" s="56" t="s">
        <v>269</v>
      </c>
      <c r="V51" s="56" t="s">
        <v>277</v>
      </c>
    </row>
    <row r="52" spans="1:24" s="22" customFormat="1" ht="31.5" customHeight="1" x14ac:dyDescent="0.3">
      <c r="A52" s="176" t="s">
        <v>155</v>
      </c>
      <c r="B52" s="177"/>
      <c r="C52" s="167" t="s">
        <v>431</v>
      </c>
      <c r="D52" s="168"/>
      <c r="E52" s="169"/>
      <c r="F52" s="17" t="s">
        <v>40</v>
      </c>
      <c r="G52" s="170">
        <v>45254</v>
      </c>
      <c r="H52" s="171"/>
      <c r="I52" s="21" t="str">
        <f ca="1">IF(G52&gt;EDATE(E3,-48),"NO REMARK","CC REMARK FOR CC")</f>
        <v>NO REMARK</v>
      </c>
      <c r="J52" s="77"/>
      <c r="R52"/>
      <c r="S52" s="56" t="s">
        <v>257</v>
      </c>
      <c r="T52" s="56" t="s">
        <v>262</v>
      </c>
      <c r="U52" s="56" t="s">
        <v>259</v>
      </c>
      <c r="V52" s="56" t="s">
        <v>278</v>
      </c>
    </row>
    <row r="53" spans="1:24" s="22" customFormat="1" ht="51" customHeight="1" x14ac:dyDescent="0.3">
      <c r="A53" s="178"/>
      <c r="B53" s="179"/>
      <c r="C53" s="167" t="s">
        <v>378</v>
      </c>
      <c r="D53" s="168"/>
      <c r="E53" s="168"/>
      <c r="F53" s="168"/>
      <c r="G53" s="168"/>
      <c r="H53" s="169"/>
      <c r="K53" s="78">
        <f>EDATE(G52,-48)</f>
        <v>43793</v>
      </c>
      <c r="L53" s="22" t="str">
        <f ca="1">IF(G52&gt;EDATE(E3,-48),"NO REMARK","CC REMARK FOR CC")</f>
        <v>NO REMARK</v>
      </c>
      <c r="R53"/>
      <c r="S53" s="56" t="s">
        <v>258</v>
      </c>
      <c r="T53" s="56" t="s">
        <v>265</v>
      </c>
      <c r="U53" s="56" t="s">
        <v>272</v>
      </c>
      <c r="V53" s="73" t="s">
        <v>351</v>
      </c>
    </row>
    <row r="54" spans="1:24" s="22" customFormat="1" x14ac:dyDescent="0.3">
      <c r="A54" s="260" t="s">
        <v>424</v>
      </c>
      <c r="B54" s="261"/>
      <c r="C54" s="264" t="s">
        <v>376</v>
      </c>
      <c r="D54" s="265"/>
      <c r="E54" s="266"/>
      <c r="F54" s="89" t="s">
        <v>40</v>
      </c>
      <c r="G54" s="267">
        <v>45247</v>
      </c>
      <c r="H54" s="268"/>
      <c r="R54"/>
      <c r="S54" s="56" t="s">
        <v>257</v>
      </c>
      <c r="T54" s="56" t="s">
        <v>262</v>
      </c>
      <c r="U54" s="56" t="s">
        <v>259</v>
      </c>
      <c r="V54" s="56" t="s">
        <v>278</v>
      </c>
    </row>
    <row r="55" spans="1:24" s="22" customFormat="1" ht="19.5" customHeight="1" x14ac:dyDescent="0.3">
      <c r="A55" s="262"/>
      <c r="B55" s="263"/>
      <c r="C55" s="269" t="s">
        <v>377</v>
      </c>
      <c r="D55" s="270"/>
      <c r="E55" s="270"/>
      <c r="F55" s="270"/>
      <c r="G55" s="270"/>
      <c r="H55" s="271"/>
      <c r="R55"/>
      <c r="S55" s="56" t="s">
        <v>259</v>
      </c>
      <c r="T55" s="56" t="s">
        <v>263</v>
      </c>
      <c r="U55" s="56" t="s">
        <v>273</v>
      </c>
      <c r="V55" s="74"/>
      <c r="W55" s="20"/>
      <c r="X55" s="20"/>
    </row>
    <row r="56" spans="1:24" s="22" customFormat="1" x14ac:dyDescent="0.3">
      <c r="A56" s="272" t="s">
        <v>423</v>
      </c>
      <c r="B56" s="273"/>
      <c r="C56" s="276" t="s">
        <v>379</v>
      </c>
      <c r="D56" s="277"/>
      <c r="E56" s="278"/>
      <c r="F56" s="88" t="s">
        <v>40</v>
      </c>
      <c r="G56" s="279">
        <v>45247</v>
      </c>
      <c r="H56" s="280"/>
      <c r="R56"/>
      <c r="S56" s="56" t="s">
        <v>257</v>
      </c>
      <c r="T56" s="56" t="s">
        <v>262</v>
      </c>
      <c r="U56" s="56" t="s">
        <v>259</v>
      </c>
      <c r="V56" s="56" t="s">
        <v>278</v>
      </c>
    </row>
    <row r="57" spans="1:24" s="22" customFormat="1" ht="18.75" customHeight="1" x14ac:dyDescent="0.3">
      <c r="A57" s="274"/>
      <c r="B57" s="275"/>
      <c r="C57" s="281" t="s">
        <v>380</v>
      </c>
      <c r="D57" s="282"/>
      <c r="E57" s="282"/>
      <c r="F57" s="282"/>
      <c r="G57" s="282"/>
      <c r="H57" s="283"/>
      <c r="R57"/>
      <c r="S57" s="56" t="s">
        <v>259</v>
      </c>
      <c r="T57" s="56" t="s">
        <v>263</v>
      </c>
      <c r="U57" s="56" t="s">
        <v>273</v>
      </c>
      <c r="V57" s="74"/>
      <c r="W57" s="20"/>
      <c r="X57" s="20"/>
    </row>
    <row r="58" spans="1:24" s="22" customFormat="1" x14ac:dyDescent="0.3">
      <c r="A58" s="253" t="s">
        <v>425</v>
      </c>
      <c r="B58" s="254"/>
      <c r="C58" s="181" t="s">
        <v>381</v>
      </c>
      <c r="D58" s="182"/>
      <c r="E58" s="183"/>
      <c r="F58" s="87" t="s">
        <v>40</v>
      </c>
      <c r="G58" s="257">
        <v>45247</v>
      </c>
      <c r="H58" s="258"/>
      <c r="R58"/>
      <c r="S58" s="56" t="s">
        <v>257</v>
      </c>
      <c r="T58" s="56" t="s">
        <v>262</v>
      </c>
      <c r="U58" s="56" t="s">
        <v>259</v>
      </c>
      <c r="V58" s="56" t="s">
        <v>278</v>
      </c>
    </row>
    <row r="59" spans="1:24" s="22" customFormat="1" ht="17.25" customHeight="1" x14ac:dyDescent="0.3">
      <c r="A59" s="255"/>
      <c r="B59" s="256"/>
      <c r="C59" s="149" t="s">
        <v>382</v>
      </c>
      <c r="D59" s="150"/>
      <c r="E59" s="150"/>
      <c r="F59" s="150"/>
      <c r="G59" s="150"/>
      <c r="H59" s="151"/>
      <c r="R59"/>
      <c r="S59" s="56" t="s">
        <v>259</v>
      </c>
      <c r="T59" s="56" t="s">
        <v>263</v>
      </c>
      <c r="U59" s="56" t="s">
        <v>273</v>
      </c>
      <c r="V59" s="74"/>
      <c r="W59" s="20"/>
      <c r="X59" s="20"/>
    </row>
    <row r="60" spans="1:24" s="22" customFormat="1" ht="34.5" customHeight="1" x14ac:dyDescent="0.3">
      <c r="A60" s="172" t="s">
        <v>282</v>
      </c>
      <c r="B60" s="173"/>
      <c r="C60" s="167" t="s">
        <v>383</v>
      </c>
      <c r="D60" s="168"/>
      <c r="E60" s="169"/>
      <c r="F60" s="17" t="s">
        <v>40</v>
      </c>
      <c r="G60" s="170">
        <v>45324</v>
      </c>
      <c r="H60" s="171"/>
      <c r="R60"/>
      <c r="S60" s="74"/>
      <c r="T60" s="56" t="s">
        <v>264</v>
      </c>
      <c r="U60" s="56" t="s">
        <v>274</v>
      </c>
      <c r="V60" s="74"/>
      <c r="W60" s="20"/>
      <c r="X60" s="20"/>
    </row>
    <row r="61" spans="1:24" s="22" customFormat="1" ht="96" customHeight="1" x14ac:dyDescent="0.3">
      <c r="A61" s="174"/>
      <c r="B61" s="175"/>
      <c r="C61" s="167" t="s">
        <v>386</v>
      </c>
      <c r="D61" s="168"/>
      <c r="E61" s="168"/>
      <c r="F61" s="168"/>
      <c r="G61" s="168"/>
      <c r="H61" s="169"/>
      <c r="R61"/>
      <c r="S61" s="74"/>
      <c r="T61" s="56" t="s">
        <v>266</v>
      </c>
      <c r="U61" s="56" t="s">
        <v>275</v>
      </c>
      <c r="V61" s="74"/>
      <c r="W61" s="20"/>
      <c r="X61" s="20"/>
    </row>
    <row r="62" spans="1:24" s="22" customFormat="1" ht="15.75" customHeight="1" x14ac:dyDescent="0.3">
      <c r="A62" s="172" t="s">
        <v>354</v>
      </c>
      <c r="B62" s="173"/>
      <c r="C62" s="167" t="s">
        <v>384</v>
      </c>
      <c r="D62" s="168"/>
      <c r="E62" s="169"/>
      <c r="F62" s="17" t="s">
        <v>40</v>
      </c>
      <c r="G62" s="170">
        <v>45079</v>
      </c>
      <c r="H62" s="171"/>
      <c r="R62"/>
      <c r="S62" s="74"/>
      <c r="T62" s="56" t="s">
        <v>267</v>
      </c>
      <c r="U62" s="74" t="s">
        <v>296</v>
      </c>
      <c r="V62" s="74"/>
      <c r="W62" s="20"/>
      <c r="X62" s="20"/>
    </row>
    <row r="63" spans="1:24" s="22" customFormat="1" ht="33.75" customHeight="1" x14ac:dyDescent="0.3">
      <c r="A63" s="174"/>
      <c r="B63" s="175"/>
      <c r="C63" s="207" t="s">
        <v>385</v>
      </c>
      <c r="D63" s="207"/>
      <c r="E63" s="207"/>
      <c r="F63" s="17" t="s">
        <v>355</v>
      </c>
      <c r="G63" s="170">
        <v>48000</v>
      </c>
      <c r="H63" s="171"/>
      <c r="R63"/>
      <c r="S63" s="74"/>
      <c r="T63" s="56" t="s">
        <v>268</v>
      </c>
      <c r="U63" s="74"/>
      <c r="V63" s="74"/>
      <c r="W63" s="20"/>
      <c r="X63" s="20"/>
    </row>
    <row r="64" spans="1:24" x14ac:dyDescent="0.3">
      <c r="A64" s="248" t="s">
        <v>42</v>
      </c>
      <c r="B64" s="249"/>
      <c r="C64" s="248" t="s">
        <v>101</v>
      </c>
      <c r="D64" s="250"/>
      <c r="E64" s="249"/>
      <c r="F64" s="44" t="s">
        <v>40</v>
      </c>
      <c r="G64" s="251" t="s">
        <v>28</v>
      </c>
      <c r="H64" s="252"/>
      <c r="R64"/>
      <c r="S64" s="74"/>
      <c r="T64" s="56" t="s">
        <v>270</v>
      </c>
      <c r="U64" s="74"/>
      <c r="V64" s="74"/>
    </row>
    <row r="65" spans="1:22" x14ac:dyDescent="0.3">
      <c r="A65" s="206" t="s">
        <v>44</v>
      </c>
      <c r="B65" s="206"/>
      <c r="C65" s="206"/>
      <c r="D65" s="206"/>
      <c r="E65" s="206"/>
      <c r="F65" s="206"/>
      <c r="G65" s="206"/>
      <c r="H65" s="206"/>
      <c r="S65" s="74"/>
      <c r="T65" s="56" t="s">
        <v>279</v>
      </c>
      <c r="U65" s="74"/>
      <c r="V65" s="74"/>
    </row>
    <row r="66" spans="1:22" x14ac:dyDescent="0.3">
      <c r="A66" s="207" t="s">
        <v>88</v>
      </c>
      <c r="B66" s="207"/>
      <c r="C66" s="207"/>
      <c r="D66" s="92">
        <f>E46</f>
        <v>594439.26</v>
      </c>
      <c r="E66" s="92"/>
      <c r="F66" s="92"/>
      <c r="G66" s="92"/>
      <c r="H66" s="92"/>
      <c r="R66"/>
    </row>
    <row r="67" spans="1:22" x14ac:dyDescent="0.3">
      <c r="A67" s="155" t="s">
        <v>45</v>
      </c>
      <c r="B67" s="180"/>
      <c r="C67" s="180"/>
      <c r="D67" s="187" t="s">
        <v>421</v>
      </c>
      <c r="E67" s="187"/>
      <c r="F67" s="187"/>
      <c r="G67" s="187"/>
      <c r="H67" s="187"/>
      <c r="I67" s="23"/>
      <c r="R67"/>
    </row>
    <row r="68" spans="1:22" ht="47.25" customHeight="1" x14ac:dyDescent="0.3">
      <c r="A68" s="190" t="s">
        <v>46</v>
      </c>
      <c r="B68" s="191"/>
      <c r="C68" s="192"/>
      <c r="D68" s="188" t="s">
        <v>388</v>
      </c>
      <c r="E68" s="189"/>
      <c r="F68" s="189"/>
      <c r="G68" s="189"/>
      <c r="H68" s="189"/>
      <c r="R68"/>
    </row>
    <row r="69" spans="1:22" ht="15.75" customHeight="1" x14ac:dyDescent="0.3">
      <c r="A69" s="190" t="s">
        <v>86</v>
      </c>
      <c r="B69" s="191"/>
      <c r="C69" s="191"/>
      <c r="D69" s="200" t="s">
        <v>389</v>
      </c>
      <c r="E69" s="201"/>
      <c r="F69" s="201"/>
      <c r="G69" s="201"/>
      <c r="H69" s="202"/>
      <c r="R69"/>
    </row>
    <row r="70" spans="1:22" ht="15.75" customHeight="1" x14ac:dyDescent="0.3">
      <c r="A70" s="196"/>
      <c r="B70" s="197"/>
      <c r="C70" s="197"/>
      <c r="D70" s="203" t="s">
        <v>444</v>
      </c>
      <c r="E70" s="204"/>
      <c r="F70" s="204"/>
      <c r="G70" s="204"/>
      <c r="H70" s="205"/>
      <c r="R70"/>
    </row>
    <row r="71" spans="1:22" ht="15.75" customHeight="1" x14ac:dyDescent="0.3">
      <c r="A71" s="198"/>
      <c r="B71" s="199"/>
      <c r="C71" s="199"/>
      <c r="D71" s="203" t="s">
        <v>390</v>
      </c>
      <c r="E71" s="204"/>
      <c r="F71" s="204"/>
      <c r="G71" s="204"/>
      <c r="H71" s="205"/>
      <c r="S71"/>
    </row>
    <row r="72" spans="1:22" ht="15.75" customHeight="1" x14ac:dyDescent="0.3">
      <c r="A72" s="92" t="s">
        <v>43</v>
      </c>
      <c r="B72" s="92"/>
      <c r="C72" s="92"/>
      <c r="D72" s="166" t="s">
        <v>360</v>
      </c>
      <c r="E72" s="166"/>
      <c r="F72" s="166"/>
      <c r="G72" s="166"/>
      <c r="H72" s="166"/>
      <c r="J72" s="24"/>
      <c r="K72" s="23"/>
      <c r="N72" s="23"/>
      <c r="P72" s="20">
        <f>472+462</f>
        <v>934</v>
      </c>
      <c r="S72"/>
    </row>
    <row r="73" spans="1:22" ht="15.75" customHeight="1" x14ac:dyDescent="0.3">
      <c r="A73" s="92" t="s">
        <v>84</v>
      </c>
      <c r="B73" s="92"/>
      <c r="C73" s="92"/>
      <c r="D73" s="184" t="str">
        <f>(IF(G64="NA","60 Years After Completion",IF(G64&lt;&gt;"NA",""&amp;60-ROUNDDOWN((E3-G64)/360,0)&amp;" Years"," ")))</f>
        <v>60 Years After Completion</v>
      </c>
      <c r="E73" s="184"/>
      <c r="F73" s="184"/>
      <c r="G73" s="184"/>
      <c r="H73" s="184"/>
      <c r="N73" s="23"/>
      <c r="S73"/>
    </row>
    <row r="74" spans="1:22" ht="15.75" customHeight="1" x14ac:dyDescent="0.3">
      <c r="A74" s="92" t="s">
        <v>85</v>
      </c>
      <c r="B74" s="92"/>
      <c r="C74" s="92"/>
      <c r="D74" s="207" t="s">
        <v>23</v>
      </c>
      <c r="E74" s="207"/>
      <c r="F74" s="207"/>
      <c r="G74" s="207"/>
      <c r="H74" s="207"/>
      <c r="J74" s="25"/>
      <c r="K74" s="25"/>
      <c r="S74"/>
    </row>
    <row r="75" spans="1:22" ht="33.75" customHeight="1" x14ac:dyDescent="0.3">
      <c r="A75" s="187" t="s">
        <v>392</v>
      </c>
      <c r="B75" s="187"/>
      <c r="C75" s="187"/>
      <c r="D75" s="155" t="s">
        <v>391</v>
      </c>
      <c r="E75" s="207"/>
      <c r="F75" s="207"/>
      <c r="G75" s="207"/>
      <c r="H75" s="207"/>
      <c r="I75" s="80" t="s">
        <v>393</v>
      </c>
      <c r="S75"/>
    </row>
    <row r="76" spans="1:22" x14ac:dyDescent="0.3">
      <c r="A76" s="207" t="s">
        <v>147</v>
      </c>
      <c r="B76" s="207"/>
      <c r="C76" s="207"/>
      <c r="D76" s="207" t="s">
        <v>28</v>
      </c>
      <c r="E76" s="207"/>
      <c r="F76" s="207"/>
      <c r="G76" s="207"/>
      <c r="H76" s="207"/>
      <c r="I76" s="26"/>
      <c r="J76" s="26"/>
      <c r="K76" s="26"/>
      <c r="L76" s="26"/>
      <c r="M76" s="26"/>
      <c r="N76" s="26"/>
    </row>
    <row r="77" spans="1:22" ht="15.75" customHeight="1" x14ac:dyDescent="0.3">
      <c r="A77" s="210" t="s">
        <v>83</v>
      </c>
      <c r="B77" s="210"/>
      <c r="C77" s="210"/>
      <c r="D77" s="209" t="str">
        <f ca="1">(IF(G83&gt;95%,"Nothing",IF(G83&gt;0%,"Cement, Aggregate, Steel, etc",IF(G83=0%,"Work not yet Started"))))</f>
        <v>Cement, Aggregate, Steel, etc</v>
      </c>
      <c r="E77" s="209"/>
      <c r="F77" s="209"/>
      <c r="G77" s="209"/>
      <c r="H77" s="209"/>
      <c r="J77" s="25"/>
      <c r="S77"/>
    </row>
    <row r="78" spans="1:22" ht="33.75" customHeight="1" thickBot="1" x14ac:dyDescent="0.35">
      <c r="A78" s="208" t="s">
        <v>114</v>
      </c>
      <c r="B78" s="208"/>
      <c r="C78" s="208"/>
      <c r="D78" s="209" t="str">
        <f ca="1">(IF(D77="Nothing","Yes",IF(D77="Cement, Aggregate, Steel, etc","Under Construction",IF(D77="Work not yet Started","Work not yet Started"))))</f>
        <v>Under Construction</v>
      </c>
      <c r="E78" s="209"/>
      <c r="F78" s="209" t="str">
        <f ca="1">(IF(D77="Nothing","Yes",IF(D77="Cement, Aggregate, Steel, etc","Under Construction",IF(D77="Work not yet Started","Work not yet Started"))))</f>
        <v>Under Construction</v>
      </c>
      <c r="G78" s="209"/>
      <c r="H78" s="209"/>
      <c r="S78"/>
    </row>
    <row r="79" spans="1:22" ht="15.75" customHeight="1" x14ac:dyDescent="0.3">
      <c r="A79" s="121" t="s">
        <v>137</v>
      </c>
      <c r="B79" s="122"/>
      <c r="C79" s="123" t="str">
        <f>D69</f>
        <v>Tower A = B + LG + G + 5P +  6th to 67th Floor</v>
      </c>
      <c r="D79" s="124"/>
      <c r="E79" s="124"/>
      <c r="F79" s="124"/>
      <c r="G79" s="124"/>
      <c r="H79" s="125"/>
      <c r="I79" s="48" t="str">
        <f ca="1">IF(D92=100%,"All work Completed. Possession granted to the Building.",IF(D91=100%,"All work Completed, Waiting for OC",I80&amp;""&amp;I81&amp;""&amp;J80&amp;""&amp;J79&amp;" "&amp;J81))</f>
        <v xml:space="preserve">Excavation Completed, Plinth work is process </v>
      </c>
      <c r="J79" s="49" t="str">
        <f ca="1">(IF(C85=(D80+F80+H80),"",IF(C85&gt;0,", RCC upto "&amp;C85&amp;" Slab","")))&amp;(IF(C86=H80,"",IF(C86&gt;0,", Brickwork upto "&amp;C86&amp;" Floor","")))&amp;(IF(C87=H80,"",IF(C87&gt;0,", Internal Plaster upto "&amp;C87&amp;" Floor","")))&amp;(IF(C88=H80,"",IF(C88&gt;0,", External Plaster upto "&amp;C88&amp;" Floor","")))&amp;(IF(C89=H80,"",IF(C89&gt;0,", Flooring upto "&amp;C89&amp;" Floor","")))&amp;(IF(C90=H80,"",IF(C90&gt;0,", Painting upto "&amp;C90&amp;" Floor","")))&amp;(IF(C91=H80,"",IF(C91&gt;0,", Finishing upto "&amp;C91&amp;" Floor","")))&amp;(IF(C92=H80,"",IF(C92&gt;0,", Possession upto "&amp;C92&amp;" Floor","")))</f>
        <v/>
      </c>
      <c r="S79"/>
    </row>
    <row r="80" spans="1:22" x14ac:dyDescent="0.3">
      <c r="A80" s="15" t="s">
        <v>139</v>
      </c>
      <c r="B80" s="46">
        <v>1</v>
      </c>
      <c r="C80" s="46" t="s">
        <v>69</v>
      </c>
      <c r="D80" s="46">
        <v>2</v>
      </c>
      <c r="E80" s="46" t="s">
        <v>68</v>
      </c>
      <c r="F80" s="85">
        <v>0</v>
      </c>
      <c r="G80" s="47" t="s">
        <v>77</v>
      </c>
      <c r="H80" s="16">
        <f ca="1">--TRIM(RIGHT(SUBSTITUTE(LEFT(C79,_xlfn.AGGREGATE(16,6,FIND({0,1,2,3,4,5,6,7,8,9},C79,ROW(INDIRECT("1:"&amp;LEN(C79)))),1))," ",REPT(" ",LEN(C79))),LEN(C79)))</f>
        <v>67</v>
      </c>
      <c r="I80" s="50" t="str">
        <f ca="1">IF(D83=100%,"Excavation","")&amp;IF(D84=100%,", Plinth","")&amp;IF(D85=100%,", RCC Slab","")&amp;IF(D86=100%,", Brickwork","")&amp;IF(D87=100%,", Internal Plaster","")&amp;IF(D88=100%,", External Plaster","")&amp;IF(D89=100%,", Flooring","")&amp;IF(D90=100%,", Painting","")&amp;IF(D91=100%,", Building common Amenities","")</f>
        <v>Excavation</v>
      </c>
      <c r="J80" s="51" t="str">
        <f ca="1">(IF(C83=0,"Work not yet Started.",IF(D83=25%,"Piling work in process",IF(D83=50%,"Excavation work in process",IF(D83=100%,"","0")))))&amp;(IF(C84=0%,"",IF(C84=J85,", Footing work is process",IF(C84=J86,", Footing work Completed",IF(C84=J87,", 1st Basement Completed",IF(C84=J88,", 1st &amp; 2nd Basement Completed",IF(C84=J89,", 1st to 3rd Basement Completed",IF(C84=J90,", 1st to 4th Basement Completed",IF(C84=J91,", Plinth work is process",IF(C84=J92,"","0"))))))))))</f>
        <v>, Plinth work is process</v>
      </c>
      <c r="S80"/>
    </row>
    <row r="81" spans="1:19" x14ac:dyDescent="0.3">
      <c r="A81" s="126" t="s">
        <v>87</v>
      </c>
      <c r="B81" s="127"/>
      <c r="C81" s="128" t="str">
        <f ca="1">I79</f>
        <v xml:space="preserve">Excavation Completed, Plinth work is process </v>
      </c>
      <c r="D81" s="128"/>
      <c r="E81" s="128"/>
      <c r="F81" s="128"/>
      <c r="G81" s="128"/>
      <c r="H81" s="129"/>
      <c r="I81" s="50" t="str">
        <f ca="1">IF(I80&lt;&gt;""," Completed","")</f>
        <v xml:space="preserve"> Completed</v>
      </c>
      <c r="J81" s="51" t="str">
        <f ca="1">IF(J79&lt;&gt;"","Completed","")</f>
        <v/>
      </c>
      <c r="S81"/>
    </row>
    <row r="82" spans="1:19" ht="15.75" customHeight="1" x14ac:dyDescent="0.3">
      <c r="A82" s="113" t="s">
        <v>47</v>
      </c>
      <c r="B82" s="114"/>
      <c r="C82" s="42" t="s">
        <v>136</v>
      </c>
      <c r="D82" s="42" t="s">
        <v>80</v>
      </c>
      <c r="E82" s="114" t="s">
        <v>82</v>
      </c>
      <c r="F82" s="114"/>
      <c r="G82" s="114" t="s">
        <v>81</v>
      </c>
      <c r="H82" s="130"/>
      <c r="I82" s="13" t="s">
        <v>138</v>
      </c>
      <c r="J82" s="27">
        <f ca="1">H80*25%</f>
        <v>16.75</v>
      </c>
      <c r="S82"/>
    </row>
    <row r="83" spans="1:19" x14ac:dyDescent="0.3">
      <c r="A83" s="113" t="s">
        <v>125</v>
      </c>
      <c r="B83" s="114"/>
      <c r="C83" s="42">
        <f ca="1">J84</f>
        <v>67</v>
      </c>
      <c r="D83" s="18">
        <f ca="1">((100/H80)*C83)/100</f>
        <v>1</v>
      </c>
      <c r="E83" s="115">
        <f ca="1">(((C84/H80*10)+(40/(D80+F80+H80)*C85)+(7.5/(H80)*C86)+(7.5/(H80)*C87)+(10/H80*C88)+(10/H80*C89)+(5/H80*C90)+(5/H80*C91)+(5/H80*C92))/100)</f>
        <v>7.4999999999999997E-2</v>
      </c>
      <c r="F83" s="116"/>
      <c r="G83" s="115">
        <f ca="1">((((C83/H80)*20)+((C84/H80)*25)+(30/(H80+F80+D80)*C85)+(5/H80*C86)+(5/H80*C87)+(5/H80*C88)+(5/H80*C89)+(0/H80*C90)+(0/H80*C91)+(5/H80*C92))/100)</f>
        <v>0.38750000000000001</v>
      </c>
      <c r="H83" s="131"/>
      <c r="I83" s="13" t="s">
        <v>96</v>
      </c>
      <c r="J83" s="28">
        <f ca="1">H80*50%</f>
        <v>33.5</v>
      </c>
    </row>
    <row r="84" spans="1:19" x14ac:dyDescent="0.3">
      <c r="A84" s="113" t="s">
        <v>48</v>
      </c>
      <c r="B84" s="114"/>
      <c r="C84" s="86">
        <f ca="1">J91</f>
        <v>50.25</v>
      </c>
      <c r="D84" s="18">
        <f ca="1">((100/H80)*C84)/100</f>
        <v>0.75</v>
      </c>
      <c r="E84" s="117"/>
      <c r="F84" s="118"/>
      <c r="G84" s="117"/>
      <c r="H84" s="132"/>
      <c r="I84" s="13" t="s">
        <v>97</v>
      </c>
      <c r="J84" s="28">
        <f ca="1">H80</f>
        <v>67</v>
      </c>
      <c r="S84"/>
    </row>
    <row r="85" spans="1:19" ht="15.75" customHeight="1" x14ac:dyDescent="0.3">
      <c r="A85" s="113" t="s">
        <v>126</v>
      </c>
      <c r="B85" s="114"/>
      <c r="C85" s="42">
        <v>0</v>
      </c>
      <c r="D85" s="18">
        <f ca="1">((100/(D80+F80+H80))*C85)/100</f>
        <v>0</v>
      </c>
      <c r="E85" s="117"/>
      <c r="F85" s="118"/>
      <c r="G85" s="117"/>
      <c r="H85" s="132"/>
      <c r="I85" s="13" t="s">
        <v>98</v>
      </c>
      <c r="J85" s="29">
        <f ca="1">(IF(B80&gt;1,(H80/(B80+2)),H80/4))</f>
        <v>16.75</v>
      </c>
      <c r="S85"/>
    </row>
    <row r="86" spans="1:19" ht="15.75" customHeight="1" x14ac:dyDescent="0.3">
      <c r="A86" s="113" t="s">
        <v>133</v>
      </c>
      <c r="B86" s="114" t="s">
        <v>127</v>
      </c>
      <c r="C86" s="42">
        <v>0</v>
      </c>
      <c r="D86" s="18">
        <f ca="1">((100/H80)*C86)/100</f>
        <v>0</v>
      </c>
      <c r="E86" s="117"/>
      <c r="F86" s="118"/>
      <c r="G86" s="117"/>
      <c r="H86" s="132"/>
      <c r="I86" s="13" t="s">
        <v>99</v>
      </c>
      <c r="J86" s="29">
        <f ca="1">(IF(B80&gt;1,(H80/(B80+2)+J85),H80/4+J85))</f>
        <v>33.5</v>
      </c>
    </row>
    <row r="87" spans="1:19" ht="15.75" customHeight="1" x14ac:dyDescent="0.3">
      <c r="A87" s="113" t="s">
        <v>134</v>
      </c>
      <c r="B87" s="114" t="s">
        <v>127</v>
      </c>
      <c r="C87" s="42">
        <v>0</v>
      </c>
      <c r="D87" s="18">
        <f ca="1">((100/H80)*C87)/100</f>
        <v>0</v>
      </c>
      <c r="E87" s="117"/>
      <c r="F87" s="118"/>
      <c r="G87" s="117"/>
      <c r="H87" s="132"/>
      <c r="I87" s="13" t="s">
        <v>145</v>
      </c>
      <c r="J87" s="29">
        <f>(IF(B80&gt;1,(H80/(B80+2)+J86),0))</f>
        <v>0</v>
      </c>
    </row>
    <row r="88" spans="1:19" ht="15" customHeight="1" x14ac:dyDescent="0.3">
      <c r="A88" s="113" t="s">
        <v>132</v>
      </c>
      <c r="B88" s="114" t="s">
        <v>129</v>
      </c>
      <c r="C88" s="42">
        <v>0</v>
      </c>
      <c r="D88" s="18">
        <f ca="1">((100/(H80))*C88)/100</f>
        <v>0</v>
      </c>
      <c r="E88" s="117"/>
      <c r="F88" s="118"/>
      <c r="G88" s="117"/>
      <c r="H88" s="132"/>
      <c r="I88" s="13" t="s">
        <v>140</v>
      </c>
      <c r="J88" s="29">
        <f>(IF(B80&gt;2,(H80/(B80+2)+J87),0))</f>
        <v>0</v>
      </c>
    </row>
    <row r="89" spans="1:19" ht="15.75" customHeight="1" x14ac:dyDescent="0.3">
      <c r="A89" s="113" t="s">
        <v>128</v>
      </c>
      <c r="B89" s="114" t="s">
        <v>128</v>
      </c>
      <c r="C89" s="42">
        <v>0</v>
      </c>
      <c r="D89" s="18">
        <f ca="1">((100/H80)*C89)/100</f>
        <v>0</v>
      </c>
      <c r="E89" s="117"/>
      <c r="F89" s="118"/>
      <c r="G89" s="117"/>
      <c r="H89" s="132"/>
      <c r="I89" s="13" t="s">
        <v>141</v>
      </c>
      <c r="J89" s="30">
        <f>(IF(B80&gt;3,(H80/(B80+2)+J88),0))</f>
        <v>0</v>
      </c>
    </row>
    <row r="90" spans="1:19" ht="15.75" customHeight="1" x14ac:dyDescent="0.3">
      <c r="A90" s="113" t="s">
        <v>135</v>
      </c>
      <c r="B90" s="114"/>
      <c r="C90" s="42">
        <v>0</v>
      </c>
      <c r="D90" s="18">
        <f ca="1">((100/H80)*C90)/100</f>
        <v>0</v>
      </c>
      <c r="E90" s="117"/>
      <c r="F90" s="118"/>
      <c r="G90" s="117"/>
      <c r="H90" s="132"/>
      <c r="I90" s="13" t="s">
        <v>142</v>
      </c>
      <c r="J90" s="29">
        <f>(IF(B80&gt;4,(H80/(B80+2)+J89),0))</f>
        <v>0</v>
      </c>
    </row>
    <row r="91" spans="1:19" ht="15.75" customHeight="1" x14ac:dyDescent="0.3">
      <c r="A91" s="113" t="s">
        <v>130</v>
      </c>
      <c r="B91" s="114" t="s">
        <v>130</v>
      </c>
      <c r="C91" s="42">
        <v>0</v>
      </c>
      <c r="D91" s="18">
        <f ca="1">((100/(H80))*C91)/100</f>
        <v>0</v>
      </c>
      <c r="E91" s="117"/>
      <c r="F91" s="118"/>
      <c r="G91" s="117"/>
      <c r="H91" s="132"/>
      <c r="I91" s="13" t="s">
        <v>146</v>
      </c>
      <c r="J91" s="29">
        <f ca="1">(IF(B80=1,(H80/(B80+3)+J86),IF(B80=0,(H80/4+J86),IF(B80&gt;1,0))))</f>
        <v>50.25</v>
      </c>
    </row>
    <row r="92" spans="1:19" ht="16.2" thickBot="1" x14ac:dyDescent="0.35">
      <c r="A92" s="107" t="s">
        <v>131</v>
      </c>
      <c r="B92" s="108"/>
      <c r="C92" s="43">
        <v>0</v>
      </c>
      <c r="D92" s="19">
        <f ca="1">((100/(H80))*C92)/100</f>
        <v>0</v>
      </c>
      <c r="E92" s="119"/>
      <c r="F92" s="120"/>
      <c r="G92" s="119"/>
      <c r="H92" s="133"/>
      <c r="I92" s="14" t="s">
        <v>100</v>
      </c>
      <c r="J92" s="31">
        <f ca="1">(IF(B80&gt;1.5,(H80/(B80+2)+J86+MAX(0,J87-J86)+MAX(0,J88-J87)+MAX(0,J89-J88)+MAX(0,J90-J89)+MAX(0,J91-J90)),IF(B80=1,(H80/(B80+3)+J91),IF(B80=0,H80/4+J91))))</f>
        <v>67</v>
      </c>
    </row>
    <row r="93" spans="1:19" ht="15.75" customHeight="1" x14ac:dyDescent="0.3">
      <c r="A93" s="121" t="s">
        <v>137</v>
      </c>
      <c r="B93" s="122"/>
      <c r="C93" s="123" t="str">
        <f>D70</f>
        <v>Tower B = B + LG + G + 5P +  6th to 67th Floor</v>
      </c>
      <c r="D93" s="124"/>
      <c r="E93" s="124"/>
      <c r="F93" s="124"/>
      <c r="G93" s="124"/>
      <c r="H93" s="125"/>
      <c r="I93" s="48" t="str">
        <f ca="1">IF(D106=100%,"All work Completed. Possession granted to the Building.",IF(D105=100%,"All work Completed, Waiting for OC",I94&amp;""&amp;I95&amp;""&amp;J94&amp;""&amp;J93&amp;" "&amp;J95))</f>
        <v>Excavation, Plinth Completed, RCC upto 5 Slab Completed</v>
      </c>
      <c r="J93" s="49" t="str">
        <f ca="1">(IF(C99=(D94+F94+H94),"",IF(C99&gt;0,", RCC upto "&amp;C99&amp;" Slab","")))&amp;(IF(C100=H94,"",IF(C100&gt;0,", Brickwork upto "&amp;C100&amp;" Floor","")))&amp;(IF(C101=H94,"",IF(C101&gt;0,", Internal Plaster upto "&amp;C101&amp;" Floor","")))&amp;(IF(C102=H94,"",IF(C102&gt;0,", External Plaster upto "&amp;C102&amp;" Floor","")))&amp;(IF(C103=H94,"",IF(C103&gt;0,", Flooring upto "&amp;C103&amp;" Floor","")))&amp;(IF(C104=H94,"",IF(C104&gt;0,", Painting upto "&amp;C104&amp;" Floor","")))&amp;(IF(C105=H94,"",IF(C105&gt;0,", Finishing upto "&amp;C105&amp;" Floor","")))&amp;(IF(C106=H94,"",IF(C106&gt;0,", Possession upto "&amp;C106&amp;" Floor","")))</f>
        <v>, RCC upto 5 Slab</v>
      </c>
      <c r="S93"/>
    </row>
    <row r="94" spans="1:19" x14ac:dyDescent="0.3">
      <c r="A94" s="15" t="s">
        <v>139</v>
      </c>
      <c r="B94" s="46">
        <v>1</v>
      </c>
      <c r="C94" s="46" t="s">
        <v>69</v>
      </c>
      <c r="D94" s="46">
        <v>2</v>
      </c>
      <c r="E94" s="46" t="s">
        <v>68</v>
      </c>
      <c r="F94" s="85">
        <v>0</v>
      </c>
      <c r="G94" s="47" t="s">
        <v>77</v>
      </c>
      <c r="H94" s="16">
        <f ca="1">--TRIM(RIGHT(SUBSTITUTE(LEFT(C93,_xlfn.AGGREGATE(16,6,FIND({0,1,2,3,4,5,6,7,8,9},C93,ROW(INDIRECT("1:"&amp;LEN(C93)))),1))," ",REPT(" ",LEN(C93))),LEN(C93)))</f>
        <v>67</v>
      </c>
      <c r="I94" s="50" t="str">
        <f ca="1">IF(D97=100%,"Excavation","")&amp;IF(D98=100%,", Plinth","")&amp;IF(D99=100%,", RCC Slab","")&amp;IF(D100=100%,", Brickwork","")&amp;IF(D101=100%,", Internal Plaster","")&amp;IF(D102=100%,", External Plaster","")&amp;IF(D103=100%,", Flooring","")&amp;IF(D104=100%,", Painting","")&amp;IF(D105=100%,", Building common Amenities","")</f>
        <v>Excavation, Plinth</v>
      </c>
      <c r="J94" s="51" t="str">
        <f ca="1">(IF(C97=0,"Work not yet Started.",IF(D97=25%,"Piling work in process",IF(D97=50%,"Excavation work in process",IF(D97=100%,"","0")))))&amp;(IF(C98=0%,"",IF(C98=J99,", Footing work is process",IF(C98=J100,", Footing work Completed",IF(C98=J101,", 1st Basement Completed",IF(C98=J102,", 1st &amp; 2nd Basement Completed",IF(C98=J103,", 1st to 3rd Basement Completed",IF(C98=J104,", 1st to 4th Basement Completed",IF(C98=J105,", Plinth work is process",IF(C98=J106,"","0"))))))))))</f>
        <v/>
      </c>
      <c r="S94"/>
    </row>
    <row r="95" spans="1:19" x14ac:dyDescent="0.3">
      <c r="A95" s="126" t="s">
        <v>87</v>
      </c>
      <c r="B95" s="127"/>
      <c r="C95" s="128" t="str">
        <f ca="1">I93</f>
        <v>Excavation, Plinth Completed, RCC upto 5 Slab Completed</v>
      </c>
      <c r="D95" s="128"/>
      <c r="E95" s="128"/>
      <c r="F95" s="128"/>
      <c r="G95" s="128"/>
      <c r="H95" s="129"/>
      <c r="I95" s="50" t="str">
        <f ca="1">IF(I94&lt;&gt;""," Completed","")</f>
        <v xml:space="preserve"> Completed</v>
      </c>
      <c r="J95" s="51" t="str">
        <f ca="1">IF(J93&lt;&gt;"","Completed","")</f>
        <v>Completed</v>
      </c>
      <c r="S95"/>
    </row>
    <row r="96" spans="1:19" ht="15.75" customHeight="1" x14ac:dyDescent="0.3">
      <c r="A96" s="113" t="s">
        <v>47</v>
      </c>
      <c r="B96" s="114"/>
      <c r="C96" s="42" t="s">
        <v>136</v>
      </c>
      <c r="D96" s="42" t="s">
        <v>80</v>
      </c>
      <c r="E96" s="114" t="s">
        <v>82</v>
      </c>
      <c r="F96" s="114"/>
      <c r="G96" s="114" t="s">
        <v>81</v>
      </c>
      <c r="H96" s="130"/>
      <c r="I96" s="13" t="s">
        <v>138</v>
      </c>
      <c r="J96" s="27">
        <f ca="1">H94*25%</f>
        <v>16.75</v>
      </c>
      <c r="S96"/>
    </row>
    <row r="97" spans="1:19" x14ac:dyDescent="0.3">
      <c r="A97" s="113" t="s">
        <v>125</v>
      </c>
      <c r="B97" s="114"/>
      <c r="C97" s="86">
        <f ca="1">J98</f>
        <v>67</v>
      </c>
      <c r="D97" s="18">
        <f ca="1">((100/H94)*C97)/100</f>
        <v>1</v>
      </c>
      <c r="E97" s="115">
        <f ca="1">(((C98/H94*10)+(40/(D94+F94+H94)*C99)+(7.5/(H94)*C100)+(7.5/(H94)*C101)+(10/H94*C102)+(10/H94*C103)+(5/H94*C104)+(5/H94*C105)+(5/H94*C106))/100)</f>
        <v>0.12898550724637681</v>
      </c>
      <c r="F97" s="116"/>
      <c r="G97" s="115">
        <f ca="1">((((C97/H94)*20)+((C98/H94)*25)+(30/(H94+F94+D94)*C99)+(5/H94*C100)+(5/H94*C101)+(5/H94*C102)+(5/H94*C103)+(0/H94*C104)+(0/H94*C105)+(5/H94*C106))/100)</f>
        <v>0.47173913043478261</v>
      </c>
      <c r="H97" s="131"/>
      <c r="I97" s="13" t="s">
        <v>96</v>
      </c>
      <c r="J97" s="28">
        <f ca="1">H94*50%</f>
        <v>33.5</v>
      </c>
    </row>
    <row r="98" spans="1:19" x14ac:dyDescent="0.3">
      <c r="A98" s="113" t="s">
        <v>48</v>
      </c>
      <c r="B98" s="114"/>
      <c r="C98" s="42">
        <f ca="1">J98</f>
        <v>67</v>
      </c>
      <c r="D98" s="18">
        <f ca="1">((100/H94)*C98)/100</f>
        <v>1</v>
      </c>
      <c r="E98" s="117"/>
      <c r="F98" s="118"/>
      <c r="G98" s="117"/>
      <c r="H98" s="132"/>
      <c r="I98" s="13" t="s">
        <v>97</v>
      </c>
      <c r="J98" s="28">
        <f ca="1">H94</f>
        <v>67</v>
      </c>
      <c r="S98"/>
    </row>
    <row r="99" spans="1:19" ht="15.75" customHeight="1" x14ac:dyDescent="0.3">
      <c r="A99" s="113" t="s">
        <v>126</v>
      </c>
      <c r="B99" s="114"/>
      <c r="C99" s="42">
        <v>5</v>
      </c>
      <c r="D99" s="18">
        <f ca="1">((100/(D94+F94+H94))*C99)/100</f>
        <v>7.2463768115942032E-2</v>
      </c>
      <c r="E99" s="117"/>
      <c r="F99" s="118"/>
      <c r="G99" s="117"/>
      <c r="H99" s="132"/>
      <c r="I99" s="13" t="s">
        <v>98</v>
      </c>
      <c r="J99" s="29">
        <f ca="1">(IF(B94&gt;1,(H94/(B94+2)),H94/4))</f>
        <v>16.75</v>
      </c>
      <c r="S99"/>
    </row>
    <row r="100" spans="1:19" ht="15.75" customHeight="1" x14ac:dyDescent="0.3">
      <c r="A100" s="113" t="s">
        <v>133</v>
      </c>
      <c r="B100" s="114" t="s">
        <v>127</v>
      </c>
      <c r="C100" s="42">
        <v>0</v>
      </c>
      <c r="D100" s="18">
        <f ca="1">((100/H94)*C100)/100</f>
        <v>0</v>
      </c>
      <c r="E100" s="117"/>
      <c r="F100" s="118"/>
      <c r="G100" s="117"/>
      <c r="H100" s="132"/>
      <c r="I100" s="13" t="s">
        <v>99</v>
      </c>
      <c r="J100" s="29">
        <f ca="1">(IF(B94&gt;1,(H94/(B94+2)+J99),H94/4+J99))</f>
        <v>33.5</v>
      </c>
    </row>
    <row r="101" spans="1:19" ht="15.75" customHeight="1" x14ac:dyDescent="0.3">
      <c r="A101" s="113" t="s">
        <v>134</v>
      </c>
      <c r="B101" s="114" t="s">
        <v>127</v>
      </c>
      <c r="C101" s="42">
        <v>0</v>
      </c>
      <c r="D101" s="18">
        <f ca="1">((100/H94)*C101)/100</f>
        <v>0</v>
      </c>
      <c r="E101" s="117"/>
      <c r="F101" s="118"/>
      <c r="G101" s="117"/>
      <c r="H101" s="132"/>
      <c r="I101" s="13" t="s">
        <v>145</v>
      </c>
      <c r="J101" s="29">
        <f>(IF(B94&gt;1,(H94/(B94+2)+J100),0))</f>
        <v>0</v>
      </c>
    </row>
    <row r="102" spans="1:19" ht="15" customHeight="1" x14ac:dyDescent="0.3">
      <c r="A102" s="113" t="s">
        <v>132</v>
      </c>
      <c r="B102" s="114" t="s">
        <v>129</v>
      </c>
      <c r="C102" s="42">
        <v>0</v>
      </c>
      <c r="D102" s="18">
        <f ca="1">((100/(H94))*C102)/100</f>
        <v>0</v>
      </c>
      <c r="E102" s="117"/>
      <c r="F102" s="118"/>
      <c r="G102" s="117"/>
      <c r="H102" s="132"/>
      <c r="I102" s="13" t="s">
        <v>140</v>
      </c>
      <c r="J102" s="29">
        <f>(IF(B94&gt;2,(H94/(B94+2)+J101),0))</f>
        <v>0</v>
      </c>
    </row>
    <row r="103" spans="1:19" ht="15.75" customHeight="1" x14ac:dyDescent="0.3">
      <c r="A103" s="113" t="s">
        <v>128</v>
      </c>
      <c r="B103" s="114" t="s">
        <v>128</v>
      </c>
      <c r="C103" s="42">
        <v>0</v>
      </c>
      <c r="D103" s="18">
        <f ca="1">((100/H94)*C103)/100</f>
        <v>0</v>
      </c>
      <c r="E103" s="117"/>
      <c r="F103" s="118"/>
      <c r="G103" s="117"/>
      <c r="H103" s="132"/>
      <c r="I103" s="13" t="s">
        <v>141</v>
      </c>
      <c r="J103" s="30">
        <f>(IF(B94&gt;3,(H94/(B94+2)+J102),0))</f>
        <v>0</v>
      </c>
    </row>
    <row r="104" spans="1:19" ht="15.75" customHeight="1" x14ac:dyDescent="0.3">
      <c r="A104" s="113" t="s">
        <v>135</v>
      </c>
      <c r="B104" s="114"/>
      <c r="C104" s="42">
        <v>0</v>
      </c>
      <c r="D104" s="18">
        <f ca="1">((100/H94)*C104)/100</f>
        <v>0</v>
      </c>
      <c r="E104" s="117"/>
      <c r="F104" s="118"/>
      <c r="G104" s="117"/>
      <c r="H104" s="132"/>
      <c r="I104" s="13" t="s">
        <v>142</v>
      </c>
      <c r="J104" s="29">
        <f>(IF(B94&gt;4,(H94/(B94+2)+J103),0))</f>
        <v>0</v>
      </c>
    </row>
    <row r="105" spans="1:19" ht="15.75" customHeight="1" x14ac:dyDescent="0.3">
      <c r="A105" s="113" t="s">
        <v>130</v>
      </c>
      <c r="B105" s="114" t="s">
        <v>130</v>
      </c>
      <c r="C105" s="42">
        <v>0</v>
      </c>
      <c r="D105" s="18">
        <f ca="1">((100/(H94))*C105)/100</f>
        <v>0</v>
      </c>
      <c r="E105" s="117"/>
      <c r="F105" s="118"/>
      <c r="G105" s="117"/>
      <c r="H105" s="132"/>
      <c r="I105" s="13" t="s">
        <v>146</v>
      </c>
      <c r="J105" s="29">
        <f ca="1">(IF(B94=1,(H94/(B94+3)+J100),IF(B94=0,(H94/4+J100),IF(B94&gt;1,0))))</f>
        <v>50.25</v>
      </c>
    </row>
    <row r="106" spans="1:19" ht="16.2" thickBot="1" x14ac:dyDescent="0.35">
      <c r="A106" s="107" t="s">
        <v>131</v>
      </c>
      <c r="B106" s="108"/>
      <c r="C106" s="43">
        <v>0</v>
      </c>
      <c r="D106" s="19">
        <f ca="1">((100/(H94))*C106)/100</f>
        <v>0</v>
      </c>
      <c r="E106" s="119"/>
      <c r="F106" s="120"/>
      <c r="G106" s="119"/>
      <c r="H106" s="133"/>
      <c r="I106" s="14" t="s">
        <v>100</v>
      </c>
      <c r="J106" s="31">
        <f ca="1">(IF(B94&gt;1.5,(H94/(B94+2)+J100+MAX(0,J101-J100)+MAX(0,J102-J101)+MAX(0,J103-J102)+MAX(0,J104-J103)+MAX(0,J105-J104)),IF(B94=1,(H94/(B94+3)+J105),IF(B94=0,H94/4+J105))))</f>
        <v>67</v>
      </c>
    </row>
    <row r="107" spans="1:19" ht="15.75" customHeight="1" x14ac:dyDescent="0.3">
      <c r="A107" s="121" t="s">
        <v>137</v>
      </c>
      <c r="B107" s="122"/>
      <c r="C107" s="123" t="str">
        <f>D71</f>
        <v>Tower C = B + LG + G + 5P +  6th to 67th Floor</v>
      </c>
      <c r="D107" s="124"/>
      <c r="E107" s="124"/>
      <c r="F107" s="124"/>
      <c r="G107" s="124"/>
      <c r="H107" s="125"/>
      <c r="I107" s="48" t="str">
        <f ca="1">IF(D120=100%,"All work Completed. Possession granted to the Building.",IF(D119=100%,"All work Completed, Waiting for OC",I108&amp;""&amp;I109&amp;""&amp;J108&amp;""&amp;J107&amp;" "&amp;J109))</f>
        <v>Excavation, Plinth Completed, RCC upto 4 Slab Completed</v>
      </c>
      <c r="J107" s="49" t="str">
        <f ca="1">(IF(C113=(D108+F108+H108),"",IF(C113&gt;0,", RCC upto "&amp;C113&amp;" Slab","")))&amp;(IF(C114=H108,"",IF(C114&gt;0,", Brickwork upto "&amp;C114&amp;" Floor","")))&amp;(IF(C115=H108,"",IF(C115&gt;0,", Internal Plaster upto "&amp;C115&amp;" Floor","")))&amp;(IF(C116=H108,"",IF(C116&gt;0,", External Plaster upto "&amp;C116&amp;" Floor","")))&amp;(IF(C117=H108,"",IF(C117&gt;0,", Flooring upto "&amp;C117&amp;" Floor","")))&amp;(IF(C118=H108,"",IF(C118&gt;0,", Painting upto "&amp;C118&amp;" Floor","")))&amp;(IF(C119=H108,"",IF(C119&gt;0,", Finishing upto "&amp;C119&amp;" Floor","")))&amp;(IF(C120=H108,"",IF(C120&gt;0,", Possession upto "&amp;C120&amp;" Floor","")))</f>
        <v>, RCC upto 4 Slab</v>
      </c>
      <c r="S107"/>
    </row>
    <row r="108" spans="1:19" x14ac:dyDescent="0.3">
      <c r="A108" s="15" t="s">
        <v>139</v>
      </c>
      <c r="B108" s="46">
        <v>1</v>
      </c>
      <c r="C108" s="46" t="s">
        <v>69</v>
      </c>
      <c r="D108" s="46">
        <v>2</v>
      </c>
      <c r="E108" s="46" t="s">
        <v>68</v>
      </c>
      <c r="F108" s="85">
        <v>0</v>
      </c>
      <c r="G108" s="47" t="s">
        <v>77</v>
      </c>
      <c r="H108" s="16">
        <f ca="1">--TRIM(RIGHT(SUBSTITUTE(LEFT(C107,_xlfn.AGGREGATE(16,6,FIND({0,1,2,3,4,5,6,7,8,9},C107,ROW(INDIRECT("1:"&amp;LEN(C107)))),1))," ",REPT(" ",LEN(C107))),LEN(C107)))</f>
        <v>67</v>
      </c>
      <c r="I108" s="50" t="str">
        <f ca="1">IF(D111=100%,"Excavation","")&amp;IF(D112=100%,", Plinth","")&amp;IF(D113=100%,", RCC Slab","")&amp;IF(D114=100%,", Brickwork","")&amp;IF(D115=100%,", Internal Plaster","")&amp;IF(D116=100%,", External Plaster","")&amp;IF(D117=100%,", Flooring","")&amp;IF(D118=100%,", Painting","")&amp;IF(D119=100%,", Building common Amenities","")</f>
        <v>Excavation, Plinth</v>
      </c>
      <c r="J108" s="51" t="str">
        <f ca="1">(IF(C111=0,"Work not yet Started.",IF(D111=25%,"Piling work in process",IF(D111=50%,"Excavation work in process",IF(D111=100%,"","0")))))&amp;(IF(C112=0%,"",IF(C112=J113,", Footing work is process",IF(C112=J114,", Footing work Completed",IF(C112=J115,", 1st Basement Completed",IF(C112=J116,", 1st &amp; 2nd Basement Completed",IF(C112=J117,", 1st to 3rd Basement Completed",IF(C112=J118,", 1st to 4th Basement Completed",IF(C112=J119,", Plinth work is process",IF(C112=J120,"","0"))))))))))</f>
        <v/>
      </c>
      <c r="S108"/>
    </row>
    <row r="109" spans="1:19" x14ac:dyDescent="0.3">
      <c r="A109" s="126" t="s">
        <v>87</v>
      </c>
      <c r="B109" s="127"/>
      <c r="C109" s="128" t="str">
        <f ca="1">I107</f>
        <v>Excavation, Plinth Completed, RCC upto 4 Slab Completed</v>
      </c>
      <c r="D109" s="128"/>
      <c r="E109" s="128"/>
      <c r="F109" s="128"/>
      <c r="G109" s="128"/>
      <c r="H109" s="129"/>
      <c r="I109" s="50" t="str">
        <f ca="1">IF(I108&lt;&gt;""," Completed","")</f>
        <v xml:space="preserve"> Completed</v>
      </c>
      <c r="J109" s="51" t="str">
        <f ca="1">IF(J107&lt;&gt;"","Completed","")</f>
        <v>Completed</v>
      </c>
      <c r="S109"/>
    </row>
    <row r="110" spans="1:19" ht="15.75" customHeight="1" x14ac:dyDescent="0.3">
      <c r="A110" s="113" t="s">
        <v>47</v>
      </c>
      <c r="B110" s="114"/>
      <c r="C110" s="42" t="s">
        <v>136</v>
      </c>
      <c r="D110" s="42" t="s">
        <v>80</v>
      </c>
      <c r="E110" s="114" t="s">
        <v>82</v>
      </c>
      <c r="F110" s="114"/>
      <c r="G110" s="114" t="s">
        <v>81</v>
      </c>
      <c r="H110" s="130"/>
      <c r="I110" s="13" t="s">
        <v>138</v>
      </c>
      <c r="J110" s="27">
        <f ca="1">H108*25%</f>
        <v>16.75</v>
      </c>
      <c r="S110"/>
    </row>
    <row r="111" spans="1:19" x14ac:dyDescent="0.3">
      <c r="A111" s="113" t="s">
        <v>125</v>
      </c>
      <c r="B111" s="114"/>
      <c r="C111" s="86">
        <f ca="1">J112</f>
        <v>67</v>
      </c>
      <c r="D111" s="18">
        <f ca="1">((100/H108)*C111)/100</f>
        <v>1</v>
      </c>
      <c r="E111" s="115">
        <f ca="1">(((C112/H108*10)+(40/(D108+F108+H108)*C113)+(7.5/(H108)*C114)+(7.5/(H108)*C115)+(10/H108*C116)+(10/H108*C117)+(5/H108*C118)+(5/H108*C119)+(5/H108*C120))/100)</f>
        <v>0.12318840579710144</v>
      </c>
      <c r="F111" s="116"/>
      <c r="G111" s="115">
        <f ca="1">((((C111/H108)*20)+((C112/H108)*25)+(30/(H108+F108+D108)*C113)+(5/H108*C114)+(5/H108*C115)+(5/H108*C116)+(5/H108*C117)+(0/H108*C118)+(0/H108*C119)+(5/H108*C120))/100)</f>
        <v>0.46739130434782611</v>
      </c>
      <c r="H111" s="131"/>
      <c r="I111" s="13" t="s">
        <v>96</v>
      </c>
      <c r="J111" s="28">
        <f ca="1">H108*50%</f>
        <v>33.5</v>
      </c>
    </row>
    <row r="112" spans="1:19" x14ac:dyDescent="0.3">
      <c r="A112" s="113" t="s">
        <v>48</v>
      </c>
      <c r="B112" s="114"/>
      <c r="C112" s="86">
        <f ca="1">J120</f>
        <v>67</v>
      </c>
      <c r="D112" s="18">
        <f ca="1">((100/H108)*C112)/100</f>
        <v>1</v>
      </c>
      <c r="E112" s="117"/>
      <c r="F112" s="118"/>
      <c r="G112" s="117"/>
      <c r="H112" s="132"/>
      <c r="I112" s="13" t="s">
        <v>97</v>
      </c>
      <c r="J112" s="28">
        <f ca="1">H108</f>
        <v>67</v>
      </c>
      <c r="S112"/>
    </row>
    <row r="113" spans="1:22" ht="15.75" customHeight="1" x14ac:dyDescent="0.3">
      <c r="A113" s="113" t="s">
        <v>126</v>
      </c>
      <c r="B113" s="114"/>
      <c r="C113" s="42">
        <v>4</v>
      </c>
      <c r="D113" s="18">
        <f ca="1">((100/(D108+F108+H108))*C113)/100</f>
        <v>5.7971014492753624E-2</v>
      </c>
      <c r="E113" s="117"/>
      <c r="F113" s="118"/>
      <c r="G113" s="117"/>
      <c r="H113" s="132"/>
      <c r="I113" s="13" t="s">
        <v>98</v>
      </c>
      <c r="J113" s="29">
        <f ca="1">(IF(B108&gt;1,(H108/(B108+2)),H108/4))</f>
        <v>16.75</v>
      </c>
      <c r="S113"/>
    </row>
    <row r="114" spans="1:22" ht="15.75" customHeight="1" x14ac:dyDescent="0.3">
      <c r="A114" s="113" t="s">
        <v>133</v>
      </c>
      <c r="B114" s="114" t="s">
        <v>127</v>
      </c>
      <c r="C114" s="42">
        <v>0</v>
      </c>
      <c r="D114" s="18">
        <f ca="1">((100/H108)*C114)/100</f>
        <v>0</v>
      </c>
      <c r="E114" s="117"/>
      <c r="F114" s="118"/>
      <c r="G114" s="117"/>
      <c r="H114" s="132"/>
      <c r="I114" s="13" t="s">
        <v>99</v>
      </c>
      <c r="J114" s="29">
        <f ca="1">(IF(B108&gt;1,(H108/(B108+2)+J113),H108/4+J113))</f>
        <v>33.5</v>
      </c>
      <c r="K114" s="290" t="s">
        <v>447</v>
      </c>
      <c r="L114" s="291"/>
      <c r="M114" s="291"/>
      <c r="N114" s="291"/>
    </row>
    <row r="115" spans="1:22" ht="15.75" customHeight="1" x14ac:dyDescent="0.3">
      <c r="A115" s="113" t="s">
        <v>134</v>
      </c>
      <c r="B115" s="114" t="s">
        <v>127</v>
      </c>
      <c r="C115" s="42">
        <v>0</v>
      </c>
      <c r="D115" s="18">
        <f ca="1">((100/H108)*C115)/100</f>
        <v>0</v>
      </c>
      <c r="E115" s="117"/>
      <c r="F115" s="118"/>
      <c r="G115" s="117"/>
      <c r="H115" s="132"/>
      <c r="I115" s="13" t="s">
        <v>145</v>
      </c>
      <c r="J115" s="29">
        <f>(IF(B108&gt;1,(H108/(B108+2)+J114),0))</f>
        <v>0</v>
      </c>
      <c r="K115" s="290"/>
      <c r="L115" s="291"/>
      <c r="M115" s="291"/>
      <c r="N115" s="291"/>
    </row>
    <row r="116" spans="1:22" ht="15" customHeight="1" x14ac:dyDescent="0.3">
      <c r="A116" s="113" t="s">
        <v>132</v>
      </c>
      <c r="B116" s="114" t="s">
        <v>129</v>
      </c>
      <c r="C116" s="42">
        <v>0</v>
      </c>
      <c r="D116" s="18">
        <f ca="1">((100/(H108))*C116)/100</f>
        <v>0</v>
      </c>
      <c r="E116" s="117"/>
      <c r="F116" s="118"/>
      <c r="G116" s="117"/>
      <c r="H116" s="132"/>
      <c r="I116" s="13" t="s">
        <v>140</v>
      </c>
      <c r="J116" s="29">
        <f>(IF(B108&gt;2,(H108/(B108+2)+J115),0))</f>
        <v>0</v>
      </c>
      <c r="K116" s="290"/>
      <c r="L116" s="291"/>
      <c r="M116" s="291"/>
      <c r="N116" s="291"/>
    </row>
    <row r="117" spans="1:22" ht="15.75" customHeight="1" x14ac:dyDescent="0.3">
      <c r="A117" s="113" t="s">
        <v>128</v>
      </c>
      <c r="B117" s="114" t="s">
        <v>128</v>
      </c>
      <c r="C117" s="42">
        <v>0</v>
      </c>
      <c r="D117" s="18">
        <f ca="1">((100/H108)*C117)/100</f>
        <v>0</v>
      </c>
      <c r="E117" s="117"/>
      <c r="F117" s="118"/>
      <c r="G117" s="117"/>
      <c r="H117" s="132"/>
      <c r="I117" s="13" t="s">
        <v>141</v>
      </c>
      <c r="J117" s="30">
        <f>(IF(B108&gt;3,(H108/(B108+2)+J116),0))</f>
        <v>0</v>
      </c>
      <c r="K117" s="290"/>
      <c r="L117" s="291"/>
      <c r="M117" s="291"/>
      <c r="N117" s="291"/>
    </row>
    <row r="118" spans="1:22" ht="15.75" customHeight="1" x14ac:dyDescent="0.3">
      <c r="A118" s="113" t="s">
        <v>135</v>
      </c>
      <c r="B118" s="114"/>
      <c r="C118" s="42">
        <v>0</v>
      </c>
      <c r="D118" s="18">
        <f ca="1">((100/H108)*C118)/100</f>
        <v>0</v>
      </c>
      <c r="E118" s="117"/>
      <c r="F118" s="118"/>
      <c r="G118" s="117"/>
      <c r="H118" s="132"/>
      <c r="I118" s="13" t="s">
        <v>142</v>
      </c>
      <c r="J118" s="29">
        <f>(IF(B108&gt;4,(H108/(B108+2)+J117),0))</f>
        <v>0</v>
      </c>
    </row>
    <row r="119" spans="1:22" ht="15.75" customHeight="1" x14ac:dyDescent="0.3">
      <c r="A119" s="113" t="s">
        <v>130</v>
      </c>
      <c r="B119" s="114" t="s">
        <v>130</v>
      </c>
      <c r="C119" s="42">
        <v>0</v>
      </c>
      <c r="D119" s="18">
        <f ca="1">((100/(H108))*C119)/100</f>
        <v>0</v>
      </c>
      <c r="E119" s="117"/>
      <c r="F119" s="118"/>
      <c r="G119" s="117"/>
      <c r="H119" s="132"/>
      <c r="I119" s="13" t="s">
        <v>146</v>
      </c>
      <c r="J119" s="29">
        <f ca="1">(IF(B108=1,(H108/(B108+3)+J114),IF(B108=0,(H108/4+J114),IF(B108&gt;1,0))))</f>
        <v>50.25</v>
      </c>
    </row>
    <row r="120" spans="1:22" ht="16.2" thickBot="1" x14ac:dyDescent="0.35">
      <c r="A120" s="107" t="s">
        <v>131</v>
      </c>
      <c r="B120" s="108"/>
      <c r="C120" s="43">
        <v>0</v>
      </c>
      <c r="D120" s="19">
        <f ca="1">((100/(H108))*C120)/100</f>
        <v>0</v>
      </c>
      <c r="E120" s="119"/>
      <c r="F120" s="120"/>
      <c r="G120" s="119"/>
      <c r="H120" s="133"/>
      <c r="I120" s="14" t="s">
        <v>100</v>
      </c>
      <c r="J120" s="31">
        <f ca="1">(IF(B108&gt;1.5,(H108/(B108+2)+J114+MAX(0,J115-J114)+MAX(0,J116-J115)+MAX(0,J117-J116)+MAX(0,J118-J117)+MAX(0,J119-J118)),IF(B108=1,(H108/(B108+3)+J119),IF(B108=0,H108/4+J119))))</f>
        <v>67</v>
      </c>
    </row>
    <row r="121" spans="1:22" x14ac:dyDescent="0.3">
      <c r="A121" s="234" t="s">
        <v>157</v>
      </c>
      <c r="B121" s="234"/>
      <c r="C121" s="234"/>
      <c r="D121" s="234"/>
      <c r="E121" s="234"/>
      <c r="F121" s="244" t="s">
        <v>161</v>
      </c>
      <c r="G121" s="244"/>
      <c r="H121" s="244"/>
      <c r="R121" t="s">
        <v>254</v>
      </c>
      <c r="S121" t="s">
        <v>173</v>
      </c>
      <c r="T121" t="s">
        <v>181</v>
      </c>
      <c r="U121" t="s">
        <v>195</v>
      </c>
      <c r="V121" t="s">
        <v>190</v>
      </c>
    </row>
    <row r="122" spans="1:22" x14ac:dyDescent="0.3">
      <c r="A122" s="92" t="s">
        <v>159</v>
      </c>
      <c r="B122" s="92"/>
      <c r="C122" s="92"/>
      <c r="D122" s="92"/>
      <c r="E122" s="92"/>
      <c r="F122" s="93">
        <v>17300</v>
      </c>
      <c r="G122" s="93"/>
      <c r="H122" s="93"/>
      <c r="I122" s="20" t="s">
        <v>440</v>
      </c>
      <c r="R122"/>
      <c r="S122">
        <v>800000</v>
      </c>
      <c r="T122">
        <v>150000</v>
      </c>
      <c r="U122">
        <v>100000</v>
      </c>
      <c r="V122">
        <v>100000</v>
      </c>
    </row>
    <row r="123" spans="1:22" hidden="1" x14ac:dyDescent="0.3">
      <c r="A123" s="92" t="s">
        <v>158</v>
      </c>
      <c r="B123" s="92"/>
      <c r="C123" s="92"/>
      <c r="D123" s="92"/>
      <c r="E123" s="92"/>
      <c r="F123" s="93"/>
      <c r="G123" s="93"/>
      <c r="H123" s="93"/>
      <c r="R123"/>
      <c r="S123">
        <v>900000</v>
      </c>
      <c r="T123">
        <v>200000</v>
      </c>
      <c r="U123">
        <v>150000</v>
      </c>
      <c r="V123">
        <v>150000</v>
      </c>
    </row>
    <row r="124" spans="1:22" hidden="1" x14ac:dyDescent="0.3">
      <c r="A124" s="92" t="s">
        <v>160</v>
      </c>
      <c r="B124" s="92"/>
      <c r="C124" s="92"/>
      <c r="D124" s="92"/>
      <c r="E124" s="92"/>
      <c r="F124" s="93"/>
      <c r="G124" s="93"/>
      <c r="H124" s="93"/>
      <c r="R124"/>
      <c r="S124">
        <v>1000000</v>
      </c>
      <c r="T124">
        <v>250000</v>
      </c>
      <c r="U124">
        <v>200000</v>
      </c>
      <c r="V124">
        <v>200000</v>
      </c>
    </row>
    <row r="125" spans="1:22" s="32" customFormat="1" hidden="1" x14ac:dyDescent="0.3">
      <c r="A125" s="92" t="s">
        <v>176</v>
      </c>
      <c r="B125" s="92"/>
      <c r="C125" s="92"/>
      <c r="D125" s="92"/>
      <c r="E125" s="92"/>
      <c r="F125" s="93"/>
      <c r="G125" s="93"/>
      <c r="H125" s="93"/>
      <c r="R125"/>
      <c r="S125">
        <v>1100000</v>
      </c>
      <c r="T125">
        <v>300000</v>
      </c>
      <c r="U125">
        <v>250000</v>
      </c>
      <c r="V125" s="22">
        <v>250000</v>
      </c>
    </row>
    <row r="126" spans="1:22" s="32" customFormat="1" x14ac:dyDescent="0.3">
      <c r="A126" s="92" t="s">
        <v>438</v>
      </c>
      <c r="B126" s="92"/>
      <c r="C126" s="92"/>
      <c r="D126" s="92"/>
      <c r="E126" s="92"/>
      <c r="F126" s="93">
        <v>200000</v>
      </c>
      <c r="G126" s="93"/>
      <c r="H126" s="93"/>
      <c r="I126" s="32" t="s">
        <v>441</v>
      </c>
      <c r="R126"/>
      <c r="S126">
        <v>1200000</v>
      </c>
      <c r="T126">
        <v>350000</v>
      </c>
      <c r="U126">
        <v>300000</v>
      </c>
      <c r="V126">
        <v>300000</v>
      </c>
    </row>
    <row r="127" spans="1:22" s="32" customFormat="1" x14ac:dyDescent="0.3">
      <c r="A127" s="92" t="s">
        <v>437</v>
      </c>
      <c r="B127" s="92"/>
      <c r="C127" s="92"/>
      <c r="D127" s="92"/>
      <c r="E127" s="92"/>
      <c r="F127" s="93">
        <v>500000</v>
      </c>
      <c r="G127" s="93"/>
      <c r="H127" s="93"/>
      <c r="I127" s="32" t="s">
        <v>442</v>
      </c>
      <c r="R127"/>
      <c r="S127">
        <v>1300000</v>
      </c>
      <c r="T127">
        <v>400000</v>
      </c>
      <c r="U127">
        <v>350000</v>
      </c>
      <c r="V127" s="22">
        <v>400000</v>
      </c>
    </row>
    <row r="128" spans="1:22" s="32" customFormat="1" x14ac:dyDescent="0.3">
      <c r="A128" s="92" t="s">
        <v>439</v>
      </c>
      <c r="B128" s="92"/>
      <c r="C128" s="92"/>
      <c r="D128" s="92"/>
      <c r="E128" s="92"/>
      <c r="F128" s="93">
        <v>115000</v>
      </c>
      <c r="G128" s="93"/>
      <c r="H128" s="93"/>
      <c r="R128"/>
      <c r="S128">
        <v>1400000</v>
      </c>
      <c r="T128">
        <v>500000</v>
      </c>
      <c r="U128">
        <v>400000</v>
      </c>
      <c r="V128"/>
    </row>
    <row r="129" spans="1:22" s="32" customFormat="1" hidden="1" x14ac:dyDescent="0.3">
      <c r="A129" s="92" t="s">
        <v>92</v>
      </c>
      <c r="B129" s="92"/>
      <c r="C129" s="92"/>
      <c r="D129" s="92"/>
      <c r="E129" s="92"/>
      <c r="F129" s="93"/>
      <c r="G129" s="93"/>
      <c r="H129" s="93"/>
      <c r="R129"/>
      <c r="S129">
        <v>1400000</v>
      </c>
      <c r="T129">
        <v>500000</v>
      </c>
      <c r="U129">
        <v>400000</v>
      </c>
      <c r="V129"/>
    </row>
    <row r="130" spans="1:22" s="32" customFormat="1" hidden="1" x14ac:dyDescent="0.3">
      <c r="A130" s="92" t="s">
        <v>93</v>
      </c>
      <c r="B130" s="92"/>
      <c r="C130" s="92"/>
      <c r="D130" s="92"/>
      <c r="E130" s="92"/>
      <c r="F130" s="93"/>
      <c r="G130" s="93"/>
      <c r="H130" s="93"/>
      <c r="R130"/>
      <c r="S130">
        <v>1500000</v>
      </c>
      <c r="T130">
        <v>600000</v>
      </c>
      <c r="U130">
        <v>500000</v>
      </c>
      <c r="V130" s="22"/>
    </row>
    <row r="131" spans="1:22" s="32" customFormat="1" x14ac:dyDescent="0.3">
      <c r="A131" s="92" t="s">
        <v>94</v>
      </c>
      <c r="B131" s="92"/>
      <c r="C131" s="92"/>
      <c r="D131" s="92"/>
      <c r="E131" s="92"/>
      <c r="F131" s="93">
        <v>25000</v>
      </c>
      <c r="G131" s="93"/>
      <c r="H131" s="93"/>
      <c r="R131"/>
      <c r="S131">
        <v>1600000</v>
      </c>
      <c r="T131">
        <v>700000</v>
      </c>
      <c r="U131">
        <v>600000</v>
      </c>
      <c r="V131"/>
    </row>
    <row r="132" spans="1:22" s="32" customFormat="1" hidden="1" x14ac:dyDescent="0.3">
      <c r="A132" s="92" t="s">
        <v>95</v>
      </c>
      <c r="B132" s="92"/>
      <c r="C132" s="92"/>
      <c r="D132" s="92"/>
      <c r="E132" s="92"/>
      <c r="F132" s="93"/>
      <c r="G132" s="93"/>
      <c r="H132" s="93"/>
      <c r="R132"/>
      <c r="S132">
        <v>1700000</v>
      </c>
      <c r="T132">
        <v>800000</v>
      </c>
      <c r="U132"/>
      <c r="V132" s="22"/>
    </row>
    <row r="133" spans="1:22" x14ac:dyDescent="0.3">
      <c r="A133" s="92" t="s">
        <v>49</v>
      </c>
      <c r="B133" s="92"/>
      <c r="C133" s="92"/>
      <c r="D133" s="92"/>
      <c r="E133" s="92"/>
      <c r="F133" s="93">
        <v>700000</v>
      </c>
      <c r="G133" s="93"/>
      <c r="H133" s="93"/>
      <c r="R133"/>
      <c r="S133">
        <v>1800000</v>
      </c>
      <c r="T133">
        <v>900000</v>
      </c>
      <c r="U133"/>
    </row>
    <row r="134" spans="1:22" s="33" customFormat="1" x14ac:dyDescent="0.3">
      <c r="A134" s="165" t="s">
        <v>50</v>
      </c>
      <c r="B134" s="165"/>
      <c r="C134" s="165"/>
      <c r="D134" s="165"/>
      <c r="E134" s="165"/>
      <c r="F134" s="93">
        <f>F122*0.8</f>
        <v>13840</v>
      </c>
      <c r="G134" s="93"/>
      <c r="H134" s="93"/>
      <c r="R134" s="20"/>
      <c r="S134" s="20"/>
      <c r="T134">
        <v>1000000</v>
      </c>
      <c r="U134"/>
      <c r="V134" s="20"/>
    </row>
    <row r="135" spans="1:22" s="34" customFormat="1" ht="15.75" hidden="1" customHeight="1" x14ac:dyDescent="0.3">
      <c r="A135" s="140" t="s">
        <v>72</v>
      </c>
      <c r="B135" s="140"/>
      <c r="C135" s="140"/>
      <c r="D135" s="140"/>
      <c r="E135" s="140"/>
      <c r="F135" s="140"/>
      <c r="G135" s="140"/>
      <c r="H135" s="140"/>
      <c r="R135"/>
      <c r="S135" s="20"/>
      <c r="T135"/>
      <c r="U135"/>
      <c r="V135" s="20"/>
    </row>
    <row r="136" spans="1:22" s="34" customFormat="1" ht="15.75" hidden="1" customHeight="1" x14ac:dyDescent="0.3">
      <c r="A136" s="143" t="s">
        <v>51</v>
      </c>
      <c r="B136" s="143"/>
      <c r="C136" s="141" t="s">
        <v>75</v>
      </c>
      <c r="D136" s="141"/>
      <c r="E136" s="142" t="s">
        <v>52</v>
      </c>
      <c r="F136" s="142"/>
      <c r="G136" s="143" t="s">
        <v>53</v>
      </c>
      <c r="H136" s="143"/>
      <c r="R136"/>
      <c r="S136" s="20"/>
      <c r="T136"/>
      <c r="U136" s="20"/>
      <c r="V136" s="20"/>
    </row>
    <row r="137" spans="1:22" s="34" customFormat="1" hidden="1" x14ac:dyDescent="0.3">
      <c r="A137" s="144"/>
      <c r="B137" s="144"/>
      <c r="C137" s="137"/>
      <c r="D137" s="137"/>
      <c r="E137" s="138"/>
      <c r="F137" s="138"/>
      <c r="G137" s="139"/>
      <c r="H137" s="139"/>
      <c r="R137"/>
      <c r="S137" s="20"/>
      <c r="T137"/>
      <c r="U137" s="20"/>
      <c r="V137" s="20"/>
    </row>
    <row r="138" spans="1:22" s="34" customFormat="1" hidden="1" x14ac:dyDescent="0.3">
      <c r="A138" s="144"/>
      <c r="B138" s="144"/>
      <c r="C138" s="137"/>
      <c r="D138" s="137"/>
      <c r="E138" s="138"/>
      <c r="F138" s="138"/>
      <c r="G138" s="139"/>
      <c r="H138" s="139"/>
      <c r="R138"/>
      <c r="S138" s="20"/>
      <c r="T138"/>
      <c r="U138" s="20"/>
      <c r="V138" s="20"/>
    </row>
    <row r="139" spans="1:22" s="34" customFormat="1" hidden="1" x14ac:dyDescent="0.3">
      <c r="A139" s="140" t="s">
        <v>150</v>
      </c>
      <c r="B139" s="140"/>
      <c r="C139" s="141"/>
      <c r="D139" s="141"/>
      <c r="E139" s="142"/>
      <c r="F139" s="142"/>
      <c r="G139" s="143"/>
      <c r="H139" s="143"/>
      <c r="R139"/>
      <c r="S139" s="20"/>
      <c r="T139"/>
      <c r="U139" s="20"/>
      <c r="V139" s="20"/>
    </row>
    <row r="140" spans="1:22" s="34" customFormat="1" x14ac:dyDescent="0.3">
      <c r="A140" s="140" t="s">
        <v>67</v>
      </c>
      <c r="B140" s="140"/>
      <c r="C140" s="140"/>
      <c r="D140" s="140"/>
      <c r="E140" s="140"/>
      <c r="F140" s="140"/>
      <c r="G140" s="140"/>
      <c r="H140" s="140"/>
      <c r="T140"/>
    </row>
    <row r="141" spans="1:22" s="34" customFormat="1" ht="15.75" customHeight="1" x14ac:dyDescent="0.3">
      <c r="A141" s="143" t="s">
        <v>51</v>
      </c>
      <c r="B141" s="143"/>
      <c r="C141" s="141" t="s">
        <v>75</v>
      </c>
      <c r="D141" s="141"/>
      <c r="E141" s="142" t="s">
        <v>52</v>
      </c>
      <c r="F141" s="142"/>
      <c r="G141" s="143" t="s">
        <v>53</v>
      </c>
      <c r="H141" s="143"/>
      <c r="T141"/>
    </row>
    <row r="142" spans="1:22" s="34" customFormat="1" x14ac:dyDescent="0.3">
      <c r="A142" s="144" t="s">
        <v>400</v>
      </c>
      <c r="B142" s="144"/>
      <c r="C142" s="145">
        <f>COUNT(D174:D181)+COUNT(D186:D187)+COUNT(D192:D199)*46+COUNT(D201,D203:D208)*12+COUNT(D210:D217)+COUNT(D222:D223)</f>
        <v>472</v>
      </c>
      <c r="D142" s="145"/>
      <c r="E142" s="145">
        <f t="shared" ref="E142" si="0">SUM(F174:F181)+SUM(F186:F187)+SUM(F192:F199)*46+SUM(F201,F203:F208)*12+SUM(F210:F217)+SUM(F222:F223)</f>
        <v>592843.98420000006</v>
      </c>
      <c r="F142" s="145"/>
      <c r="G142" s="145">
        <f t="shared" ref="G142" si="1">SUM(H174:H181)+SUM(H186:H187)+SUM(H192:H199)*46+SUM(H201,H203:H208)*12+SUM(H210:H217)+SUM(H222:H223)</f>
        <v>893685.2650221599</v>
      </c>
      <c r="H142" s="145"/>
      <c r="T142"/>
    </row>
    <row r="143" spans="1:22" s="34" customFormat="1" x14ac:dyDescent="0.3">
      <c r="A143" s="144" t="s">
        <v>419</v>
      </c>
      <c r="B143" s="144"/>
      <c r="C143" s="145">
        <f>COUNT(D236:D243)+COUNT(D248:D249)+COUNT(D254:D261)*46+COUNT(D264:D270)*12</f>
        <v>462</v>
      </c>
      <c r="D143" s="145"/>
      <c r="E143" s="145">
        <f t="shared" ref="E143" si="2">SUM(F236:F243)+SUM(F248:F249)+SUM(F254:F261)*46+SUM(F264:F270)*12</f>
        <v>582957.57311999996</v>
      </c>
      <c r="F143" s="145"/>
      <c r="G143" s="145">
        <f t="shared" ref="G143" si="3">SUM(H236:H243)+SUM(H248:H249)+SUM(H254:H261)*46+SUM(H264:H270)*12</f>
        <v>876244.25420999993</v>
      </c>
      <c r="H143" s="145"/>
      <c r="T143"/>
    </row>
    <row r="144" spans="1:22" s="34" customFormat="1" ht="16.2" thickBot="1" x14ac:dyDescent="0.35">
      <c r="A144" s="134" t="s">
        <v>150</v>
      </c>
      <c r="B144" s="134"/>
      <c r="C144" s="135">
        <f>C142+C143</f>
        <v>934</v>
      </c>
      <c r="D144" s="136"/>
      <c r="E144" s="135">
        <f t="shared" ref="E144" si="4">E142+E143</f>
        <v>1175801.5573200001</v>
      </c>
      <c r="F144" s="136"/>
      <c r="G144" s="135">
        <f t="shared" ref="G144" si="5">G142+G143</f>
        <v>1769929.5192321599</v>
      </c>
      <c r="H144" s="136"/>
      <c r="T144"/>
    </row>
    <row r="145" spans="1:20" s="34" customFormat="1" ht="16.2" thickBot="1" x14ac:dyDescent="0.35">
      <c r="A145" s="241" t="s">
        <v>167</v>
      </c>
      <c r="B145" s="242"/>
      <c r="C145" s="233">
        <f>C139+C144</f>
        <v>934</v>
      </c>
      <c r="D145" s="233"/>
      <c r="E145" s="146">
        <f>E139+E144</f>
        <v>1175801.5573200001</v>
      </c>
      <c r="F145" s="146"/>
      <c r="G145" s="147">
        <f>G139+G144</f>
        <v>1769929.5192321599</v>
      </c>
      <c r="H145" s="148"/>
      <c r="T145"/>
    </row>
    <row r="146" spans="1:20" s="33" customFormat="1" x14ac:dyDescent="0.3">
      <c r="A146" s="238" t="s">
        <v>54</v>
      </c>
      <c r="B146" s="238"/>
      <c r="C146" s="238"/>
      <c r="D146" s="238"/>
      <c r="E146" s="238"/>
      <c r="F146" s="238"/>
      <c r="G146" s="238"/>
      <c r="H146" s="238"/>
      <c r="T146" s="34"/>
    </row>
    <row r="147" spans="1:20" x14ac:dyDescent="0.3">
      <c r="A147" s="247" t="s">
        <v>175</v>
      </c>
      <c r="B147" s="247"/>
      <c r="C147" s="247"/>
      <c r="D147" s="247"/>
      <c r="E147" s="247"/>
      <c r="F147" s="247"/>
      <c r="G147" s="247"/>
      <c r="H147" s="247"/>
      <c r="T147" s="34"/>
    </row>
    <row r="148" spans="1:20" ht="47.25" hidden="1" customHeight="1" x14ac:dyDescent="0.3">
      <c r="A148" s="109" t="s">
        <v>117</v>
      </c>
      <c r="B148" s="152" t="s">
        <v>177</v>
      </c>
      <c r="C148" s="109" t="s">
        <v>55</v>
      </c>
      <c r="D148" s="152" t="s">
        <v>233</v>
      </c>
      <c r="E148" s="158" t="s">
        <v>156</v>
      </c>
      <c r="F148" s="109" t="s">
        <v>56</v>
      </c>
      <c r="G148" s="156" t="s">
        <v>57</v>
      </c>
      <c r="H148" s="63" t="s">
        <v>148</v>
      </c>
      <c r="T148" s="34"/>
    </row>
    <row r="149" spans="1:20" s="36" customFormat="1" hidden="1" x14ac:dyDescent="0.3">
      <c r="A149" s="110"/>
      <c r="B149" s="153"/>
      <c r="C149" s="110"/>
      <c r="D149" s="153"/>
      <c r="E149" s="159"/>
      <c r="F149" s="110"/>
      <c r="G149" s="157"/>
      <c r="H149" s="54">
        <v>0.45</v>
      </c>
      <c r="T149" s="34"/>
    </row>
    <row r="150" spans="1:20" s="36" customFormat="1" hidden="1" x14ac:dyDescent="0.3">
      <c r="A150" s="101" t="s">
        <v>115</v>
      </c>
      <c r="B150" s="102"/>
      <c r="C150" s="102"/>
      <c r="D150" s="102"/>
      <c r="E150" s="102"/>
      <c r="F150" s="102"/>
      <c r="G150" s="102"/>
      <c r="H150" s="103"/>
      <c r="J150" s="35"/>
      <c r="T150" s="34"/>
    </row>
    <row r="151" spans="1:20" s="36" customFormat="1" ht="15.75" hidden="1" customHeight="1" x14ac:dyDescent="0.3">
      <c r="A151" s="97">
        <v>1</v>
      </c>
      <c r="B151" s="98"/>
      <c r="C151" s="41"/>
      <c r="D151" s="41">
        <v>0</v>
      </c>
      <c r="E151" s="41">
        <v>0</v>
      </c>
      <c r="F151" s="41">
        <f>D151+(IF(E151&lt;201,E151,IF(E151&lt;301,E151/2,E151/3)))</f>
        <v>0</v>
      </c>
      <c r="G151" s="41">
        <v>0</v>
      </c>
      <c r="H151" s="41">
        <f>(F151+(IF(G151&lt;101,G151,IF(G151&lt;201,G151/2,IF(G151&lt;=301,G151/3,G151/4)))))*(($H$149)+1)</f>
        <v>0</v>
      </c>
      <c r="I151" s="35"/>
      <c r="L151" s="100"/>
      <c r="M151" s="100"/>
      <c r="N151" s="35"/>
      <c r="T151" s="34"/>
    </row>
    <row r="152" spans="1:20" s="36" customFormat="1" ht="15.75" hidden="1" customHeight="1" x14ac:dyDescent="0.3">
      <c r="A152" s="97">
        <f>A151+1</f>
        <v>2</v>
      </c>
      <c r="B152" s="98"/>
      <c r="C152" s="41"/>
      <c r="D152" s="41"/>
      <c r="E152" s="41">
        <v>0</v>
      </c>
      <c r="F152" s="41">
        <f>D152+(IF(E152&lt;201,E152,IF(E152&lt;301,E152/2,E152/3)))</f>
        <v>0</v>
      </c>
      <c r="G152" s="41">
        <v>0</v>
      </c>
      <c r="H152" s="41">
        <f>(F152+(IF(G152&lt;101,G152,IF(G152&lt;201,G152/2,IF(G152&lt;=301,G152/3,G152/4)))))*(($H$149)+1)</f>
        <v>0</v>
      </c>
      <c r="I152" s="35"/>
      <c r="L152" s="100"/>
      <c r="M152" s="100"/>
      <c r="N152" s="35"/>
      <c r="T152" s="33"/>
    </row>
    <row r="153" spans="1:20" s="36" customFormat="1" ht="15.75" hidden="1" customHeight="1" x14ac:dyDescent="0.3">
      <c r="A153" s="97">
        <f>A152+1</f>
        <v>3</v>
      </c>
      <c r="B153" s="98"/>
      <c r="C153" s="41"/>
      <c r="D153" s="41"/>
      <c r="E153" s="41">
        <v>0</v>
      </c>
      <c r="F153" s="41">
        <f>D153+(IF(E153&lt;201,E153,IF(E153&lt;301,E153/2,E153/3)))</f>
        <v>0</v>
      </c>
      <c r="G153" s="41">
        <v>0</v>
      </c>
      <c r="H153" s="41">
        <f>(F153+(IF(G153&lt;101,G153,IF(G153&lt;201,G153/2,IF(G153&lt;=301,G153/3,G153/4)))))*(($H$149)+1)</f>
        <v>0</v>
      </c>
      <c r="I153" s="35"/>
      <c r="L153" s="100"/>
      <c r="M153" s="100"/>
      <c r="N153" s="35"/>
      <c r="T153" s="20"/>
    </row>
    <row r="154" spans="1:20" s="36" customFormat="1" ht="15.75" hidden="1" customHeight="1" x14ac:dyDescent="0.3">
      <c r="A154" s="97">
        <f>A153+1</f>
        <v>4</v>
      </c>
      <c r="B154" s="98"/>
      <c r="C154" s="41"/>
      <c r="D154" s="41"/>
      <c r="E154" s="41">
        <v>0</v>
      </c>
      <c r="F154" s="41">
        <f>D154+(IF(E154&lt;201,E154,IF(E154&lt;301,E154/2,E154/3)))</f>
        <v>0</v>
      </c>
      <c r="G154" s="41">
        <v>0</v>
      </c>
      <c r="H154" s="41">
        <f>(F154+(IF(G154&lt;101,G154,IF(G154&lt;201,G154/2,IF(G154&lt;=301,G154/3,G154/4)))))*(($H$149)+1)</f>
        <v>0</v>
      </c>
      <c r="I154" s="35"/>
      <c r="L154" s="100"/>
      <c r="M154" s="100"/>
      <c r="N154" s="35"/>
      <c r="T154" s="20"/>
    </row>
    <row r="155" spans="1:20" s="36" customFormat="1" hidden="1" x14ac:dyDescent="0.3">
      <c r="A155" s="97"/>
      <c r="B155" s="99"/>
      <c r="C155" s="99"/>
      <c r="D155" s="99"/>
      <c r="E155" s="99"/>
      <c r="F155" s="99"/>
      <c r="G155" s="99"/>
      <c r="H155" s="98"/>
      <c r="I155" s="35"/>
      <c r="N155" s="35"/>
    </row>
    <row r="156" spans="1:20" ht="47.25" customHeight="1" x14ac:dyDescent="0.3">
      <c r="A156" s="239" t="s">
        <v>118</v>
      </c>
      <c r="B156" s="111" t="s">
        <v>178</v>
      </c>
      <c r="C156" s="109" t="s">
        <v>55</v>
      </c>
      <c r="D156" s="111" t="s">
        <v>233</v>
      </c>
      <c r="E156" s="111" t="s">
        <v>416</v>
      </c>
      <c r="F156" s="109" t="s">
        <v>56</v>
      </c>
      <c r="G156" s="156" t="s">
        <v>57</v>
      </c>
      <c r="H156" s="62" t="s">
        <v>148</v>
      </c>
      <c r="I156" s="35"/>
      <c r="M156" s="41">
        <v>10.763999999999999</v>
      </c>
      <c r="T156" s="36"/>
    </row>
    <row r="157" spans="1:20" s="36" customFormat="1" x14ac:dyDescent="0.3">
      <c r="A157" s="240"/>
      <c r="B157" s="112"/>
      <c r="C157" s="110"/>
      <c r="D157" s="112"/>
      <c r="E157" s="112"/>
      <c r="F157" s="110"/>
      <c r="G157" s="157"/>
      <c r="H157" s="90">
        <v>0.5</v>
      </c>
      <c r="I157" s="35"/>
    </row>
    <row r="158" spans="1:20" s="36" customFormat="1" x14ac:dyDescent="0.3">
      <c r="A158" s="101" t="s">
        <v>394</v>
      </c>
      <c r="B158" s="102"/>
      <c r="C158" s="102"/>
      <c r="D158" s="102"/>
      <c r="E158" s="102"/>
      <c r="F158" s="102"/>
      <c r="G158" s="102"/>
      <c r="H158" s="103"/>
      <c r="J158" s="35"/>
    </row>
    <row r="159" spans="1:20" s="36" customFormat="1" x14ac:dyDescent="0.3">
      <c r="A159" s="101" t="s">
        <v>395</v>
      </c>
      <c r="B159" s="102"/>
      <c r="C159" s="102"/>
      <c r="D159" s="102"/>
      <c r="E159" s="102"/>
      <c r="F159" s="102"/>
      <c r="G159" s="102"/>
      <c r="H159" s="103"/>
      <c r="J159" s="35"/>
    </row>
    <row r="160" spans="1:20" s="36" customFormat="1" x14ac:dyDescent="0.3">
      <c r="A160" s="101" t="s">
        <v>397</v>
      </c>
      <c r="B160" s="102"/>
      <c r="C160" s="102"/>
      <c r="D160" s="102"/>
      <c r="E160" s="102"/>
      <c r="F160" s="102"/>
      <c r="G160" s="102"/>
      <c r="H160" s="103"/>
      <c r="J160" s="35"/>
    </row>
    <row r="161" spans="1:14" s="36" customFormat="1" x14ac:dyDescent="0.3">
      <c r="A161" s="101" t="s">
        <v>396</v>
      </c>
      <c r="B161" s="102"/>
      <c r="C161" s="102"/>
      <c r="D161" s="102"/>
      <c r="E161" s="102"/>
      <c r="F161" s="102"/>
      <c r="G161" s="102"/>
      <c r="H161" s="103"/>
      <c r="J161" s="35"/>
    </row>
    <row r="162" spans="1:14" s="36" customFormat="1" x14ac:dyDescent="0.3">
      <c r="A162" s="101" t="s">
        <v>398</v>
      </c>
      <c r="B162" s="102"/>
      <c r="C162" s="102"/>
      <c r="D162" s="102"/>
      <c r="E162" s="102"/>
      <c r="F162" s="102"/>
      <c r="G162" s="102"/>
      <c r="H162" s="103"/>
      <c r="J162" s="35"/>
    </row>
    <row r="163" spans="1:14" s="36" customFormat="1" x14ac:dyDescent="0.3">
      <c r="A163" s="101" t="s">
        <v>399</v>
      </c>
      <c r="B163" s="102"/>
      <c r="C163" s="102"/>
      <c r="D163" s="102"/>
      <c r="E163" s="102"/>
      <c r="F163" s="102"/>
      <c r="G163" s="102"/>
      <c r="H163" s="103"/>
      <c r="J163" s="35"/>
    </row>
    <row r="164" spans="1:14" s="36" customFormat="1" x14ac:dyDescent="0.3">
      <c r="A164" s="101" t="s">
        <v>426</v>
      </c>
      <c r="B164" s="102"/>
      <c r="C164" s="102"/>
      <c r="D164" s="102"/>
      <c r="E164" s="102"/>
      <c r="F164" s="102"/>
      <c r="G164" s="102"/>
      <c r="H164" s="103"/>
      <c r="J164" s="35"/>
    </row>
    <row r="165" spans="1:14" s="36" customFormat="1" x14ac:dyDescent="0.3">
      <c r="A165" s="101" t="s">
        <v>400</v>
      </c>
      <c r="B165" s="102"/>
      <c r="C165" s="102"/>
      <c r="D165" s="102"/>
      <c r="E165" s="102"/>
      <c r="F165" s="102"/>
      <c r="G165" s="102"/>
      <c r="H165" s="103"/>
      <c r="J165" s="35"/>
    </row>
    <row r="166" spans="1:14" s="36" customFormat="1" x14ac:dyDescent="0.3">
      <c r="A166" s="101" t="s">
        <v>404</v>
      </c>
      <c r="B166" s="102"/>
      <c r="C166" s="102"/>
      <c r="D166" s="102"/>
      <c r="E166" s="102"/>
      <c r="F166" s="102"/>
      <c r="G166" s="102"/>
      <c r="H166" s="103"/>
      <c r="J166" s="35"/>
    </row>
    <row r="167" spans="1:14" s="36" customFormat="1" x14ac:dyDescent="0.3">
      <c r="A167" s="101" t="s">
        <v>396</v>
      </c>
      <c r="B167" s="102"/>
      <c r="C167" s="102"/>
      <c r="D167" s="102"/>
      <c r="E167" s="102"/>
      <c r="F167" s="102"/>
      <c r="G167" s="102"/>
      <c r="H167" s="103"/>
      <c r="J167" s="35"/>
    </row>
    <row r="168" spans="1:14" s="36" customFormat="1" x14ac:dyDescent="0.3">
      <c r="A168" s="101" t="s">
        <v>398</v>
      </c>
      <c r="B168" s="102"/>
      <c r="C168" s="102"/>
      <c r="D168" s="102"/>
      <c r="E168" s="102"/>
      <c r="F168" s="102"/>
      <c r="G168" s="102"/>
      <c r="H168" s="103"/>
      <c r="J168" s="35"/>
    </row>
    <row r="169" spans="1:14" s="36" customFormat="1" x14ac:dyDescent="0.3">
      <c r="A169" s="101" t="s">
        <v>401</v>
      </c>
      <c r="B169" s="102"/>
      <c r="C169" s="102"/>
      <c r="D169" s="102"/>
      <c r="E169" s="102"/>
      <c r="F169" s="102"/>
      <c r="G169" s="102"/>
      <c r="H169" s="103"/>
      <c r="J169" s="35"/>
    </row>
    <row r="170" spans="1:14" s="36" customFormat="1" x14ac:dyDescent="0.3">
      <c r="A170" s="101" t="s">
        <v>402</v>
      </c>
      <c r="B170" s="102"/>
      <c r="C170" s="102"/>
      <c r="D170" s="102"/>
      <c r="E170" s="102"/>
      <c r="F170" s="102"/>
      <c r="G170" s="102"/>
      <c r="H170" s="103"/>
      <c r="J170" s="35"/>
    </row>
    <row r="171" spans="1:14" s="36" customFormat="1" x14ac:dyDescent="0.3">
      <c r="A171" s="101" t="s">
        <v>403</v>
      </c>
      <c r="B171" s="102"/>
      <c r="C171" s="102"/>
      <c r="D171" s="102"/>
      <c r="E171" s="102"/>
      <c r="F171" s="102"/>
      <c r="G171" s="102"/>
      <c r="H171" s="103"/>
      <c r="J171" s="35"/>
    </row>
    <row r="172" spans="1:14" s="36" customFormat="1" x14ac:dyDescent="0.3">
      <c r="A172" s="101" t="s">
        <v>405</v>
      </c>
      <c r="B172" s="102"/>
      <c r="C172" s="102"/>
      <c r="D172" s="102"/>
      <c r="E172" s="102"/>
      <c r="F172" s="102"/>
      <c r="G172" s="102"/>
      <c r="H172" s="103"/>
      <c r="J172" s="35"/>
    </row>
    <row r="173" spans="1:14" s="36" customFormat="1" x14ac:dyDescent="0.3">
      <c r="A173" s="101" t="s">
        <v>406</v>
      </c>
      <c r="B173" s="102"/>
      <c r="C173" s="102"/>
      <c r="D173" s="102"/>
      <c r="E173" s="102"/>
      <c r="F173" s="102"/>
      <c r="G173" s="102"/>
      <c r="H173" s="103"/>
      <c r="I173" s="36">
        <v>1</v>
      </c>
      <c r="J173" s="35"/>
    </row>
    <row r="174" spans="1:14" s="36" customFormat="1" ht="60" customHeight="1" x14ac:dyDescent="0.3">
      <c r="A174" s="97">
        <v>1</v>
      </c>
      <c r="B174" s="98"/>
      <c r="C174" s="84" t="s">
        <v>417</v>
      </c>
      <c r="D174" s="41">
        <f>(262.45)*10.764</f>
        <v>2825.0117999999998</v>
      </c>
      <c r="E174" s="41">
        <v>0</v>
      </c>
      <c r="F174" s="41">
        <f>D174+E174</f>
        <v>2825.0117999999998</v>
      </c>
      <c r="G174" s="41">
        <f>(102.62)*10.764</f>
        <v>1104.60168</v>
      </c>
      <c r="H174" s="41">
        <f>F174*(($H$157)+1)+(IF(G174&lt;101,G174,IF(G174&lt;201,G174/2,IF(G174&lt;=301,G174/3,G174/4))))</f>
        <v>4513.6681199999994</v>
      </c>
      <c r="I174" s="35"/>
      <c r="L174" s="100"/>
      <c r="M174" s="100"/>
      <c r="N174" s="35"/>
    </row>
    <row r="175" spans="1:14" s="36" customFormat="1" ht="47.25" customHeight="1" x14ac:dyDescent="0.3">
      <c r="A175" s="97">
        <f>A174+1</f>
        <v>2</v>
      </c>
      <c r="B175" s="98"/>
      <c r="C175" s="84" t="s">
        <v>417</v>
      </c>
      <c r="D175" s="41">
        <f>(262.45)*10.764</f>
        <v>2825.0117999999998</v>
      </c>
      <c r="E175" s="41">
        <v>0</v>
      </c>
      <c r="F175" s="41">
        <f>D175+E175</f>
        <v>2825.0117999999998</v>
      </c>
      <c r="G175" s="41">
        <f>(102.62)*10.764</f>
        <v>1104.60168</v>
      </c>
      <c r="H175" s="41">
        <f>F175*(($H$157)+1)+(IF(G175&lt;101,G175,IF(G175&lt;201,G175/2,IF(G175&lt;=301,G175/3,G175/4))))</f>
        <v>4513.6681199999994</v>
      </c>
      <c r="I175" s="35"/>
      <c r="L175" s="100"/>
      <c r="M175" s="100"/>
      <c r="N175" s="35"/>
    </row>
    <row r="176" spans="1:14" s="36" customFormat="1" ht="47.25" customHeight="1" x14ac:dyDescent="0.3">
      <c r="A176" s="97">
        <f>A175+1</f>
        <v>3</v>
      </c>
      <c r="B176" s="98"/>
      <c r="C176" s="84" t="s">
        <v>417</v>
      </c>
      <c r="D176" s="41">
        <f>(262.92)*10.764</f>
        <v>2830.0708800000002</v>
      </c>
      <c r="E176" s="41">
        <v>0</v>
      </c>
      <c r="F176" s="41">
        <f>D176+E176</f>
        <v>2830.0708800000002</v>
      </c>
      <c r="G176" s="41">
        <f>(100.13)*10.764</f>
        <v>1077.7993199999999</v>
      </c>
      <c r="H176" s="41">
        <f>F176*(($H$157)+1)+(IF(G176&lt;101,G176,IF(G176&lt;201,G176/2,IF(G176&lt;=301,G176/3,G176/4))))</f>
        <v>4514.5561500000003</v>
      </c>
      <c r="I176" s="35"/>
      <c r="L176" s="100"/>
      <c r="M176" s="100"/>
      <c r="N176" s="35"/>
    </row>
    <row r="177" spans="1:20" s="36" customFormat="1" ht="15.75" customHeight="1" x14ac:dyDescent="0.3">
      <c r="A177" s="97">
        <f>A176+1</f>
        <v>4</v>
      </c>
      <c r="B177" s="98"/>
      <c r="C177" s="41" t="s">
        <v>407</v>
      </c>
      <c r="D177" s="41">
        <f>(28.92)*10.764</f>
        <v>311.29487999999998</v>
      </c>
      <c r="E177" s="41">
        <v>0</v>
      </c>
      <c r="F177" s="41">
        <f>D177+E177</f>
        <v>311.29487999999998</v>
      </c>
      <c r="G177" s="41">
        <f>(15.94)*10.764</f>
        <v>171.57816</v>
      </c>
      <c r="H177" s="41">
        <f>F177*(($H$157)+1)+(IF(G177&lt;101,G177,IF(G177&lt;201,G177/2,IF(G177&lt;=301,G177/3,G177/4))))</f>
        <v>552.73140000000001</v>
      </c>
      <c r="I177" s="35">
        <f>3.525*2.67+1.78*3.355+1.525*2.45+3.35*2.35</f>
        <v>26.992400000000004</v>
      </c>
      <c r="J177" s="36">
        <f>4.5*3.35</f>
        <v>15.075000000000001</v>
      </c>
      <c r="L177" s="100"/>
      <c r="M177" s="100"/>
      <c r="N177" s="35"/>
      <c r="T177" s="20"/>
    </row>
    <row r="178" spans="1:20" s="36" customFormat="1" ht="15.75" customHeight="1" x14ac:dyDescent="0.3">
      <c r="A178" s="97">
        <f t="shared" ref="A178:A181" si="6">A177+1</f>
        <v>5</v>
      </c>
      <c r="B178" s="98"/>
      <c r="C178" s="41" t="s">
        <v>407</v>
      </c>
      <c r="D178" s="41">
        <f>(28.92)*10.764</f>
        <v>311.29487999999998</v>
      </c>
      <c r="E178" s="41">
        <v>0</v>
      </c>
      <c r="F178" s="41">
        <f t="shared" ref="F178:F181" si="7">D178+E178</f>
        <v>311.29487999999998</v>
      </c>
      <c r="G178" s="41">
        <f>(15.94)*10.764</f>
        <v>171.57816</v>
      </c>
      <c r="H178" s="41">
        <f t="shared" ref="H178:H181" si="8">F178*(($H$157)+1)+(IF(G178&lt;101,G178,IF(G178&lt;201,G178/2,IF(G178&lt;=301,G178/3,G178/4))))</f>
        <v>552.73140000000001</v>
      </c>
      <c r="I178" s="35"/>
      <c r="L178" s="100"/>
      <c r="M178" s="100"/>
      <c r="N178" s="35"/>
      <c r="T178" s="20"/>
    </row>
    <row r="179" spans="1:20" s="36" customFormat="1" ht="45.75" customHeight="1" x14ac:dyDescent="0.3">
      <c r="A179" s="97">
        <f t="shared" si="6"/>
        <v>6</v>
      </c>
      <c r="B179" s="98"/>
      <c r="C179" s="84" t="s">
        <v>417</v>
      </c>
      <c r="D179" s="41">
        <f>(262.93)*10.764</f>
        <v>2830.1785199999999</v>
      </c>
      <c r="E179" s="41">
        <v>0</v>
      </c>
      <c r="F179" s="41">
        <f t="shared" si="7"/>
        <v>2830.1785199999999</v>
      </c>
      <c r="G179" s="41">
        <f>(98.26)*10.764</f>
        <v>1057.67064</v>
      </c>
      <c r="H179" s="41">
        <f t="shared" si="8"/>
        <v>4509.6854400000002</v>
      </c>
      <c r="I179" s="35"/>
      <c r="L179" s="100"/>
      <c r="M179" s="100"/>
      <c r="N179" s="35"/>
      <c r="T179" s="20"/>
    </row>
    <row r="180" spans="1:20" s="36" customFormat="1" ht="45.75" customHeight="1" x14ac:dyDescent="0.3">
      <c r="A180" s="97">
        <f t="shared" si="6"/>
        <v>7</v>
      </c>
      <c r="B180" s="98"/>
      <c r="C180" s="84" t="s">
        <v>417</v>
      </c>
      <c r="D180" s="41">
        <f>(262.31)*10.764</f>
        <v>2823.5048400000001</v>
      </c>
      <c r="E180" s="41">
        <v>0</v>
      </c>
      <c r="F180" s="41">
        <f t="shared" si="7"/>
        <v>2823.5048400000001</v>
      </c>
      <c r="G180" s="41">
        <f>((99.84)*10.764)*10.764</f>
        <v>11567.831408640001</v>
      </c>
      <c r="H180" s="41">
        <f t="shared" si="8"/>
        <v>7127.21511216</v>
      </c>
      <c r="I180" s="35"/>
      <c r="L180" s="100"/>
      <c r="M180" s="100"/>
      <c r="N180" s="35"/>
      <c r="T180" s="20"/>
    </row>
    <row r="181" spans="1:20" s="36" customFormat="1" ht="45.75" customHeight="1" x14ac:dyDescent="0.3">
      <c r="A181" s="97">
        <f t="shared" si="6"/>
        <v>8</v>
      </c>
      <c r="B181" s="98"/>
      <c r="C181" s="84" t="s">
        <v>417</v>
      </c>
      <c r="D181" s="41">
        <f>(262.31)*10.764</f>
        <v>2823.5048400000001</v>
      </c>
      <c r="E181" s="41">
        <v>0</v>
      </c>
      <c r="F181" s="41">
        <f t="shared" si="7"/>
        <v>2823.5048400000001</v>
      </c>
      <c r="G181" s="41">
        <f>(100.18)*10.764</f>
        <v>1078.33752</v>
      </c>
      <c r="H181" s="41">
        <f t="shared" si="8"/>
        <v>4504.8416400000006</v>
      </c>
      <c r="I181" s="35"/>
      <c r="L181" s="100"/>
      <c r="M181" s="100"/>
      <c r="N181" s="35"/>
      <c r="T181" s="20"/>
    </row>
    <row r="182" spans="1:20" s="36" customFormat="1" x14ac:dyDescent="0.3">
      <c r="A182" s="101" t="s">
        <v>408</v>
      </c>
      <c r="B182" s="102"/>
      <c r="C182" s="102"/>
      <c r="D182" s="102"/>
      <c r="E182" s="102"/>
      <c r="F182" s="102"/>
      <c r="G182" s="102"/>
      <c r="H182" s="103"/>
      <c r="I182" s="36">
        <v>1</v>
      </c>
      <c r="J182" s="35"/>
    </row>
    <row r="183" spans="1:20" s="36" customFormat="1" ht="15.75" customHeight="1" x14ac:dyDescent="0.3">
      <c r="A183" s="97">
        <v>1</v>
      </c>
      <c r="B183" s="98"/>
      <c r="C183" s="97" t="s">
        <v>432</v>
      </c>
      <c r="D183" s="99"/>
      <c r="E183" s="99"/>
      <c r="F183" s="99"/>
      <c r="G183" s="99"/>
      <c r="H183" s="98"/>
      <c r="I183" s="35"/>
      <c r="L183" s="100"/>
      <c r="M183" s="100"/>
      <c r="N183" s="35"/>
    </row>
    <row r="184" spans="1:20" s="36" customFormat="1" ht="15.75" customHeight="1" x14ac:dyDescent="0.3">
      <c r="A184" s="97">
        <f>A183+1</f>
        <v>2</v>
      </c>
      <c r="B184" s="98"/>
      <c r="C184" s="97" t="s">
        <v>432</v>
      </c>
      <c r="D184" s="99"/>
      <c r="E184" s="99"/>
      <c r="F184" s="99"/>
      <c r="G184" s="99"/>
      <c r="H184" s="98"/>
      <c r="I184" s="35"/>
      <c r="L184" s="100"/>
      <c r="M184" s="100"/>
      <c r="N184" s="35"/>
    </row>
    <row r="185" spans="1:20" s="36" customFormat="1" ht="15.75" customHeight="1" x14ac:dyDescent="0.3">
      <c r="A185" s="97">
        <f>A184+1</f>
        <v>3</v>
      </c>
      <c r="B185" s="98"/>
      <c r="C185" s="97" t="s">
        <v>432</v>
      </c>
      <c r="D185" s="99"/>
      <c r="E185" s="99"/>
      <c r="F185" s="99"/>
      <c r="G185" s="99"/>
      <c r="H185" s="98"/>
      <c r="I185" s="35"/>
      <c r="L185" s="100"/>
      <c r="M185" s="100"/>
      <c r="N185" s="35"/>
    </row>
    <row r="186" spans="1:20" s="36" customFormat="1" ht="15.75" customHeight="1" x14ac:dyDescent="0.3">
      <c r="A186" s="97">
        <f>A185+1</f>
        <v>4</v>
      </c>
      <c r="B186" s="98"/>
      <c r="C186" s="41" t="s">
        <v>407</v>
      </c>
      <c r="D186" s="41">
        <f>(28.92)*10.764</f>
        <v>311.29487999999998</v>
      </c>
      <c r="E186" s="41">
        <v>0</v>
      </c>
      <c r="F186" s="41">
        <f>D186+E186</f>
        <v>311.29487999999998</v>
      </c>
      <c r="G186" s="41">
        <v>0</v>
      </c>
      <c r="H186" s="41">
        <f>F186*(($H$157)+1)+(IF(G186&lt;101,G186,IF(G186&lt;201,G186/2,IF(G186&lt;=301,G186/3,G186/4))))</f>
        <v>466.94232</v>
      </c>
      <c r="I186" s="35"/>
      <c r="L186" s="100"/>
      <c r="M186" s="100"/>
      <c r="N186" s="35"/>
      <c r="T186" s="20"/>
    </row>
    <row r="187" spans="1:20" s="36" customFormat="1" ht="15.75" customHeight="1" x14ac:dyDescent="0.3">
      <c r="A187" s="97">
        <f t="shared" ref="A187:A190" si="9">A186+1</f>
        <v>5</v>
      </c>
      <c r="B187" s="98"/>
      <c r="C187" s="41" t="s">
        <v>407</v>
      </c>
      <c r="D187" s="41">
        <f>(28.92)*10.764</f>
        <v>311.29487999999998</v>
      </c>
      <c r="E187" s="41">
        <v>0</v>
      </c>
      <c r="F187" s="41">
        <f t="shared" ref="F187" si="10">D187+E187</f>
        <v>311.29487999999998</v>
      </c>
      <c r="G187" s="41">
        <v>0</v>
      </c>
      <c r="H187" s="41">
        <f t="shared" ref="H187" si="11">F187*(($H$157)+1)+(IF(G187&lt;101,G187,IF(G187&lt;201,G187/2,IF(G187&lt;=301,G187/3,G187/4))))</f>
        <v>466.94232</v>
      </c>
      <c r="I187" s="35"/>
      <c r="L187" s="100"/>
      <c r="M187" s="100"/>
      <c r="N187" s="35"/>
      <c r="T187" s="20"/>
    </row>
    <row r="188" spans="1:20" s="36" customFormat="1" ht="15.75" customHeight="1" x14ac:dyDescent="0.3">
      <c r="A188" s="97">
        <f t="shared" si="9"/>
        <v>6</v>
      </c>
      <c r="B188" s="98"/>
      <c r="C188" s="97" t="s">
        <v>432</v>
      </c>
      <c r="D188" s="99"/>
      <c r="E188" s="99"/>
      <c r="F188" s="99"/>
      <c r="G188" s="99"/>
      <c r="H188" s="98"/>
      <c r="I188" s="35"/>
      <c r="L188" s="100"/>
      <c r="M188" s="100"/>
      <c r="N188" s="35"/>
      <c r="T188" s="20"/>
    </row>
    <row r="189" spans="1:20" s="36" customFormat="1" ht="15.75" customHeight="1" x14ac:dyDescent="0.3">
      <c r="A189" s="97">
        <f t="shared" si="9"/>
        <v>7</v>
      </c>
      <c r="B189" s="98"/>
      <c r="C189" s="97" t="s">
        <v>432</v>
      </c>
      <c r="D189" s="99"/>
      <c r="E189" s="99"/>
      <c r="F189" s="99"/>
      <c r="G189" s="99"/>
      <c r="H189" s="98"/>
      <c r="I189" s="35"/>
      <c r="L189" s="100"/>
      <c r="M189" s="100"/>
      <c r="N189" s="35"/>
      <c r="T189" s="20"/>
    </row>
    <row r="190" spans="1:20" s="36" customFormat="1" ht="15.75" customHeight="1" x14ac:dyDescent="0.3">
      <c r="A190" s="97">
        <f t="shared" si="9"/>
        <v>8</v>
      </c>
      <c r="B190" s="98"/>
      <c r="C190" s="97" t="s">
        <v>432</v>
      </c>
      <c r="D190" s="99"/>
      <c r="E190" s="99"/>
      <c r="F190" s="99"/>
      <c r="G190" s="99"/>
      <c r="H190" s="98"/>
      <c r="I190" s="35"/>
      <c r="L190" s="100"/>
      <c r="M190" s="100"/>
      <c r="N190" s="35"/>
      <c r="T190" s="20"/>
    </row>
    <row r="191" spans="1:20" s="36" customFormat="1" ht="73.5" customHeight="1" x14ac:dyDescent="0.3">
      <c r="A191" s="101" t="s">
        <v>433</v>
      </c>
      <c r="B191" s="102"/>
      <c r="C191" s="102"/>
      <c r="D191" s="102"/>
      <c r="E191" s="102"/>
      <c r="F191" s="102"/>
      <c r="G191" s="102"/>
      <c r="H191" s="103"/>
      <c r="I191" s="36">
        <f>4+4+4+4+4+4+4+4+4+4+4+2</f>
        <v>46</v>
      </c>
      <c r="J191" s="35"/>
    </row>
    <row r="192" spans="1:20" s="36" customFormat="1" ht="15.75" customHeight="1" x14ac:dyDescent="0.3">
      <c r="A192" s="97">
        <v>1</v>
      </c>
      <c r="B192" s="98"/>
      <c r="C192" s="41" t="s">
        <v>413</v>
      </c>
      <c r="D192" s="41">
        <f>(132.14)*10.764</f>
        <v>1422.3549599999997</v>
      </c>
      <c r="E192" s="41">
        <f>(5.94)*10.764</f>
        <v>63.938160000000003</v>
      </c>
      <c r="F192" s="41">
        <f>D192+E192</f>
        <v>1486.2931199999996</v>
      </c>
      <c r="G192" s="41">
        <v>0</v>
      </c>
      <c r="H192" s="79">
        <f>F192*(($H$157)+1)+(IF(G192&lt;101,G192,IF(G192&lt;201,G192/2,IF(G192&lt;=301,G192/3,G192/4))))</f>
        <v>2229.4396799999995</v>
      </c>
      <c r="I192" s="83">
        <f>(3.65*6.85+3.81*2.45+4.27*(3.05+3.35+3.35)+1.525*(2.45+2.45+2.45)+1.362*0.865+0.3*1.01+1.225*2.13+0.3*1.725+1.6*1.525+0.75*0.442+(2.125+1.52)*1.375+2.283*3.05+2.75*3.58+1.847+1.69*(1.655+1.655))</f>
        <v>123.81855499999998</v>
      </c>
      <c r="J192" s="36">
        <f>1.825*3.35</f>
        <v>6.1137499999999996</v>
      </c>
      <c r="K192" s="35">
        <f>J192+I192</f>
        <v>129.93230499999999</v>
      </c>
      <c r="L192" s="100"/>
      <c r="M192" s="100"/>
      <c r="N192" s="35"/>
    </row>
    <row r="193" spans="1:20" s="36" customFormat="1" ht="15.75" customHeight="1" x14ac:dyDescent="0.3">
      <c r="A193" s="97">
        <f>A192+1</f>
        <v>2</v>
      </c>
      <c r="B193" s="98"/>
      <c r="C193" s="41" t="s">
        <v>413</v>
      </c>
      <c r="D193" s="41">
        <f>(132.14)*10.764</f>
        <v>1422.3549599999997</v>
      </c>
      <c r="E193" s="41">
        <f>(5.94)*10.764</f>
        <v>63.938160000000003</v>
      </c>
      <c r="F193" s="41">
        <f>D193+E193</f>
        <v>1486.2931199999996</v>
      </c>
      <c r="G193" s="41">
        <v>0</v>
      </c>
      <c r="H193" s="79">
        <f>F193*(($H$157)+1)+(IF(G193&lt;101,G193,IF(G193&lt;201,G193/2,IF(G193&lt;=301,G193/3,G193/4))))</f>
        <v>2229.4396799999995</v>
      </c>
      <c r="I193" s="83">
        <f>(3.65*6.85+3.81*2.45+4.27*(3.05+3.35+3.35)+1.525*(2.45+2.45+2.45)+1.362*0.865+0.3*1.01+1.225*2.13+0.3*1.725+1.6*1.525+0.75*0.442+(2.125+1.52)*1.375+2.283*3.05+2.75*3.58+1.847+1.69*(1.655+1.655))</f>
        <v>123.81855499999998</v>
      </c>
      <c r="J193" s="36">
        <f>1.825*3.35</f>
        <v>6.1137499999999996</v>
      </c>
      <c r="L193" s="100"/>
      <c r="M193" s="100"/>
      <c r="N193" s="35"/>
    </row>
    <row r="194" spans="1:20" s="36" customFormat="1" ht="15.75" customHeight="1" x14ac:dyDescent="0.3">
      <c r="A194" s="97">
        <f>A193+1</f>
        <v>3</v>
      </c>
      <c r="B194" s="98"/>
      <c r="C194" s="41" t="s">
        <v>413</v>
      </c>
      <c r="D194" s="41">
        <f>(132.49)*10.764</f>
        <v>1426.1223600000001</v>
      </c>
      <c r="E194" s="41">
        <f>(8.97)*10.764</f>
        <v>96.553079999999994</v>
      </c>
      <c r="F194" s="41">
        <f>D194+E194</f>
        <v>1522.67544</v>
      </c>
      <c r="G194" s="41">
        <v>0</v>
      </c>
      <c r="H194" s="79">
        <f>F194*(($H$157)+1)+(IF(G194&lt;101,G194,IF(G194&lt;201,G194/2,IF(G194&lt;=301,G194/3,G194/4))))</f>
        <v>2284.01316</v>
      </c>
      <c r="I194" s="83">
        <f>(3.65*6.85+3.81*2.45+4.27*(3.05+3.35+3.35)+1.525*(2.45+2.45+2.45)+1.225*2.58+0.5*1.5+0.736*1.72+0.9*0.35+1.6*1.375+(2.125+1.517)*1.375+1.845*3.05+2.81*3.58+1.855+1.655*(1.69+1.69))</f>
        <v>123.01336999999998</v>
      </c>
      <c r="J194" s="35"/>
      <c r="L194" s="100"/>
      <c r="M194" s="100"/>
      <c r="N194" s="35"/>
    </row>
    <row r="195" spans="1:20" s="36" customFormat="1" ht="15.75" customHeight="1" x14ac:dyDescent="0.3">
      <c r="A195" s="97">
        <f>A194+1</f>
        <v>4</v>
      </c>
      <c r="B195" s="98"/>
      <c r="C195" s="41" t="s">
        <v>407</v>
      </c>
      <c r="D195" s="41">
        <f>(28.92)*10.764</f>
        <v>311.29487999999998</v>
      </c>
      <c r="E195" s="41">
        <f>(6.22)*10.764</f>
        <v>66.952079999999995</v>
      </c>
      <c r="F195" s="41">
        <f>D195+E195</f>
        <v>378.24695999999994</v>
      </c>
      <c r="G195" s="41">
        <v>0</v>
      </c>
      <c r="H195" s="79">
        <f>F195*(($H$157)+1)+(IF(G195&lt;101,G195,IF(G195&lt;201,G195/2,IF(G195&lt;=301,G195/3,G195/4))))</f>
        <v>567.37043999999992</v>
      </c>
      <c r="I195" s="83">
        <f>(3.525*2.67+1.782*3.355+1.525*2.45+3.35*2.35)</f>
        <v>26.999110000000002</v>
      </c>
      <c r="J195" s="82">
        <f>3.35*1.85</f>
        <v>6.1975000000000007</v>
      </c>
      <c r="L195" s="100"/>
      <c r="M195" s="100"/>
      <c r="N195" s="35"/>
      <c r="T195" s="20"/>
    </row>
    <row r="196" spans="1:20" s="36" customFormat="1" ht="15.75" customHeight="1" x14ac:dyDescent="0.3">
      <c r="A196" s="97">
        <f t="shared" ref="A196:A199" si="12">A195+1</f>
        <v>5</v>
      </c>
      <c r="B196" s="98"/>
      <c r="C196" s="41" t="s">
        <v>407</v>
      </c>
      <c r="D196" s="41">
        <f>(28.92)*10.764</f>
        <v>311.29487999999998</v>
      </c>
      <c r="E196" s="41">
        <f>(6.22)*10.764</f>
        <v>66.952079999999995</v>
      </c>
      <c r="F196" s="41">
        <f t="shared" ref="F196:F199" si="13">D196+E196</f>
        <v>378.24695999999994</v>
      </c>
      <c r="G196" s="41">
        <v>0</v>
      </c>
      <c r="H196" s="79">
        <f t="shared" ref="H196:H199" si="14">F196*(($H$157)+1)+(IF(G196&lt;101,G196,IF(G196&lt;201,G196/2,IF(G196&lt;=301,G196/3,G196/4))))</f>
        <v>567.37043999999992</v>
      </c>
      <c r="I196" s="83">
        <f>(3.525*2.67+1.782*3.355+1.525*2.45+3.35*2.35)</f>
        <v>26.999110000000002</v>
      </c>
      <c r="J196" s="82">
        <f>3.35*1.85</f>
        <v>6.1975000000000007</v>
      </c>
      <c r="L196" s="100"/>
      <c r="M196" s="100"/>
      <c r="N196" s="35"/>
      <c r="T196" s="20"/>
    </row>
    <row r="197" spans="1:20" s="36" customFormat="1" ht="15.75" customHeight="1" x14ac:dyDescent="0.3">
      <c r="A197" s="97">
        <f t="shared" si="12"/>
        <v>6</v>
      </c>
      <c r="B197" s="98"/>
      <c r="C197" s="41" t="s">
        <v>413</v>
      </c>
      <c r="D197" s="41">
        <f>(132.49)*10.764</f>
        <v>1426.1223600000001</v>
      </c>
      <c r="E197" s="41">
        <f>(8.97)*10.764</f>
        <v>96.553079999999994</v>
      </c>
      <c r="F197" s="41">
        <f t="shared" si="13"/>
        <v>1522.67544</v>
      </c>
      <c r="G197" s="41">
        <v>0</v>
      </c>
      <c r="H197" s="79">
        <f t="shared" si="14"/>
        <v>2284.01316</v>
      </c>
      <c r="I197" s="83">
        <f>(3.65*6.85+3.51*2.45+4.27*(3.05+3.35+3.35)+1.525*(2.45+2.45+2.45)+1.363*0.765+0.3*0.91+1.225*2.13+0.3*1.725+2.035*1.645+(2.125+1.525)*1.375+1.983*3.05+2.75*3.58+1.855*1+1.655*(1.69+1.69))</f>
        <v>122.59406999999999</v>
      </c>
      <c r="L197" s="100"/>
      <c r="M197" s="100"/>
      <c r="N197" s="35"/>
      <c r="T197" s="20"/>
    </row>
    <row r="198" spans="1:20" s="36" customFormat="1" ht="15.75" customHeight="1" x14ac:dyDescent="0.3">
      <c r="A198" s="97">
        <f t="shared" si="12"/>
        <v>7</v>
      </c>
      <c r="B198" s="98"/>
      <c r="C198" s="41" t="s">
        <v>413</v>
      </c>
      <c r="D198" s="41">
        <f>(131.12)*10.764</f>
        <v>1411.3756799999999</v>
      </c>
      <c r="E198" s="41">
        <f>(5.95)*10.764</f>
        <v>64.0458</v>
      </c>
      <c r="F198" s="41">
        <f t="shared" si="13"/>
        <v>1475.42148</v>
      </c>
      <c r="G198" s="41">
        <v>0</v>
      </c>
      <c r="H198" s="79">
        <f t="shared" si="14"/>
        <v>2213.13222</v>
      </c>
      <c r="I198" s="83">
        <f>(3.65*6.85+3.51*2.45+4.27*(3.05+3.35+3.35)+1.525*(2.45+2.45+2.45)+1.363*0.765+0.3*0.91+1.225*2.13+0.3*1.725+2.035*1.645+(2.125+1.525)*1.375+1.983*3.05+2.75*3.58+1.855*1+1.655*(1.69+1.69))</f>
        <v>122.59406999999999</v>
      </c>
      <c r="J198" s="35"/>
      <c r="L198" s="100"/>
      <c r="M198" s="100"/>
      <c r="N198" s="35"/>
      <c r="T198" s="20"/>
    </row>
    <row r="199" spans="1:20" s="36" customFormat="1" ht="15.75" customHeight="1" x14ac:dyDescent="0.3">
      <c r="A199" s="97">
        <f t="shared" si="12"/>
        <v>8</v>
      </c>
      <c r="B199" s="98"/>
      <c r="C199" s="41" t="s">
        <v>413</v>
      </c>
      <c r="D199" s="41">
        <f>(131.12)*10.764</f>
        <v>1411.3756799999999</v>
      </c>
      <c r="E199" s="41">
        <f>(5.95)*10.764</f>
        <v>64.0458</v>
      </c>
      <c r="F199" s="41">
        <f t="shared" si="13"/>
        <v>1475.42148</v>
      </c>
      <c r="G199" s="41">
        <v>0</v>
      </c>
      <c r="H199" s="79">
        <f t="shared" si="14"/>
        <v>2213.13222</v>
      </c>
      <c r="I199" s="83">
        <f>(3.65*6.85+3.51*2.45+4.27*(3.35+3.35+3.05)+1.525*(2.45+2.45+2.45)+1.225*2.13+1.363*0.765+0.3*1.725+2.035*1.645+(2.125+1.525)*1.375+1.98*3.05+2.75*3.58+1.865+1.655*(1.69+1.69))</f>
        <v>122.32191999999999</v>
      </c>
      <c r="L199" s="100"/>
      <c r="M199" s="100"/>
      <c r="N199" s="35"/>
      <c r="T199" s="20"/>
    </row>
    <row r="200" spans="1:20" s="36" customFormat="1" ht="33.75" customHeight="1" x14ac:dyDescent="0.3">
      <c r="A200" s="101" t="s">
        <v>435</v>
      </c>
      <c r="B200" s="102"/>
      <c r="C200" s="102"/>
      <c r="D200" s="102"/>
      <c r="E200" s="102"/>
      <c r="F200" s="102"/>
      <c r="G200" s="102"/>
      <c r="H200" s="103"/>
      <c r="I200" s="36">
        <v>12</v>
      </c>
      <c r="J200" s="35"/>
    </row>
    <row r="201" spans="1:20" s="36" customFormat="1" ht="15.75" customHeight="1" x14ac:dyDescent="0.3">
      <c r="A201" s="97">
        <v>1</v>
      </c>
      <c r="B201" s="98"/>
      <c r="C201" s="41" t="s">
        <v>411</v>
      </c>
      <c r="D201" s="41">
        <f>(202.81)*10.764</f>
        <v>2183.04684</v>
      </c>
      <c r="E201" s="41">
        <f>(11.92)*10.764</f>
        <v>128.30687999999998</v>
      </c>
      <c r="F201" s="41">
        <f>D201+E201</f>
        <v>2311.3537200000001</v>
      </c>
      <c r="G201" s="41">
        <v>0</v>
      </c>
      <c r="H201" s="41">
        <f>F201*(($H$157)+1)+(IF(G201&lt;101,G201,IF(G201&lt;201,G201/2,IF(G201&lt;=301,G201/3,G201/4))))</f>
        <v>3467.0305800000001</v>
      </c>
      <c r="I201" s="35"/>
      <c r="J201" s="81" t="s">
        <v>412</v>
      </c>
      <c r="L201" s="100"/>
      <c r="M201" s="100"/>
      <c r="N201" s="35"/>
    </row>
    <row r="202" spans="1:20" s="36" customFormat="1" ht="15.75" customHeight="1" x14ac:dyDescent="0.3">
      <c r="A202" s="97">
        <f>A201+1</f>
        <v>2</v>
      </c>
      <c r="B202" s="98"/>
      <c r="C202" s="41" t="s">
        <v>409</v>
      </c>
      <c r="D202" s="97" t="s">
        <v>410</v>
      </c>
      <c r="E202" s="99"/>
      <c r="F202" s="99"/>
      <c r="G202" s="98"/>
      <c r="H202" s="41" t="s">
        <v>409</v>
      </c>
      <c r="I202" s="35"/>
      <c r="L202" s="100"/>
      <c r="M202" s="100"/>
      <c r="N202" s="35"/>
    </row>
    <row r="203" spans="1:20" s="36" customFormat="1" ht="15.75" customHeight="1" x14ac:dyDescent="0.3">
      <c r="A203" s="97">
        <f>A202+1</f>
        <v>3</v>
      </c>
      <c r="B203" s="98"/>
      <c r="C203" s="41" t="s">
        <v>413</v>
      </c>
      <c r="D203" s="41">
        <f>(132.49)*10.764</f>
        <v>1426.1223600000001</v>
      </c>
      <c r="E203" s="41">
        <f>(8.97)*10.764</f>
        <v>96.553079999999994</v>
      </c>
      <c r="F203" s="41">
        <f>D203+E203</f>
        <v>1522.67544</v>
      </c>
      <c r="G203" s="41">
        <v>0</v>
      </c>
      <c r="H203" s="41">
        <f>F203*(($H$157)+1)+(IF(G203&lt;101,G203,IF(G203&lt;201,G203/2,IF(G203&lt;=301,G203/3,G203/4))))</f>
        <v>2284.01316</v>
      </c>
      <c r="I203" s="35"/>
      <c r="L203" s="100"/>
      <c r="M203" s="100"/>
      <c r="N203" s="35"/>
    </row>
    <row r="204" spans="1:20" s="36" customFormat="1" ht="15.75" customHeight="1" x14ac:dyDescent="0.3">
      <c r="A204" s="97">
        <f>A203+1</f>
        <v>4</v>
      </c>
      <c r="B204" s="98"/>
      <c r="C204" s="41" t="s">
        <v>407</v>
      </c>
      <c r="D204" s="41">
        <f>(28.92)*10.764</f>
        <v>311.29487999999998</v>
      </c>
      <c r="E204" s="41">
        <f>(6.22)*10.764</f>
        <v>66.952079999999995</v>
      </c>
      <c r="F204" s="41">
        <f>D204+E204</f>
        <v>378.24695999999994</v>
      </c>
      <c r="G204" s="41">
        <v>0</v>
      </c>
      <c r="H204" s="41">
        <f>F204*(($H$157)+1)+(IF(G204&lt;101,G204,IF(G204&lt;201,G204/2,IF(G204&lt;=301,G204/3,G204/4))))</f>
        <v>567.37043999999992</v>
      </c>
      <c r="I204" s="35"/>
      <c r="L204" s="100"/>
      <c r="M204" s="100"/>
      <c r="N204" s="35"/>
      <c r="T204" s="20"/>
    </row>
    <row r="205" spans="1:20" s="36" customFormat="1" ht="15.75" customHeight="1" x14ac:dyDescent="0.3">
      <c r="A205" s="97">
        <f t="shared" ref="A205:A208" si="15">A204+1</f>
        <v>5</v>
      </c>
      <c r="B205" s="98"/>
      <c r="C205" s="41" t="s">
        <v>407</v>
      </c>
      <c r="D205" s="41">
        <f>(28.92)*10.764</f>
        <v>311.29487999999998</v>
      </c>
      <c r="E205" s="41">
        <f>(6.22)*10.764</f>
        <v>66.952079999999995</v>
      </c>
      <c r="F205" s="41">
        <f t="shared" ref="F205:F208" si="16">D205+E205</f>
        <v>378.24695999999994</v>
      </c>
      <c r="G205" s="41">
        <v>0</v>
      </c>
      <c r="H205" s="41">
        <f t="shared" ref="H205:H208" si="17">F205*(($H$157)+1)+(IF(G205&lt;101,G205,IF(G205&lt;201,G205/2,IF(G205&lt;=301,G205/3,G205/4))))</f>
        <v>567.37043999999992</v>
      </c>
      <c r="I205" s="35"/>
      <c r="L205" s="100"/>
      <c r="M205" s="100"/>
      <c r="N205" s="35"/>
      <c r="T205" s="20"/>
    </row>
    <row r="206" spans="1:20" s="36" customFormat="1" ht="15.75" customHeight="1" x14ac:dyDescent="0.3">
      <c r="A206" s="97">
        <f t="shared" si="15"/>
        <v>6</v>
      </c>
      <c r="B206" s="98"/>
      <c r="C206" s="41" t="s">
        <v>413</v>
      </c>
      <c r="D206" s="41">
        <f>(132.49)*10.764</f>
        <v>1426.1223600000001</v>
      </c>
      <c r="E206" s="41">
        <f>(8.97)*10.764</f>
        <v>96.553079999999994</v>
      </c>
      <c r="F206" s="41">
        <f t="shared" si="16"/>
        <v>1522.67544</v>
      </c>
      <c r="G206" s="41">
        <v>0</v>
      </c>
      <c r="H206" s="41">
        <f t="shared" si="17"/>
        <v>2284.01316</v>
      </c>
      <c r="I206" s="35"/>
      <c r="L206" s="100"/>
      <c r="M206" s="100"/>
      <c r="N206" s="35"/>
      <c r="T206" s="20"/>
    </row>
    <row r="207" spans="1:20" s="36" customFormat="1" ht="15.75" customHeight="1" x14ac:dyDescent="0.3">
      <c r="A207" s="97">
        <f t="shared" si="15"/>
        <v>7</v>
      </c>
      <c r="B207" s="98"/>
      <c r="C207" s="41" t="s">
        <v>413</v>
      </c>
      <c r="D207" s="41">
        <f>(131.12)*10.764</f>
        <v>1411.3756799999999</v>
      </c>
      <c r="E207" s="41">
        <f>(5.95)*10.764</f>
        <v>64.0458</v>
      </c>
      <c r="F207" s="41">
        <f t="shared" si="16"/>
        <v>1475.42148</v>
      </c>
      <c r="G207" s="41">
        <v>0</v>
      </c>
      <c r="H207" s="41">
        <f t="shared" si="17"/>
        <v>2213.13222</v>
      </c>
      <c r="I207" s="35"/>
      <c r="L207" s="100"/>
      <c r="M207" s="100"/>
      <c r="N207" s="35"/>
      <c r="T207" s="20"/>
    </row>
    <row r="208" spans="1:20" s="36" customFormat="1" ht="15.75" customHeight="1" x14ac:dyDescent="0.3">
      <c r="A208" s="97">
        <f t="shared" si="15"/>
        <v>8</v>
      </c>
      <c r="B208" s="98"/>
      <c r="C208" s="41" t="s">
        <v>413</v>
      </c>
      <c r="D208" s="41">
        <f>(131.12)*10.764</f>
        <v>1411.3756799999999</v>
      </c>
      <c r="E208" s="41">
        <f>(5.95)*10.764</f>
        <v>64.0458</v>
      </c>
      <c r="F208" s="41">
        <f t="shared" si="16"/>
        <v>1475.42148</v>
      </c>
      <c r="G208" s="41">
        <v>0</v>
      </c>
      <c r="H208" s="41">
        <f t="shared" si="17"/>
        <v>2213.13222</v>
      </c>
      <c r="I208" s="35">
        <f>3.65*6.85+3.51*2.45+4.27*(3.35+3.35+3.05)+2.45*(1.525+1.525+1.525)+1.225*2.13+0.3*0.91+1.65*(1.69+1.69)+1.655+1.983*3.05+2.75*3.58+2.035*1.645+0.3*1.725+2.125*1.375+1.525*1.375+0.3*0.91</f>
        <v>121.60747499999999</v>
      </c>
      <c r="L208" s="100"/>
      <c r="M208" s="100"/>
      <c r="N208" s="35"/>
      <c r="T208" s="20"/>
    </row>
    <row r="209" spans="1:20" s="36" customFormat="1" x14ac:dyDescent="0.3">
      <c r="A209" s="101" t="s">
        <v>415</v>
      </c>
      <c r="B209" s="102"/>
      <c r="C209" s="102"/>
      <c r="D209" s="102"/>
      <c r="E209" s="102"/>
      <c r="F209" s="102"/>
      <c r="G209" s="102"/>
      <c r="H209" s="103"/>
      <c r="I209" s="36">
        <v>1</v>
      </c>
      <c r="J209" s="35"/>
    </row>
    <row r="210" spans="1:20" s="36" customFormat="1" ht="48" customHeight="1" x14ac:dyDescent="0.3">
      <c r="A210" s="97">
        <v>1</v>
      </c>
      <c r="B210" s="98"/>
      <c r="C210" s="84" t="s">
        <v>417</v>
      </c>
      <c r="D210" s="41">
        <f>(258.12)*10.764</f>
        <v>2778.4036799999999</v>
      </c>
      <c r="E210" s="41">
        <f>(5.94)*10.764</f>
        <v>63.938160000000003</v>
      </c>
      <c r="F210" s="41">
        <f>D210+E210</f>
        <v>2842.34184</v>
      </c>
      <c r="G210" s="41">
        <v>0</v>
      </c>
      <c r="H210" s="41">
        <f>F210*(($H$157)+1)+(IF(G210&lt;101,G210,IF(G210&lt;201,G210/2,IF(G210&lt;=301,G210/3,G210/4))))</f>
        <v>4263.5127599999996</v>
      </c>
      <c r="I210" s="35"/>
      <c r="L210" s="100"/>
      <c r="M210" s="100"/>
      <c r="N210" s="35"/>
    </row>
    <row r="211" spans="1:20" s="36" customFormat="1" ht="43.5" customHeight="1" x14ac:dyDescent="0.3">
      <c r="A211" s="97">
        <f>A210+1</f>
        <v>2</v>
      </c>
      <c r="B211" s="98"/>
      <c r="C211" s="84" t="s">
        <v>417</v>
      </c>
      <c r="D211" s="41">
        <f>(258.12)*10.764</f>
        <v>2778.4036799999999</v>
      </c>
      <c r="E211" s="41">
        <f>(5.94)*10.764</f>
        <v>63.938160000000003</v>
      </c>
      <c r="F211" s="41">
        <f>D211+E211</f>
        <v>2842.34184</v>
      </c>
      <c r="G211" s="41">
        <v>0</v>
      </c>
      <c r="H211" s="41">
        <f>F211*(($H$157)+1)+(IF(G211&lt;101,G211,IF(G211&lt;201,G211/2,IF(G211&lt;=301,G211/3,G211/4))))</f>
        <v>4263.5127599999996</v>
      </c>
      <c r="I211" s="35"/>
      <c r="L211" s="100"/>
      <c r="M211" s="100"/>
      <c r="N211" s="35"/>
    </row>
    <row r="212" spans="1:20" s="36" customFormat="1" ht="49.5" customHeight="1" x14ac:dyDescent="0.3">
      <c r="A212" s="97">
        <f>A211+1</f>
        <v>3</v>
      </c>
      <c r="B212" s="98"/>
      <c r="C212" s="84" t="s">
        <v>417</v>
      </c>
      <c r="D212" s="41">
        <f>(258.71)*10.764</f>
        <v>2784.7544399999997</v>
      </c>
      <c r="E212" s="41">
        <f>(8.97)*10.764</f>
        <v>96.553079999999994</v>
      </c>
      <c r="F212" s="41">
        <f>D212+E212</f>
        <v>2881.3075199999998</v>
      </c>
      <c r="G212" s="41">
        <v>0</v>
      </c>
      <c r="H212" s="41">
        <f>F212*(($H$157)+1)+(IF(G212&lt;101,G212,IF(G212&lt;201,G212/2,IF(G212&lt;=301,G212/3,G212/4))))</f>
        <v>4321.9612799999995</v>
      </c>
      <c r="I212" s="35"/>
      <c r="L212" s="100"/>
      <c r="M212" s="100"/>
      <c r="N212" s="35"/>
    </row>
    <row r="213" spans="1:20" s="36" customFormat="1" ht="15.75" customHeight="1" x14ac:dyDescent="0.3">
      <c r="A213" s="97">
        <f>A212+1</f>
        <v>4</v>
      </c>
      <c r="B213" s="98"/>
      <c r="C213" s="41" t="s">
        <v>407</v>
      </c>
      <c r="D213" s="41">
        <f>(28.92)*10.764</f>
        <v>311.29487999999998</v>
      </c>
      <c r="E213" s="41">
        <f>(6.22)*10.764</f>
        <v>66.952079999999995</v>
      </c>
      <c r="F213" s="41">
        <f>D213+E213</f>
        <v>378.24695999999994</v>
      </c>
      <c r="G213" s="41">
        <v>0</v>
      </c>
      <c r="H213" s="41">
        <f>F213*(($H$157)+1)+(IF(G213&lt;101,G213,IF(G213&lt;201,G213/2,IF(G213&lt;=301,G213/3,G213/4))))</f>
        <v>567.37043999999992</v>
      </c>
      <c r="I213" s="35"/>
      <c r="L213" s="100"/>
      <c r="M213" s="100"/>
      <c r="N213" s="35"/>
      <c r="T213" s="20"/>
    </row>
    <row r="214" spans="1:20" s="36" customFormat="1" ht="15.75" customHeight="1" x14ac:dyDescent="0.3">
      <c r="A214" s="97">
        <f t="shared" ref="A214:A217" si="18">A213+1</f>
        <v>5</v>
      </c>
      <c r="B214" s="98"/>
      <c r="C214" s="41" t="s">
        <v>407</v>
      </c>
      <c r="D214" s="41">
        <f>(28.92)*10.764</f>
        <v>311.29487999999998</v>
      </c>
      <c r="E214" s="41">
        <f>(6.22)*10.764</f>
        <v>66.952079999999995</v>
      </c>
      <c r="F214" s="41">
        <f t="shared" ref="F214:F217" si="19">D214+E214</f>
        <v>378.24695999999994</v>
      </c>
      <c r="G214" s="41">
        <v>0</v>
      </c>
      <c r="H214" s="41">
        <f t="shared" ref="H214:H217" si="20">F214*(($H$157)+1)+(IF(G214&lt;101,G214,IF(G214&lt;201,G214/2,IF(G214&lt;=301,G214/3,G214/4))))</f>
        <v>567.37043999999992</v>
      </c>
      <c r="I214" s="35"/>
      <c r="L214" s="100"/>
      <c r="M214" s="100"/>
      <c r="N214" s="35"/>
      <c r="T214" s="20"/>
    </row>
    <row r="215" spans="1:20" s="36" customFormat="1" ht="42" customHeight="1" x14ac:dyDescent="0.3">
      <c r="A215" s="97">
        <f t="shared" si="18"/>
        <v>6</v>
      </c>
      <c r="B215" s="98"/>
      <c r="C215" s="84" t="s">
        <v>417</v>
      </c>
      <c r="D215" s="41">
        <f>(258.71)*10.764</f>
        <v>2784.7544399999997</v>
      </c>
      <c r="E215" s="41">
        <f>(8.97)*10.764</f>
        <v>96.553079999999994</v>
      </c>
      <c r="F215" s="41">
        <f t="shared" si="19"/>
        <v>2881.3075199999998</v>
      </c>
      <c r="G215" s="41">
        <v>0</v>
      </c>
      <c r="H215" s="41">
        <f t="shared" si="20"/>
        <v>4321.9612799999995</v>
      </c>
      <c r="I215" s="35"/>
      <c r="L215" s="100"/>
      <c r="M215" s="100"/>
      <c r="N215" s="35"/>
      <c r="T215" s="20"/>
    </row>
    <row r="216" spans="1:20" s="36" customFormat="1" ht="47.25" customHeight="1" x14ac:dyDescent="0.3">
      <c r="A216" s="97">
        <f t="shared" si="18"/>
        <v>7</v>
      </c>
      <c r="B216" s="98"/>
      <c r="C216" s="84" t="s">
        <v>417</v>
      </c>
      <c r="D216" s="41">
        <f>(258.08)*10.764</f>
        <v>2777.9731199999997</v>
      </c>
      <c r="E216" s="41">
        <f>(5.95)*10.764</f>
        <v>64.0458</v>
      </c>
      <c r="F216" s="41">
        <f t="shared" si="19"/>
        <v>2842.0189199999995</v>
      </c>
      <c r="G216" s="41">
        <v>0</v>
      </c>
      <c r="H216" s="41">
        <f t="shared" si="20"/>
        <v>4263.0283799999997</v>
      </c>
      <c r="I216" s="35"/>
      <c r="L216" s="100"/>
      <c r="M216" s="100"/>
      <c r="N216" s="35"/>
      <c r="T216" s="20"/>
    </row>
    <row r="217" spans="1:20" s="36" customFormat="1" ht="47.25" customHeight="1" x14ac:dyDescent="0.3">
      <c r="A217" s="97">
        <f t="shared" si="18"/>
        <v>8</v>
      </c>
      <c r="B217" s="98"/>
      <c r="C217" s="84" t="s">
        <v>417</v>
      </c>
      <c r="D217" s="41">
        <f>(258.08)*10.764</f>
        <v>2777.9731199999997</v>
      </c>
      <c r="E217" s="41">
        <f>(5.95)*10.764</f>
        <v>64.0458</v>
      </c>
      <c r="F217" s="41">
        <f t="shared" si="19"/>
        <v>2842.0189199999995</v>
      </c>
      <c r="G217" s="41">
        <v>0</v>
      </c>
      <c r="H217" s="41">
        <f t="shared" si="20"/>
        <v>4263.0283799999997</v>
      </c>
      <c r="I217" s="35"/>
      <c r="L217" s="100"/>
      <c r="M217" s="100"/>
      <c r="N217" s="35"/>
      <c r="T217" s="20"/>
    </row>
    <row r="218" spans="1:20" s="36" customFormat="1" x14ac:dyDescent="0.3">
      <c r="A218" s="101" t="s">
        <v>418</v>
      </c>
      <c r="B218" s="102"/>
      <c r="C218" s="102"/>
      <c r="D218" s="102"/>
      <c r="E218" s="102"/>
      <c r="F218" s="102"/>
      <c r="G218" s="102"/>
      <c r="H218" s="103"/>
      <c r="I218" s="36">
        <v>1</v>
      </c>
      <c r="J218" s="35"/>
    </row>
    <row r="219" spans="1:20" s="36" customFormat="1" ht="15.75" customHeight="1" x14ac:dyDescent="0.3">
      <c r="A219" s="97">
        <v>1</v>
      </c>
      <c r="B219" s="98"/>
      <c r="C219" s="97" t="s">
        <v>434</v>
      </c>
      <c r="D219" s="99"/>
      <c r="E219" s="99"/>
      <c r="F219" s="99"/>
      <c r="G219" s="99"/>
      <c r="H219" s="98"/>
      <c r="I219" s="35"/>
      <c r="L219" s="100"/>
      <c r="M219" s="100"/>
      <c r="N219" s="35"/>
    </row>
    <row r="220" spans="1:20" s="36" customFormat="1" ht="15.75" customHeight="1" x14ac:dyDescent="0.3">
      <c r="A220" s="97">
        <f>A219+1</f>
        <v>2</v>
      </c>
      <c r="B220" s="98"/>
      <c r="C220" s="97" t="s">
        <v>434</v>
      </c>
      <c r="D220" s="99"/>
      <c r="E220" s="99"/>
      <c r="F220" s="99"/>
      <c r="G220" s="99"/>
      <c r="H220" s="98"/>
      <c r="I220" s="35"/>
      <c r="L220" s="100"/>
      <c r="M220" s="100"/>
      <c r="N220" s="35"/>
    </row>
    <row r="221" spans="1:20" s="36" customFormat="1" ht="15.75" customHeight="1" x14ac:dyDescent="0.3">
      <c r="A221" s="97">
        <f>A220+1</f>
        <v>3</v>
      </c>
      <c r="B221" s="98"/>
      <c r="C221" s="97" t="s">
        <v>434</v>
      </c>
      <c r="D221" s="99"/>
      <c r="E221" s="99"/>
      <c r="F221" s="99"/>
      <c r="G221" s="99"/>
      <c r="H221" s="98"/>
      <c r="I221" s="35"/>
      <c r="L221" s="100"/>
      <c r="M221" s="100"/>
      <c r="N221" s="35"/>
    </row>
    <row r="222" spans="1:20" s="36" customFormat="1" ht="15.75" customHeight="1" x14ac:dyDescent="0.3">
      <c r="A222" s="97">
        <f>A221+1</f>
        <v>4</v>
      </c>
      <c r="B222" s="98"/>
      <c r="C222" s="41" t="s">
        <v>407</v>
      </c>
      <c r="D222" s="41">
        <f>(28.92)*10.764</f>
        <v>311.29487999999998</v>
      </c>
      <c r="E222" s="41">
        <v>0</v>
      </c>
      <c r="F222" s="41">
        <f>D222+E222</f>
        <v>311.29487999999998</v>
      </c>
      <c r="G222" s="41">
        <v>0</v>
      </c>
      <c r="H222" s="41">
        <f>F222*(($H$157)+1)+(IF(G222&lt;101,G222,IF(G222&lt;201,G222/2,IF(G222&lt;=301,G222/3,G222/4))))</f>
        <v>466.94232</v>
      </c>
      <c r="I222" s="35"/>
      <c r="L222" s="100"/>
      <c r="M222" s="100"/>
      <c r="N222" s="35"/>
      <c r="T222" s="20"/>
    </row>
    <row r="223" spans="1:20" s="36" customFormat="1" ht="15.75" customHeight="1" x14ac:dyDescent="0.3">
      <c r="A223" s="97">
        <f t="shared" ref="A223:A226" si="21">A222+1</f>
        <v>5</v>
      </c>
      <c r="B223" s="98"/>
      <c r="C223" s="41" t="s">
        <v>407</v>
      </c>
      <c r="D223" s="41">
        <f>(28.92)*10.764</f>
        <v>311.29487999999998</v>
      </c>
      <c r="E223" s="41">
        <v>0</v>
      </c>
      <c r="F223" s="41">
        <f t="shared" ref="F223" si="22">D223+E223</f>
        <v>311.29487999999998</v>
      </c>
      <c r="G223" s="41">
        <v>0</v>
      </c>
      <c r="H223" s="41">
        <f t="shared" ref="H223" si="23">F223*(($H$157)+1)+(IF(G223&lt;101,G223,IF(G223&lt;201,G223/2,IF(G223&lt;=301,G223/3,G223/4))))</f>
        <v>466.94232</v>
      </c>
      <c r="I223" s="35"/>
      <c r="L223" s="100"/>
      <c r="M223" s="100"/>
      <c r="N223" s="35"/>
      <c r="T223" s="20"/>
    </row>
    <row r="224" spans="1:20" s="36" customFormat="1" ht="15.75" customHeight="1" x14ac:dyDescent="0.3">
      <c r="A224" s="97">
        <f t="shared" si="21"/>
        <v>6</v>
      </c>
      <c r="B224" s="98"/>
      <c r="C224" s="97" t="s">
        <v>434</v>
      </c>
      <c r="D224" s="99"/>
      <c r="E224" s="99"/>
      <c r="F224" s="99"/>
      <c r="G224" s="99"/>
      <c r="H224" s="98"/>
      <c r="I224" s="35"/>
      <c r="L224" s="100"/>
      <c r="M224" s="100"/>
      <c r="N224" s="35"/>
      <c r="T224" s="20"/>
    </row>
    <row r="225" spans="1:20" s="36" customFormat="1" ht="15.75" customHeight="1" x14ac:dyDescent="0.3">
      <c r="A225" s="97">
        <f t="shared" si="21"/>
        <v>7</v>
      </c>
      <c r="B225" s="98"/>
      <c r="C225" s="97" t="s">
        <v>434</v>
      </c>
      <c r="D225" s="99"/>
      <c r="E225" s="99"/>
      <c r="F225" s="99"/>
      <c r="G225" s="99"/>
      <c r="H225" s="98"/>
      <c r="I225" s="35"/>
      <c r="L225" s="100"/>
      <c r="M225" s="100"/>
      <c r="N225" s="35"/>
      <c r="T225" s="20"/>
    </row>
    <row r="226" spans="1:20" s="36" customFormat="1" ht="15.75" customHeight="1" x14ac:dyDescent="0.3">
      <c r="A226" s="97">
        <f t="shared" si="21"/>
        <v>8</v>
      </c>
      <c r="B226" s="98"/>
      <c r="C226" s="97" t="s">
        <v>434</v>
      </c>
      <c r="D226" s="99"/>
      <c r="E226" s="99"/>
      <c r="F226" s="99"/>
      <c r="G226" s="99"/>
      <c r="H226" s="98"/>
      <c r="I226" s="35"/>
      <c r="L226" s="100"/>
      <c r="M226" s="100"/>
      <c r="N226" s="35"/>
      <c r="T226" s="20"/>
    </row>
    <row r="227" spans="1:20" s="36" customFormat="1" x14ac:dyDescent="0.3">
      <c r="A227" s="101" t="s">
        <v>419</v>
      </c>
      <c r="B227" s="102"/>
      <c r="C227" s="102"/>
      <c r="D227" s="102"/>
      <c r="E227" s="102"/>
      <c r="F227" s="102"/>
      <c r="G227" s="102"/>
      <c r="H227" s="103"/>
      <c r="J227" s="35"/>
    </row>
    <row r="228" spans="1:20" s="36" customFormat="1" x14ac:dyDescent="0.3">
      <c r="A228" s="101" t="s">
        <v>404</v>
      </c>
      <c r="B228" s="102"/>
      <c r="C228" s="102"/>
      <c r="D228" s="102"/>
      <c r="E228" s="102"/>
      <c r="F228" s="102"/>
      <c r="G228" s="102"/>
      <c r="H228" s="103"/>
      <c r="J228" s="35"/>
    </row>
    <row r="229" spans="1:20" s="36" customFormat="1" x14ac:dyDescent="0.3">
      <c r="A229" s="101" t="s">
        <v>396</v>
      </c>
      <c r="B229" s="102"/>
      <c r="C229" s="102"/>
      <c r="D229" s="102"/>
      <c r="E229" s="102"/>
      <c r="F229" s="102"/>
      <c r="G229" s="102"/>
      <c r="H229" s="103"/>
      <c r="J229" s="35"/>
    </row>
    <row r="230" spans="1:20" s="36" customFormat="1" x14ac:dyDescent="0.3">
      <c r="A230" s="101" t="s">
        <v>398</v>
      </c>
      <c r="B230" s="102"/>
      <c r="C230" s="102"/>
      <c r="D230" s="102"/>
      <c r="E230" s="102"/>
      <c r="F230" s="102"/>
      <c r="G230" s="102"/>
      <c r="H230" s="103"/>
      <c r="J230" s="35"/>
    </row>
    <row r="231" spans="1:20" s="36" customFormat="1" x14ac:dyDescent="0.3">
      <c r="A231" s="101" t="s">
        <v>401</v>
      </c>
      <c r="B231" s="102"/>
      <c r="C231" s="102"/>
      <c r="D231" s="102"/>
      <c r="E231" s="102"/>
      <c r="F231" s="102"/>
      <c r="G231" s="102"/>
      <c r="H231" s="103"/>
      <c r="J231" s="35"/>
    </row>
    <row r="232" spans="1:20" s="36" customFormat="1" x14ac:dyDescent="0.3">
      <c r="A232" s="101" t="s">
        <v>420</v>
      </c>
      <c r="B232" s="102"/>
      <c r="C232" s="102"/>
      <c r="D232" s="102"/>
      <c r="E232" s="102"/>
      <c r="F232" s="102"/>
      <c r="G232" s="102"/>
      <c r="H232" s="103"/>
      <c r="J232" s="35"/>
    </row>
    <row r="233" spans="1:20" s="36" customFormat="1" x14ac:dyDescent="0.3">
      <c r="A233" s="101" t="s">
        <v>403</v>
      </c>
      <c r="B233" s="102"/>
      <c r="C233" s="102"/>
      <c r="D233" s="102"/>
      <c r="E233" s="102"/>
      <c r="F233" s="102"/>
      <c r="G233" s="102"/>
      <c r="H233" s="103"/>
      <c r="J233" s="35"/>
    </row>
    <row r="234" spans="1:20" s="36" customFormat="1" x14ac:dyDescent="0.3">
      <c r="A234" s="101" t="s">
        <v>405</v>
      </c>
      <c r="B234" s="102"/>
      <c r="C234" s="102"/>
      <c r="D234" s="102"/>
      <c r="E234" s="102"/>
      <c r="F234" s="102"/>
      <c r="G234" s="102"/>
      <c r="H234" s="103"/>
      <c r="J234" s="35"/>
    </row>
    <row r="235" spans="1:20" s="36" customFormat="1" x14ac:dyDescent="0.3">
      <c r="A235" s="101" t="s">
        <v>406</v>
      </c>
      <c r="B235" s="102"/>
      <c r="C235" s="102"/>
      <c r="D235" s="102"/>
      <c r="E235" s="102"/>
      <c r="F235" s="102"/>
      <c r="G235" s="102"/>
      <c r="H235" s="103"/>
      <c r="J235" s="35"/>
    </row>
    <row r="236" spans="1:20" s="36" customFormat="1" ht="45" customHeight="1" x14ac:dyDescent="0.3">
      <c r="A236" s="97">
        <v>1</v>
      </c>
      <c r="B236" s="98"/>
      <c r="C236" s="84" t="s">
        <v>417</v>
      </c>
      <c r="D236" s="41">
        <f>(262.45)*10.764</f>
        <v>2825.0117999999998</v>
      </c>
      <c r="E236" s="41">
        <v>0</v>
      </c>
      <c r="F236" s="41">
        <f>D236+E236</f>
        <v>2825.0117999999998</v>
      </c>
      <c r="G236" s="41">
        <f>(102.83)*10.764</f>
        <v>1106.86212</v>
      </c>
      <c r="H236" s="41">
        <f>F236*(($H$157)+1)+(IF(G236&lt;101,G236,IF(G236&lt;201,G236/2,IF(G236&lt;=301,G236/3,G236/4))))</f>
        <v>4514.2332299999998</v>
      </c>
      <c r="I236" s="35"/>
      <c r="L236" s="100"/>
      <c r="M236" s="100"/>
      <c r="N236" s="35"/>
    </row>
    <row r="237" spans="1:20" s="36" customFormat="1" ht="45" customHeight="1" x14ac:dyDescent="0.3">
      <c r="A237" s="97">
        <f>A236+1</f>
        <v>2</v>
      </c>
      <c r="B237" s="98"/>
      <c r="C237" s="84" t="s">
        <v>417</v>
      </c>
      <c r="D237" s="41">
        <f>(262.45)*10.764</f>
        <v>2825.0117999999998</v>
      </c>
      <c r="E237" s="41">
        <v>0</v>
      </c>
      <c r="F237" s="41">
        <f>D237+E237</f>
        <v>2825.0117999999998</v>
      </c>
      <c r="G237" s="41">
        <f>(92.21)*10.764</f>
        <v>992.54843999999991</v>
      </c>
      <c r="H237" s="41">
        <f>F237*(($H$157)+1)+(IF(G237&lt;101,G237,IF(G237&lt;201,G237/2,IF(G237&lt;=301,G237/3,G237/4))))</f>
        <v>4485.6548099999991</v>
      </c>
      <c r="I237" s="35"/>
      <c r="L237" s="100"/>
      <c r="M237" s="100"/>
      <c r="N237" s="35"/>
    </row>
    <row r="238" spans="1:20" s="36" customFormat="1" ht="45" customHeight="1" x14ac:dyDescent="0.3">
      <c r="A238" s="97">
        <f>A237+1</f>
        <v>3</v>
      </c>
      <c r="B238" s="98"/>
      <c r="C238" s="84" t="s">
        <v>417</v>
      </c>
      <c r="D238" s="41">
        <f>(262.92)*10.764</f>
        <v>2830.0708800000002</v>
      </c>
      <c r="E238" s="41">
        <v>0</v>
      </c>
      <c r="F238" s="41">
        <f>D238+E238</f>
        <v>2830.0708800000002</v>
      </c>
      <c r="G238" s="41">
        <f>(85.32)*10.764</f>
        <v>918.38447999999983</v>
      </c>
      <c r="H238" s="41">
        <f>F238*(($H$157)+1)+(IF(G238&lt;101,G238,IF(G238&lt;201,G238/2,IF(G238&lt;=301,G238/3,G238/4))))</f>
        <v>4474.7024400000009</v>
      </c>
      <c r="I238" s="35"/>
      <c r="L238" s="100"/>
      <c r="M238" s="100"/>
      <c r="N238" s="35"/>
    </row>
    <row r="239" spans="1:20" s="36" customFormat="1" ht="15.75" customHeight="1" x14ac:dyDescent="0.3">
      <c r="A239" s="97">
        <f>A238+1</f>
        <v>4</v>
      </c>
      <c r="B239" s="98"/>
      <c r="C239" s="41" t="s">
        <v>407</v>
      </c>
      <c r="D239" s="41">
        <f>(28.92)*10.764</f>
        <v>311.29487999999998</v>
      </c>
      <c r="E239" s="41">
        <v>0</v>
      </c>
      <c r="F239" s="41">
        <f>D239+E239</f>
        <v>311.29487999999998</v>
      </c>
      <c r="G239" s="41">
        <f>(15.94)*10.764</f>
        <v>171.57816</v>
      </c>
      <c r="H239" s="41">
        <f>F239*(($H$157)+1)+(IF(G239&lt;101,G239,IF(G239&lt;201,G239/2,IF(G239&lt;=301,G239/3,G239/4))))</f>
        <v>552.73140000000001</v>
      </c>
      <c r="I239" s="35"/>
      <c r="L239" s="100"/>
      <c r="M239" s="100"/>
      <c r="N239" s="35"/>
      <c r="T239" s="20"/>
    </row>
    <row r="240" spans="1:20" s="36" customFormat="1" ht="15.75" customHeight="1" x14ac:dyDescent="0.3">
      <c r="A240" s="97">
        <f t="shared" ref="A240:A243" si="24">A239+1</f>
        <v>5</v>
      </c>
      <c r="B240" s="98"/>
      <c r="C240" s="41" t="s">
        <v>407</v>
      </c>
      <c r="D240" s="41">
        <f>(28.92)*10.764</f>
        <v>311.29487999999998</v>
      </c>
      <c r="E240" s="41">
        <v>0</v>
      </c>
      <c r="F240" s="41">
        <f t="shared" ref="F240:F243" si="25">D240+E240</f>
        <v>311.29487999999998</v>
      </c>
      <c r="G240" s="41">
        <f>(15.94)*10.764</f>
        <v>171.57816</v>
      </c>
      <c r="H240" s="41">
        <f t="shared" ref="H240:H243" si="26">F240*(($H$157)+1)+(IF(G240&lt;101,G240,IF(G240&lt;201,G240/2,IF(G240&lt;=301,G240/3,G240/4))))</f>
        <v>552.73140000000001</v>
      </c>
      <c r="I240" s="35"/>
      <c r="L240" s="100"/>
      <c r="M240" s="100"/>
      <c r="N240" s="35"/>
      <c r="T240" s="20"/>
    </row>
    <row r="241" spans="1:20" s="36" customFormat="1" ht="46.5" customHeight="1" x14ac:dyDescent="0.3">
      <c r="A241" s="97">
        <f t="shared" si="24"/>
        <v>6</v>
      </c>
      <c r="B241" s="98"/>
      <c r="C241" s="84" t="s">
        <v>417</v>
      </c>
      <c r="D241" s="41">
        <f>(262.92)*10.764</f>
        <v>2830.0708800000002</v>
      </c>
      <c r="E241" s="41">
        <v>0</v>
      </c>
      <c r="F241" s="41">
        <f t="shared" si="25"/>
        <v>2830.0708800000002</v>
      </c>
      <c r="G241" s="41">
        <f>(98.24)*10.764</f>
        <v>1057.4553599999999</v>
      </c>
      <c r="H241" s="41">
        <f t="shared" si="26"/>
        <v>4509.4701600000008</v>
      </c>
      <c r="I241" s="35"/>
      <c r="L241" s="100"/>
      <c r="M241" s="100"/>
      <c r="N241" s="35"/>
      <c r="T241" s="20"/>
    </row>
    <row r="242" spans="1:20" s="36" customFormat="1" ht="46.5" customHeight="1" x14ac:dyDescent="0.3">
      <c r="A242" s="97">
        <f t="shared" si="24"/>
        <v>7</v>
      </c>
      <c r="B242" s="98"/>
      <c r="C242" s="84" t="s">
        <v>417</v>
      </c>
      <c r="D242" s="41">
        <f>(274.31)*10.764</f>
        <v>2952.6728399999997</v>
      </c>
      <c r="E242" s="41">
        <v>0</v>
      </c>
      <c r="F242" s="41">
        <f t="shared" si="25"/>
        <v>2952.6728399999997</v>
      </c>
      <c r="G242" s="41">
        <f>(112.79)*10.764</f>
        <v>1214.0715600000001</v>
      </c>
      <c r="H242" s="41">
        <f t="shared" si="26"/>
        <v>4732.5271499999999</v>
      </c>
      <c r="I242" s="35"/>
      <c r="L242" s="100"/>
      <c r="M242" s="100"/>
      <c r="N242" s="35"/>
      <c r="T242" s="20"/>
    </row>
    <row r="243" spans="1:20" s="36" customFormat="1" ht="46.5" customHeight="1" x14ac:dyDescent="0.3">
      <c r="A243" s="97">
        <f t="shared" si="24"/>
        <v>8</v>
      </c>
      <c r="B243" s="98"/>
      <c r="C243" s="84" t="s">
        <v>417</v>
      </c>
      <c r="D243" s="41">
        <f>(274.31)*10.764</f>
        <v>2952.6728399999997</v>
      </c>
      <c r="E243" s="41">
        <v>0</v>
      </c>
      <c r="F243" s="41">
        <f t="shared" si="25"/>
        <v>2952.6728399999997</v>
      </c>
      <c r="G243" s="41">
        <f>(116.68)*10.764</f>
        <v>1255.94352</v>
      </c>
      <c r="H243" s="41">
        <f t="shared" si="26"/>
        <v>4742.99514</v>
      </c>
      <c r="I243" s="35"/>
      <c r="L243" s="100"/>
      <c r="M243" s="100"/>
      <c r="N243" s="35"/>
      <c r="T243" s="20"/>
    </row>
    <row r="244" spans="1:20" s="36" customFormat="1" x14ac:dyDescent="0.3">
      <c r="A244" s="101" t="s">
        <v>408</v>
      </c>
      <c r="B244" s="102"/>
      <c r="C244" s="102"/>
      <c r="D244" s="102"/>
      <c r="E244" s="102"/>
      <c r="F244" s="102"/>
      <c r="G244" s="102"/>
      <c r="H244" s="103"/>
      <c r="I244" s="36">
        <v>1</v>
      </c>
      <c r="J244" s="35"/>
    </row>
    <row r="245" spans="1:20" s="36" customFormat="1" ht="15.75" customHeight="1" x14ac:dyDescent="0.3">
      <c r="A245" s="97">
        <v>1</v>
      </c>
      <c r="B245" s="98"/>
      <c r="C245" s="97" t="s">
        <v>432</v>
      </c>
      <c r="D245" s="99"/>
      <c r="E245" s="99"/>
      <c r="F245" s="99"/>
      <c r="G245" s="99"/>
      <c r="H245" s="98"/>
      <c r="I245" s="35"/>
      <c r="L245" s="100"/>
      <c r="M245" s="100"/>
      <c r="N245" s="35"/>
    </row>
    <row r="246" spans="1:20" s="36" customFormat="1" ht="15.75" customHeight="1" x14ac:dyDescent="0.3">
      <c r="A246" s="97">
        <f>A245+1</f>
        <v>2</v>
      </c>
      <c r="B246" s="98"/>
      <c r="C246" s="97" t="s">
        <v>432</v>
      </c>
      <c r="D246" s="99"/>
      <c r="E246" s="99"/>
      <c r="F246" s="99"/>
      <c r="G246" s="99"/>
      <c r="H246" s="98"/>
      <c r="I246" s="35"/>
      <c r="L246" s="100"/>
      <c r="M246" s="100"/>
      <c r="N246" s="35"/>
    </row>
    <row r="247" spans="1:20" s="36" customFormat="1" ht="15.75" customHeight="1" x14ac:dyDescent="0.3">
      <c r="A247" s="97">
        <f>A246+1</f>
        <v>3</v>
      </c>
      <c r="B247" s="98"/>
      <c r="C247" s="97" t="s">
        <v>432</v>
      </c>
      <c r="D247" s="99"/>
      <c r="E247" s="99"/>
      <c r="F247" s="99"/>
      <c r="G247" s="99"/>
      <c r="H247" s="98"/>
      <c r="I247" s="35"/>
      <c r="L247" s="100"/>
      <c r="M247" s="100"/>
      <c r="N247" s="35"/>
    </row>
    <row r="248" spans="1:20" s="36" customFormat="1" ht="15.75" customHeight="1" x14ac:dyDescent="0.3">
      <c r="A248" s="97">
        <f>A247+1</f>
        <v>4</v>
      </c>
      <c r="B248" s="98"/>
      <c r="C248" s="41" t="s">
        <v>407</v>
      </c>
      <c r="D248" s="41">
        <f>(28.92)*10.764</f>
        <v>311.29487999999998</v>
      </c>
      <c r="E248" s="41">
        <v>0</v>
      </c>
      <c r="F248" s="41">
        <f>D248+E248</f>
        <v>311.29487999999998</v>
      </c>
      <c r="G248" s="41">
        <v>0</v>
      </c>
      <c r="H248" s="41">
        <f>F248*(($H$157)+1)+(IF(G248&lt;101,G248,IF(G248&lt;201,G248/2,IF(G248&lt;=301,G248/3,G248/4))))</f>
        <v>466.94232</v>
      </c>
      <c r="I248" s="35"/>
      <c r="L248" s="100"/>
      <c r="M248" s="100"/>
      <c r="N248" s="35"/>
      <c r="T248" s="20"/>
    </row>
    <row r="249" spans="1:20" s="36" customFormat="1" ht="15.75" customHeight="1" x14ac:dyDescent="0.3">
      <c r="A249" s="97">
        <f t="shared" ref="A249:A252" si="27">A248+1</f>
        <v>5</v>
      </c>
      <c r="B249" s="98"/>
      <c r="C249" s="41" t="s">
        <v>407</v>
      </c>
      <c r="D249" s="41">
        <f>(28.92)*10.764</f>
        <v>311.29487999999998</v>
      </c>
      <c r="E249" s="41">
        <v>0</v>
      </c>
      <c r="F249" s="41">
        <f t="shared" ref="F249" si="28">D249+E249</f>
        <v>311.29487999999998</v>
      </c>
      <c r="G249" s="41">
        <v>0</v>
      </c>
      <c r="H249" s="41">
        <f t="shared" ref="H249" si="29">F249*(($H$157)+1)+(IF(G249&lt;101,G249,IF(G249&lt;201,G249/2,IF(G249&lt;=301,G249/3,G249/4))))</f>
        <v>466.94232</v>
      </c>
      <c r="I249" s="35"/>
      <c r="L249" s="100"/>
      <c r="M249" s="100"/>
      <c r="N249" s="35"/>
      <c r="T249" s="20"/>
    </row>
    <row r="250" spans="1:20" s="36" customFormat="1" ht="15.75" customHeight="1" x14ac:dyDescent="0.3">
      <c r="A250" s="97">
        <f t="shared" si="27"/>
        <v>6</v>
      </c>
      <c r="B250" s="98"/>
      <c r="C250" s="97" t="s">
        <v>432</v>
      </c>
      <c r="D250" s="99"/>
      <c r="E250" s="99"/>
      <c r="F250" s="99"/>
      <c r="G250" s="99"/>
      <c r="H250" s="98"/>
      <c r="I250" s="35"/>
      <c r="L250" s="100"/>
      <c r="M250" s="100"/>
      <c r="N250" s="35"/>
      <c r="T250" s="20"/>
    </row>
    <row r="251" spans="1:20" s="36" customFormat="1" ht="15.75" customHeight="1" x14ac:dyDescent="0.3">
      <c r="A251" s="97">
        <f t="shared" si="27"/>
        <v>7</v>
      </c>
      <c r="B251" s="98"/>
      <c r="C251" s="97" t="s">
        <v>432</v>
      </c>
      <c r="D251" s="99"/>
      <c r="E251" s="99"/>
      <c r="F251" s="99"/>
      <c r="G251" s="99"/>
      <c r="H251" s="98"/>
      <c r="I251" s="35"/>
      <c r="L251" s="100"/>
      <c r="M251" s="100"/>
      <c r="N251" s="35"/>
      <c r="T251" s="20"/>
    </row>
    <row r="252" spans="1:20" s="36" customFormat="1" ht="15.75" customHeight="1" x14ac:dyDescent="0.3">
      <c r="A252" s="97">
        <f t="shared" si="27"/>
        <v>8</v>
      </c>
      <c r="B252" s="98"/>
      <c r="C252" s="97" t="s">
        <v>432</v>
      </c>
      <c r="D252" s="99"/>
      <c r="E252" s="99"/>
      <c r="F252" s="99"/>
      <c r="G252" s="99"/>
      <c r="H252" s="98"/>
      <c r="I252" s="35"/>
      <c r="L252" s="100"/>
      <c r="M252" s="100"/>
      <c r="N252" s="35"/>
      <c r="T252" s="20"/>
    </row>
    <row r="253" spans="1:20" s="36" customFormat="1" ht="66" customHeight="1" x14ac:dyDescent="0.3">
      <c r="A253" s="101" t="s">
        <v>433</v>
      </c>
      <c r="B253" s="102"/>
      <c r="C253" s="102"/>
      <c r="D253" s="102"/>
      <c r="E253" s="102"/>
      <c r="F253" s="102"/>
      <c r="G253" s="102"/>
      <c r="H253" s="103"/>
      <c r="J253" s="35"/>
    </row>
    <row r="254" spans="1:20" s="36" customFormat="1" ht="15.75" customHeight="1" x14ac:dyDescent="0.3">
      <c r="A254" s="97">
        <v>1</v>
      </c>
      <c r="B254" s="98"/>
      <c r="C254" s="41" t="s">
        <v>413</v>
      </c>
      <c r="D254" s="41">
        <f>(132.14)*10.764</f>
        <v>1422.3549599999997</v>
      </c>
      <c r="E254" s="41">
        <f>(5.94)*10.764</f>
        <v>63.938160000000003</v>
      </c>
      <c r="F254" s="41">
        <f>D254+E254</f>
        <v>1486.2931199999996</v>
      </c>
      <c r="G254" s="41">
        <v>0</v>
      </c>
      <c r="H254" s="41">
        <f>F254*(($H$157)+1)+(IF(G254&lt;101,G254,IF(G254&lt;201,G254/2,IF(G254&lt;=301,G254/3,G254/4))))</f>
        <v>2229.4396799999995</v>
      </c>
      <c r="I254" s="35">
        <f>3.65*6.85+3.81*2.45+4.27*(3.35+3.35+3.05)+2.45*(1.525+1.525+1.525)+1.225*2.13+1.362*0.86+0.3*1.01+1.847+1.655*(1.69+1.69)+2.75*3.58+2.283*3.05+0.3*1.725+1.6*1.525+0.75*0.442+2.125*1.375+1.375*1.52</f>
        <v>123.81174499999997</v>
      </c>
      <c r="L254" s="100"/>
      <c r="M254" s="100"/>
      <c r="N254" s="35"/>
    </row>
    <row r="255" spans="1:20" s="36" customFormat="1" ht="15.75" customHeight="1" x14ac:dyDescent="0.3">
      <c r="A255" s="97">
        <f>A254+1</f>
        <v>2</v>
      </c>
      <c r="B255" s="98"/>
      <c r="C255" s="41" t="s">
        <v>413</v>
      </c>
      <c r="D255" s="41">
        <f>(132.14)*10.764</f>
        <v>1422.3549599999997</v>
      </c>
      <c r="E255" s="41">
        <f>(5.94)*10.764</f>
        <v>63.938160000000003</v>
      </c>
      <c r="F255" s="41">
        <f>D255+E255</f>
        <v>1486.2931199999996</v>
      </c>
      <c r="G255" s="41">
        <v>0</v>
      </c>
      <c r="H255" s="41">
        <f>F255*(($H$157)+1)+(IF(G255&lt;101,G255,IF(G255&lt;201,G255/2,IF(G255&lt;=301,G255/3,G255/4))))</f>
        <v>2229.4396799999995</v>
      </c>
      <c r="I255" s="35"/>
      <c r="L255" s="100"/>
      <c r="M255" s="100"/>
      <c r="N255" s="35"/>
    </row>
    <row r="256" spans="1:20" s="36" customFormat="1" ht="15.75" customHeight="1" x14ac:dyDescent="0.3">
      <c r="A256" s="97">
        <f>A255+1</f>
        <v>3</v>
      </c>
      <c r="B256" s="98"/>
      <c r="C256" s="41" t="s">
        <v>413</v>
      </c>
      <c r="D256" s="41">
        <f>(132.49)*10.764</f>
        <v>1426.1223600000001</v>
      </c>
      <c r="E256" s="41">
        <f>(8.97)*10.764</f>
        <v>96.553079999999994</v>
      </c>
      <c r="F256" s="41">
        <f>D256+E256</f>
        <v>1522.67544</v>
      </c>
      <c r="G256" s="41">
        <v>0</v>
      </c>
      <c r="H256" s="41">
        <f>F256*(($H$157)+1)+(IF(G256&lt;101,G256,IF(G256&lt;201,G256/2,IF(G256&lt;=301,G256/3,G256/4))))</f>
        <v>2284.01316</v>
      </c>
      <c r="I256" s="35"/>
      <c r="L256" s="100"/>
      <c r="M256" s="100"/>
      <c r="N256" s="35"/>
    </row>
    <row r="257" spans="1:20" s="36" customFormat="1" ht="15.75" customHeight="1" x14ac:dyDescent="0.3">
      <c r="A257" s="97">
        <f>A256+1</f>
        <v>4</v>
      </c>
      <c r="B257" s="98"/>
      <c r="C257" s="41" t="s">
        <v>407</v>
      </c>
      <c r="D257" s="41">
        <f>(28.92)*10.764</f>
        <v>311.29487999999998</v>
      </c>
      <c r="E257" s="41">
        <f>(6.22)*10.764</f>
        <v>66.952079999999995</v>
      </c>
      <c r="F257" s="41">
        <f>D257+E257</f>
        <v>378.24695999999994</v>
      </c>
      <c r="G257" s="41">
        <v>0</v>
      </c>
      <c r="H257" s="41">
        <f>F257*(($H$157)+1)+(IF(G257&lt;101,G257,IF(G257&lt;201,G257/2,IF(G257&lt;=301,G257/3,G257/4))))</f>
        <v>567.37043999999992</v>
      </c>
      <c r="I257" s="35"/>
      <c r="L257" s="100"/>
      <c r="M257" s="100"/>
      <c r="N257" s="35"/>
      <c r="T257" s="20"/>
    </row>
    <row r="258" spans="1:20" s="36" customFormat="1" ht="15.75" customHeight="1" x14ac:dyDescent="0.3">
      <c r="A258" s="97">
        <f t="shared" ref="A258:A261" si="30">A257+1</f>
        <v>5</v>
      </c>
      <c r="B258" s="98"/>
      <c r="C258" s="41" t="s">
        <v>407</v>
      </c>
      <c r="D258" s="41">
        <f>(28.92)*10.764</f>
        <v>311.29487999999998</v>
      </c>
      <c r="E258" s="41">
        <f>(6.22)*10.764</f>
        <v>66.952079999999995</v>
      </c>
      <c r="F258" s="41">
        <f t="shared" ref="F258:F261" si="31">D258+E258</f>
        <v>378.24695999999994</v>
      </c>
      <c r="G258" s="41">
        <v>0</v>
      </c>
      <c r="H258" s="41">
        <f t="shared" ref="H258:H261" si="32">F258*(($H$157)+1)+(IF(G258&lt;101,G258,IF(G258&lt;201,G258/2,IF(G258&lt;=301,G258/3,G258/4))))</f>
        <v>567.37043999999992</v>
      </c>
      <c r="I258" s="35"/>
      <c r="L258" s="100"/>
      <c r="M258" s="100"/>
      <c r="N258" s="35"/>
      <c r="T258" s="20"/>
    </row>
    <row r="259" spans="1:20" s="36" customFormat="1" ht="15.75" customHeight="1" x14ac:dyDescent="0.3">
      <c r="A259" s="97">
        <f t="shared" si="30"/>
        <v>6</v>
      </c>
      <c r="B259" s="98"/>
      <c r="C259" s="41" t="s">
        <v>413</v>
      </c>
      <c r="D259" s="41">
        <f>(132.49)*10.764</f>
        <v>1426.1223600000001</v>
      </c>
      <c r="E259" s="41">
        <f>(8.97)*10.764</f>
        <v>96.553079999999994</v>
      </c>
      <c r="F259" s="41">
        <f t="shared" si="31"/>
        <v>1522.67544</v>
      </c>
      <c r="G259" s="41">
        <v>0</v>
      </c>
      <c r="H259" s="41">
        <f t="shared" si="32"/>
        <v>2284.01316</v>
      </c>
      <c r="I259" s="35"/>
      <c r="L259" s="100"/>
      <c r="M259" s="100"/>
      <c r="N259" s="35"/>
      <c r="T259" s="20"/>
    </row>
    <row r="260" spans="1:20" s="36" customFormat="1" ht="15.75" customHeight="1" x14ac:dyDescent="0.3">
      <c r="A260" s="97">
        <f t="shared" si="30"/>
        <v>7</v>
      </c>
      <c r="B260" s="98"/>
      <c r="C260" s="41" t="s">
        <v>413</v>
      </c>
      <c r="D260" s="41">
        <f>(137.82)*10.764</f>
        <v>1483.4944799999998</v>
      </c>
      <c r="E260" s="41">
        <f>(5.95)*10.764</f>
        <v>64.0458</v>
      </c>
      <c r="F260" s="41">
        <f t="shared" si="31"/>
        <v>1547.5402799999999</v>
      </c>
      <c r="G260" s="41">
        <v>0</v>
      </c>
      <c r="H260" s="41">
        <f t="shared" si="32"/>
        <v>2321.3104199999998</v>
      </c>
      <c r="I260" s="35"/>
      <c r="L260" s="100"/>
      <c r="M260" s="100"/>
      <c r="N260" s="35"/>
      <c r="T260" s="20"/>
    </row>
    <row r="261" spans="1:20" s="36" customFormat="1" ht="15.75" customHeight="1" x14ac:dyDescent="0.3">
      <c r="A261" s="97">
        <f t="shared" si="30"/>
        <v>8</v>
      </c>
      <c r="B261" s="98"/>
      <c r="C261" s="41" t="s">
        <v>413</v>
      </c>
      <c r="D261" s="41">
        <f>(137.82)*10.764</f>
        <v>1483.4944799999998</v>
      </c>
      <c r="E261" s="41">
        <f>(5.95)*10.764</f>
        <v>64.0458</v>
      </c>
      <c r="F261" s="41">
        <f t="shared" si="31"/>
        <v>1547.5402799999999</v>
      </c>
      <c r="G261" s="41">
        <v>0</v>
      </c>
      <c r="H261" s="41">
        <f t="shared" si="32"/>
        <v>2321.3104199999998</v>
      </c>
      <c r="I261" s="35"/>
      <c r="L261" s="100"/>
      <c r="M261" s="100"/>
      <c r="N261" s="35"/>
      <c r="T261" s="20"/>
    </row>
    <row r="262" spans="1:20" s="36" customFormat="1" ht="31.5" customHeight="1" x14ac:dyDescent="0.3">
      <c r="A262" s="101" t="s">
        <v>435</v>
      </c>
      <c r="B262" s="102"/>
      <c r="C262" s="102"/>
      <c r="D262" s="102"/>
      <c r="E262" s="102"/>
      <c r="F262" s="102"/>
      <c r="G262" s="102"/>
      <c r="H262" s="103"/>
      <c r="J262" s="35"/>
    </row>
    <row r="263" spans="1:20" s="36" customFormat="1" ht="15.75" customHeight="1" x14ac:dyDescent="0.3">
      <c r="A263" s="97">
        <v>1</v>
      </c>
      <c r="B263" s="98"/>
      <c r="C263" s="41" t="s">
        <v>409</v>
      </c>
      <c r="D263" s="97" t="s">
        <v>410</v>
      </c>
      <c r="E263" s="99"/>
      <c r="F263" s="99"/>
      <c r="G263" s="98"/>
      <c r="H263" s="41" t="s">
        <v>409</v>
      </c>
      <c r="I263" s="35"/>
      <c r="L263" s="100"/>
      <c r="M263" s="100"/>
      <c r="N263" s="35"/>
    </row>
    <row r="264" spans="1:20" s="36" customFormat="1" ht="15.75" customHeight="1" x14ac:dyDescent="0.3">
      <c r="A264" s="97">
        <f>A263+1</f>
        <v>2</v>
      </c>
      <c r="B264" s="98"/>
      <c r="C264" s="41" t="s">
        <v>411</v>
      </c>
      <c r="D264" s="41">
        <f>(202.81)*10.764</f>
        <v>2183.04684</v>
      </c>
      <c r="E264" s="41">
        <f>(11.92)*10.764</f>
        <v>128.30687999999998</v>
      </c>
      <c r="F264" s="41">
        <f>D264+E264</f>
        <v>2311.3537200000001</v>
      </c>
      <c r="G264" s="41">
        <v>0</v>
      </c>
      <c r="H264" s="41">
        <f>F264*(($H$157)+1)+(IF(G264&lt;101,G264,IF(G264&lt;201,G264/2,IF(G264&lt;=301,G264/3,G264/4))))</f>
        <v>3467.0305800000001</v>
      </c>
      <c r="I264" s="35"/>
      <c r="L264" s="100"/>
      <c r="M264" s="100"/>
      <c r="N264" s="35"/>
    </row>
    <row r="265" spans="1:20" s="36" customFormat="1" ht="15.75" customHeight="1" x14ac:dyDescent="0.3">
      <c r="A265" s="97">
        <f>A264+1</f>
        <v>3</v>
      </c>
      <c r="B265" s="98"/>
      <c r="C265" s="41" t="s">
        <v>413</v>
      </c>
      <c r="D265" s="41">
        <f>(132.49)*10.764</f>
        <v>1426.1223600000001</v>
      </c>
      <c r="E265" s="41">
        <f>(8.97)*10.764</f>
        <v>96.553079999999994</v>
      </c>
      <c r="F265" s="41">
        <f>D265+E265</f>
        <v>1522.67544</v>
      </c>
      <c r="G265" s="41">
        <v>0</v>
      </c>
      <c r="H265" s="41">
        <f>F265*(($H$157)+1)+(IF(G265&lt;101,G265,IF(G265&lt;201,G265/2,IF(G265&lt;=301,G265/3,G265/4))))</f>
        <v>2284.01316</v>
      </c>
      <c r="I265" s="35"/>
      <c r="L265" s="100"/>
      <c r="M265" s="100"/>
      <c r="N265" s="35"/>
    </row>
    <row r="266" spans="1:20" s="36" customFormat="1" ht="15.75" customHeight="1" x14ac:dyDescent="0.3">
      <c r="A266" s="97">
        <f>A265+1</f>
        <v>4</v>
      </c>
      <c r="B266" s="98"/>
      <c r="C266" s="41" t="s">
        <v>407</v>
      </c>
      <c r="D266" s="41">
        <f>(28.92)*10.764</f>
        <v>311.29487999999998</v>
      </c>
      <c r="E266" s="41">
        <f>(6.22)*10.764</f>
        <v>66.952079999999995</v>
      </c>
      <c r="F266" s="41">
        <f>D266+E266</f>
        <v>378.24695999999994</v>
      </c>
      <c r="G266" s="41">
        <v>0</v>
      </c>
      <c r="H266" s="41">
        <f>F266*(($H$157)+1)+(IF(G266&lt;101,G266,IF(G266&lt;201,G266/2,IF(G266&lt;=301,G266/3,G266/4))))</f>
        <v>567.37043999999992</v>
      </c>
      <c r="I266" s="35"/>
      <c r="L266" s="100"/>
      <c r="M266" s="100"/>
      <c r="N266" s="35"/>
      <c r="T266" s="20"/>
    </row>
    <row r="267" spans="1:20" s="36" customFormat="1" ht="15.75" customHeight="1" x14ac:dyDescent="0.3">
      <c r="A267" s="97">
        <f t="shared" ref="A267:A270" si="33">A266+1</f>
        <v>5</v>
      </c>
      <c r="B267" s="98"/>
      <c r="C267" s="41" t="s">
        <v>407</v>
      </c>
      <c r="D267" s="41">
        <f>(28.92)*10.764</f>
        <v>311.29487999999998</v>
      </c>
      <c r="E267" s="41">
        <f>(6.22)*10.764</f>
        <v>66.952079999999995</v>
      </c>
      <c r="F267" s="41">
        <f t="shared" ref="F267:F270" si="34">D267+E267</f>
        <v>378.24695999999994</v>
      </c>
      <c r="G267" s="41">
        <v>0</v>
      </c>
      <c r="H267" s="41">
        <f t="shared" ref="H267:H270" si="35">F267*(($H$157)+1)+(IF(G267&lt;101,G267,IF(G267&lt;201,G267/2,IF(G267&lt;=301,G267/3,G267/4))))</f>
        <v>567.37043999999992</v>
      </c>
      <c r="I267" s="35"/>
      <c r="L267" s="100"/>
      <c r="M267" s="100"/>
      <c r="N267" s="35"/>
      <c r="T267" s="20"/>
    </row>
    <row r="268" spans="1:20" s="36" customFormat="1" ht="15.75" customHeight="1" x14ac:dyDescent="0.3">
      <c r="A268" s="97">
        <f t="shared" si="33"/>
        <v>6</v>
      </c>
      <c r="B268" s="98"/>
      <c r="C268" s="41" t="s">
        <v>413</v>
      </c>
      <c r="D268" s="41">
        <f>(132.49)*10.764</f>
        <v>1426.1223600000001</v>
      </c>
      <c r="E268" s="41">
        <f>(8.97)*10.764</f>
        <v>96.553079999999994</v>
      </c>
      <c r="F268" s="41">
        <f t="shared" si="34"/>
        <v>1522.67544</v>
      </c>
      <c r="G268" s="41">
        <v>0</v>
      </c>
      <c r="H268" s="41">
        <f t="shared" si="35"/>
        <v>2284.01316</v>
      </c>
      <c r="I268" s="35"/>
      <c r="L268" s="100"/>
      <c r="M268" s="100"/>
      <c r="N268" s="35"/>
      <c r="T268" s="20"/>
    </row>
    <row r="269" spans="1:20" s="36" customFormat="1" ht="15.75" customHeight="1" x14ac:dyDescent="0.3">
      <c r="A269" s="97">
        <f t="shared" si="33"/>
        <v>7</v>
      </c>
      <c r="B269" s="98"/>
      <c r="C269" s="41" t="s">
        <v>413</v>
      </c>
      <c r="D269" s="41">
        <f>(137.82)*10.764</f>
        <v>1483.4944799999998</v>
      </c>
      <c r="E269" s="41">
        <f>(5.95)*10.764</f>
        <v>64.0458</v>
      </c>
      <c r="F269" s="41">
        <f t="shared" si="34"/>
        <v>1547.5402799999999</v>
      </c>
      <c r="G269" s="41">
        <v>0</v>
      </c>
      <c r="H269" s="41">
        <f t="shared" si="35"/>
        <v>2321.3104199999998</v>
      </c>
      <c r="I269" s="35"/>
      <c r="L269" s="100"/>
      <c r="M269" s="100"/>
      <c r="N269" s="35"/>
      <c r="T269" s="20"/>
    </row>
    <row r="270" spans="1:20" s="36" customFormat="1" ht="15.75" customHeight="1" x14ac:dyDescent="0.3">
      <c r="A270" s="97">
        <f t="shared" si="33"/>
        <v>8</v>
      </c>
      <c r="B270" s="98"/>
      <c r="C270" s="41" t="s">
        <v>413</v>
      </c>
      <c r="D270" s="41">
        <f>(137.82)*10.764</f>
        <v>1483.4944799999998</v>
      </c>
      <c r="E270" s="41">
        <f>(5.95)*10.764</f>
        <v>64.0458</v>
      </c>
      <c r="F270" s="41">
        <f t="shared" si="34"/>
        <v>1547.5402799999999</v>
      </c>
      <c r="G270" s="41">
        <v>0</v>
      </c>
      <c r="H270" s="41">
        <f t="shared" si="35"/>
        <v>2321.3104199999998</v>
      </c>
      <c r="I270" s="35"/>
      <c r="L270" s="100"/>
      <c r="M270" s="100"/>
      <c r="N270" s="35"/>
      <c r="T270" s="20"/>
    </row>
    <row r="271" spans="1:20" s="36" customFormat="1" hidden="1" x14ac:dyDescent="0.3">
      <c r="A271" s="231" t="s">
        <v>116</v>
      </c>
      <c r="B271" s="231"/>
      <c r="C271" s="231"/>
      <c r="D271" s="231"/>
      <c r="E271" s="231"/>
      <c r="F271" s="231"/>
      <c r="G271" s="231"/>
      <c r="H271" s="231"/>
      <c r="I271" s="35"/>
      <c r="L271" s="100"/>
      <c r="M271" s="100"/>
    </row>
    <row r="272" spans="1:20" s="36" customFormat="1" hidden="1" x14ac:dyDescent="0.3">
      <c r="A272" s="232">
        <f>LEFT(A271,SUM(LEN(A271)-LEN(SUBSTITUTE(A271,{"0","1","2","3","4","5","6","7","8","9"},""))))*100+1</f>
        <v>201</v>
      </c>
      <c r="B272" s="232"/>
      <c r="C272" s="41"/>
      <c r="D272" s="41"/>
      <c r="E272" s="41">
        <v>0</v>
      </c>
      <c r="F272" s="41">
        <f>D272+E272</f>
        <v>0</v>
      </c>
      <c r="G272" s="41">
        <v>0</v>
      </c>
      <c r="H272" s="41">
        <f>F272*(($H$157)+1)+(IF(G272&lt;101,G272,IF(G272&lt;201,G272/2,IF(G272&lt;=301,G272/3,G272/4))))</f>
        <v>0</v>
      </c>
      <c r="I272" s="35"/>
      <c r="N272" s="35"/>
    </row>
    <row r="273" spans="1:14" s="36" customFormat="1" hidden="1" x14ac:dyDescent="0.3">
      <c r="A273" s="232">
        <f>A272+1</f>
        <v>202</v>
      </c>
      <c r="B273" s="232"/>
      <c r="C273" s="41"/>
      <c r="D273" s="41"/>
      <c r="E273" s="41">
        <v>0</v>
      </c>
      <c r="F273" s="41">
        <f>D273+E273</f>
        <v>0</v>
      </c>
      <c r="G273" s="41">
        <v>0</v>
      </c>
      <c r="H273" s="41">
        <f>F273*(($H$157)+1)+(IF(G273&lt;101,G273,IF(G273&lt;201,G273/2,IF(G273&lt;=301,G273/3,G273/4))))</f>
        <v>0</v>
      </c>
      <c r="I273" s="35"/>
      <c r="N273" s="35"/>
    </row>
    <row r="274" spans="1:14" s="36" customFormat="1" hidden="1" x14ac:dyDescent="0.3">
      <c r="A274" s="232">
        <f>A273+1</f>
        <v>203</v>
      </c>
      <c r="B274" s="232"/>
      <c r="C274" s="41"/>
      <c r="D274" s="41"/>
      <c r="E274" s="41">
        <v>0</v>
      </c>
      <c r="F274" s="41">
        <f>D274+E274</f>
        <v>0</v>
      </c>
      <c r="G274" s="41">
        <v>0</v>
      </c>
      <c r="H274" s="41">
        <f>F274*(($H$157)+1)+(IF(G274&lt;101,G274,IF(G274&lt;201,G274/2,IF(G274&lt;=301,G274/3,G274/4))))</f>
        <v>0</v>
      </c>
      <c r="I274" s="35"/>
      <c r="N274" s="35"/>
    </row>
    <row r="275" spans="1:14" s="36" customFormat="1" hidden="1" x14ac:dyDescent="0.3">
      <c r="A275" s="232">
        <f>A274+1</f>
        <v>204</v>
      </c>
      <c r="B275" s="232"/>
      <c r="C275" s="41"/>
      <c r="D275" s="41"/>
      <c r="E275" s="41">
        <v>0</v>
      </c>
      <c r="F275" s="41">
        <f>D275+E275</f>
        <v>0</v>
      </c>
      <c r="G275" s="41">
        <v>0</v>
      </c>
      <c r="H275" s="41">
        <f>F275*(($H$157)+1)+(IF(G275&lt;101,G275,IF(G275&lt;201,G275/2,IF(G275&lt;=301,G275/3,G275/4))))</f>
        <v>0</v>
      </c>
      <c r="I275" s="35"/>
      <c r="N275" s="35"/>
    </row>
    <row r="276" spans="1:14" s="36" customFormat="1" hidden="1" x14ac:dyDescent="0.3">
      <c r="A276" s="232">
        <f>A275+1</f>
        <v>205</v>
      </c>
      <c r="B276" s="232"/>
      <c r="C276" s="41"/>
      <c r="D276" s="41"/>
      <c r="E276" s="41">
        <v>0</v>
      </c>
      <c r="F276" s="41">
        <f>D276+E276</f>
        <v>0</v>
      </c>
      <c r="G276" s="41">
        <v>0</v>
      </c>
      <c r="H276" s="41">
        <f>F276*(($H$157)+1)+(IF(G276&lt;101,G276,IF(G276&lt;201,G276/2,IF(G276&lt;=301,G276/3,G276/4))))</f>
        <v>0</v>
      </c>
      <c r="I276" s="35"/>
      <c r="N276" s="35"/>
    </row>
    <row r="277" spans="1:14" s="36" customFormat="1" ht="15.75" hidden="1" customHeight="1" x14ac:dyDescent="0.3">
      <c r="A277" s="101" t="s">
        <v>149</v>
      </c>
      <c r="B277" s="102"/>
      <c r="C277" s="102"/>
      <c r="D277" s="102"/>
      <c r="E277" s="102"/>
      <c r="F277" s="102"/>
      <c r="G277" s="102"/>
      <c r="H277" s="103"/>
      <c r="I277" s="35"/>
    </row>
    <row r="278" spans="1:14" s="36" customFormat="1" ht="15.75" hidden="1" customHeight="1" x14ac:dyDescent="0.3">
      <c r="A278" s="97" t="str">
        <f ca="1">(SUMPRODUCT(MID(0&amp;(LEFT(A277,SUM(LEN(A277)-LEN(SUBSTITUTE(A277,{"0","1","2"},""))))), LARGE(INDEX(ISNUMBER(--MID((LEFT(A277,SUM(LEN(A277)-LEN(SUBSTITUTE(A277,{"0","1","2"},""))))), ROW(INDIRECT("1:"&amp;LEN((LEFT(A277,SUM(LEN(A277)-LEN(SUBSTITUTE(A277,{"0","1","2"},"")))))))), 1)) * ROW(INDIRECT("1:"&amp;LEN((LEFT(A277,SUM(LEN(A277)-LEN(SUBSTITUTE(A277,{"0","1","2"},"")))))))), 0), ROW(INDIRECT("1:"&amp;LEN((LEFT(A277,SUM(LEN(A277)-LEN(SUBSTITUTE(A277,{"0","1","2"},"")))))))))+1, 1) * 10^ROW(INDIRECT("1:"&amp;LEN((LEFT(A277,SUM(LEN(A277)-LEN(SUBSTITUTE(A277,{"0","1","2"},""))))))))/10))*100+1&amp;""&amp;" ,.., "&amp;""&amp;(SUMPRODUCT(MID(0&amp;(--TRIM(RIGHT(SUBSTITUTE(LEFT(A277,_xlfn.AGGREGATE(16,6,FIND({0,1,2,3,4,5,6,7,8,9},A277,ROW(INDIRECT("1:"&amp;LEN(A277)))),1))," ",REPT(" ",LEN(A277))),LEN(A277)))), LARGE(INDEX(ISNUMBER(--MID((--TRIM(RIGHT(SUBSTITUTE(LEFT(A277,_xlfn.AGGREGATE(16,6,FIND({0,1,2,3,4,5,6,7,8,9},A277,ROW(INDIRECT("1:"&amp;LEN(A277)))),1))," ",REPT(" ",LEN(A277))),LEN(A277)))), ROW(INDIRECT("1:"&amp;LEN((--TRIM(RIGHT(SUBSTITUTE(LEFT(A277,_xlfn.AGGREGATE(16,6,FIND({0,1,2,3,4,5,6,7,8,9},A277,ROW(INDIRECT("1:"&amp;LEN(A277)))),1))," ",REPT(" ",LEN(A277))),LEN(A277))))))), 1)) * ROW(INDIRECT("1:"&amp;LEN((--TRIM(RIGHT(SUBSTITUTE(LEFT(A277,_xlfn.AGGREGATE(16,6,FIND({0,1,2,3,4,5,6,7,8,9},A277,ROW(INDIRECT("1:"&amp;LEN(A277)))),1))," ",REPT(" ",LEN(A277))),LEN(A277))))))), 0), ROW(INDIRECT("1:"&amp;LEN((--TRIM(RIGHT(SUBSTITUTE(LEFT(A277,_xlfn.AGGREGATE(16,6,FIND({0,1,2,3,4,5,6,7,8,9},A277,ROW(INDIRECT("1:"&amp;LEN(A277)))),1))," ",REPT(" ",LEN(A277))),LEN(A277))))))))+1, 1) * 10^ROW(INDIRECT("1:"&amp;LEN((--TRIM(RIGHT(SUBSTITUTE(LEFT(A277,_xlfn.AGGREGATE(16,6,FIND({0,1,2,3,4,5,6,7,8,9},A277,ROW(INDIRECT("1:"&amp;LEN(A277)))),1))," ",REPT(" ",LEN(A277))),LEN(A277)))))))/10))*100+1</f>
        <v>301 ,.., 1501</v>
      </c>
      <c r="B278" s="98"/>
      <c r="C278" s="41"/>
      <c r="D278" s="41"/>
      <c r="E278" s="41">
        <v>0</v>
      </c>
      <c r="F278" s="41">
        <f>D278+E278</f>
        <v>0</v>
      </c>
      <c r="G278" s="41">
        <v>0</v>
      </c>
      <c r="H278" s="41">
        <f>F278*(($H$157)+1)+(IF(G278&lt;101,G278,IF(G278&lt;201,G278/2,IF(G278&lt;=301,G278/3,G278/4))))</f>
        <v>0</v>
      </c>
      <c r="I278" s="35"/>
    </row>
    <row r="279" spans="1:14" s="36" customFormat="1" ht="15.75" hidden="1" customHeight="1" x14ac:dyDescent="0.3">
      <c r="A279" s="97" t="str">
        <f ca="1">(SUMPRODUCT(MID(0&amp;(LEFT(A278,SUM(LEN(A278)-LEN(SUBSTITUTE(A278,{"0","1","2"},""))))), LARGE(INDEX(ISNUMBER(--MID((LEFT(A278,SUM(LEN(A278)-LEN(SUBSTITUTE(A278,{"0","1","2"},""))))), ROW(INDIRECT("1:"&amp;LEN((LEFT(A278,SUM(LEN(A278)-LEN(SUBSTITUTE(A278,{"0","1","2"},"")))))))), 1)) * ROW(INDIRECT("1:"&amp;LEN((LEFT(A278,SUM(LEN(A278)-LEN(SUBSTITUTE(A278,{"0","1","2"},"")))))))), 0), ROW(INDIRECT("1:"&amp;LEN((LEFT(A278,SUM(LEN(A278)-LEN(SUBSTITUTE(A278,{"0","1","2"},"")))))))))+1, 1) * 10^ROW(INDIRECT("1:"&amp;LEN((LEFT(A278,SUM(LEN(A278)-LEN(SUBSTITUTE(A278,{"0","1","2"},""))))))))/10))*1+1&amp;""&amp;" ,.., "&amp;""&amp;(SUMPRODUCT(MID(0&amp;(--TRIM(RIGHT(SUBSTITUTE(LEFT(A278,_xlfn.AGGREGATE(16,6,FIND({0,1,2,3,4,5,6,7,8,9},A278,ROW(INDIRECT("1:"&amp;LEN(A278)))),1))," ",REPT(" ",LEN(A278))),LEN(A278)))), LARGE(INDEX(ISNUMBER(--MID((--TRIM(RIGHT(SUBSTITUTE(LEFT(A278,_xlfn.AGGREGATE(16,6,FIND({0,1,2,3,4,5,6,7,8,9},A278,ROW(INDIRECT("1:"&amp;LEN(A278)))),1))," ",REPT(" ",LEN(A278))),LEN(A278)))), ROW(INDIRECT("1:"&amp;LEN((--TRIM(RIGHT(SUBSTITUTE(LEFT(A278,_xlfn.AGGREGATE(16,6,FIND({0,1,2,3,4,5,6,7,8,9},A278,ROW(INDIRECT("1:"&amp;LEN(A278)))),1))," ",REPT(" ",LEN(A278))),LEN(A278))))))), 1)) * ROW(INDIRECT("1:"&amp;LEN((--TRIM(RIGHT(SUBSTITUTE(LEFT(A278,_xlfn.AGGREGATE(16,6,FIND({0,1,2,3,4,5,6,7,8,9},A278,ROW(INDIRECT("1:"&amp;LEN(A278)))),1))," ",REPT(" ",LEN(A278))),LEN(A278))))))), 0), ROW(INDIRECT("1:"&amp;LEN((--TRIM(RIGHT(SUBSTITUTE(LEFT(A278,_xlfn.AGGREGATE(16,6,FIND({0,1,2,3,4,5,6,7,8,9},A278,ROW(INDIRECT("1:"&amp;LEN(A278)))),1))," ",REPT(" ",LEN(A278))),LEN(A278))))))))+1, 1) * 10^ROW(INDIRECT("1:"&amp;LEN((--TRIM(RIGHT(SUBSTITUTE(LEFT(A278,_xlfn.AGGREGATE(16,6,FIND({0,1,2,3,4,5,6,7,8,9},A278,ROW(INDIRECT("1:"&amp;LEN(A278)))),1))," ",REPT(" ",LEN(A278))),LEN(A278)))))))/10))*1+1</f>
        <v>302 ,.., 1502</v>
      </c>
      <c r="B279" s="98"/>
      <c r="C279" s="41"/>
      <c r="D279" s="41"/>
      <c r="E279" s="41">
        <v>0</v>
      </c>
      <c r="F279" s="41">
        <f>D279+E279</f>
        <v>0</v>
      </c>
      <c r="G279" s="41">
        <v>0</v>
      </c>
      <c r="H279" s="41">
        <f>F279*(($H$157)+1)+(IF(G279&lt;101,G279,IF(G279&lt;201,G279/2,IF(G279&lt;=301,G279/3,G279/4))))</f>
        <v>0</v>
      </c>
      <c r="I279" s="35"/>
    </row>
    <row r="280" spans="1:14" s="36" customFormat="1" ht="15.75" hidden="1" customHeight="1" x14ac:dyDescent="0.3">
      <c r="A280" s="97" t="str">
        <f ca="1">(SUMPRODUCT(MID(0&amp;(LEFT(A279,SUM(LEN(A279)-LEN(SUBSTITUTE(A279,{"0","1","2"},""))))), LARGE(INDEX(ISNUMBER(--MID((LEFT(A279,SUM(LEN(A279)-LEN(SUBSTITUTE(A279,{"0","1","2"},""))))), ROW(INDIRECT("1:"&amp;LEN((LEFT(A279,SUM(LEN(A279)-LEN(SUBSTITUTE(A279,{"0","1","2"},"")))))))), 1)) * ROW(INDIRECT("1:"&amp;LEN((LEFT(A279,SUM(LEN(A279)-LEN(SUBSTITUTE(A279,{"0","1","2"},"")))))))), 0), ROW(INDIRECT("1:"&amp;LEN((LEFT(A279,SUM(LEN(A279)-LEN(SUBSTITUTE(A279,{"0","1","2"},"")))))))))+1, 1) * 10^ROW(INDIRECT("1:"&amp;LEN((LEFT(A279,SUM(LEN(A279)-LEN(SUBSTITUTE(A279,{"0","1","2"},""))))))))/10))*1+1&amp;""&amp;" ,.., "&amp;""&amp;(SUMPRODUCT(MID(0&amp;(--TRIM(RIGHT(SUBSTITUTE(LEFT(A279,_xlfn.AGGREGATE(16,6,FIND({0,1,2,3,4,5,6,7,8,9},A279,ROW(INDIRECT("1:"&amp;LEN(A279)))),1))," ",REPT(" ",LEN(A279))),LEN(A279)))), LARGE(INDEX(ISNUMBER(--MID((--TRIM(RIGHT(SUBSTITUTE(LEFT(A279,_xlfn.AGGREGATE(16,6,FIND({0,1,2,3,4,5,6,7,8,9},A279,ROW(INDIRECT("1:"&amp;LEN(A279)))),1))," ",REPT(" ",LEN(A279))),LEN(A279)))), ROW(INDIRECT("1:"&amp;LEN((--TRIM(RIGHT(SUBSTITUTE(LEFT(A279,_xlfn.AGGREGATE(16,6,FIND({0,1,2,3,4,5,6,7,8,9},A279,ROW(INDIRECT("1:"&amp;LEN(A279)))),1))," ",REPT(" ",LEN(A279))),LEN(A279))))))), 1)) * ROW(INDIRECT("1:"&amp;LEN((--TRIM(RIGHT(SUBSTITUTE(LEFT(A279,_xlfn.AGGREGATE(16,6,FIND({0,1,2,3,4,5,6,7,8,9},A279,ROW(INDIRECT("1:"&amp;LEN(A279)))),1))," ",REPT(" ",LEN(A279))),LEN(A279))))))), 0), ROW(INDIRECT("1:"&amp;LEN((--TRIM(RIGHT(SUBSTITUTE(LEFT(A279,_xlfn.AGGREGATE(16,6,FIND({0,1,2,3,4,5,6,7,8,9},A279,ROW(INDIRECT("1:"&amp;LEN(A279)))),1))," ",REPT(" ",LEN(A279))),LEN(A279))))))))+1, 1) * 10^ROW(INDIRECT("1:"&amp;LEN((--TRIM(RIGHT(SUBSTITUTE(LEFT(A279,_xlfn.AGGREGATE(16,6,FIND({0,1,2,3,4,5,6,7,8,9},A279,ROW(INDIRECT("1:"&amp;LEN(A279)))),1))," ",REPT(" ",LEN(A279))),LEN(A279)))))))/10))*1+1</f>
        <v>303 ,.., 1503</v>
      </c>
      <c r="B280" s="98"/>
      <c r="C280" s="41"/>
      <c r="D280" s="41"/>
      <c r="E280" s="41">
        <v>0</v>
      </c>
      <c r="F280" s="41">
        <f>D280+E280</f>
        <v>0</v>
      </c>
      <c r="G280" s="41">
        <v>0</v>
      </c>
      <c r="H280" s="41">
        <f>F280*(($H$157)+1)+(IF(G280&lt;101,G280,IF(G280&lt;201,G280/2,IF(G280&lt;=301,G280/3,G280/4))))</f>
        <v>0</v>
      </c>
      <c r="I280" s="35"/>
    </row>
    <row r="281" spans="1:14" s="36" customFormat="1" ht="15.75" hidden="1" customHeight="1" x14ac:dyDescent="0.3">
      <c r="A281" s="97" t="str">
        <f ca="1">(SUMPRODUCT(MID(0&amp;(LEFT(A280,SUM(LEN(A280)-LEN(SUBSTITUTE(A280,{"0","1","2"},""))))), LARGE(INDEX(ISNUMBER(--MID((LEFT(A280,SUM(LEN(A280)-LEN(SUBSTITUTE(A280,{"0","1","2"},""))))), ROW(INDIRECT("1:"&amp;LEN((LEFT(A280,SUM(LEN(A280)-LEN(SUBSTITUTE(A280,{"0","1","2"},"")))))))), 1)) * ROW(INDIRECT("1:"&amp;LEN((LEFT(A280,SUM(LEN(A280)-LEN(SUBSTITUTE(A280,{"0","1","2"},"")))))))), 0), ROW(INDIRECT("1:"&amp;LEN((LEFT(A280,SUM(LEN(A280)-LEN(SUBSTITUTE(A280,{"0","1","2"},"")))))))))+1, 1) * 10^ROW(INDIRECT("1:"&amp;LEN((LEFT(A280,SUM(LEN(A280)-LEN(SUBSTITUTE(A280,{"0","1","2"},""))))))))/10))*1+1&amp;""&amp;" ,.., "&amp;""&amp;(SUMPRODUCT(MID(0&amp;(--TRIM(RIGHT(SUBSTITUTE(LEFT(A280,_xlfn.AGGREGATE(16,6,FIND({0,1,2,3,4,5,6,7,8,9},A280,ROW(INDIRECT("1:"&amp;LEN(A280)))),1))," ",REPT(" ",LEN(A280))),LEN(A280)))), LARGE(INDEX(ISNUMBER(--MID((--TRIM(RIGHT(SUBSTITUTE(LEFT(A280,_xlfn.AGGREGATE(16,6,FIND({0,1,2,3,4,5,6,7,8,9},A280,ROW(INDIRECT("1:"&amp;LEN(A280)))),1))," ",REPT(" ",LEN(A280))),LEN(A280)))), ROW(INDIRECT("1:"&amp;LEN((--TRIM(RIGHT(SUBSTITUTE(LEFT(A280,_xlfn.AGGREGATE(16,6,FIND({0,1,2,3,4,5,6,7,8,9},A280,ROW(INDIRECT("1:"&amp;LEN(A280)))),1))," ",REPT(" ",LEN(A280))),LEN(A280))))))), 1)) * ROW(INDIRECT("1:"&amp;LEN((--TRIM(RIGHT(SUBSTITUTE(LEFT(A280,_xlfn.AGGREGATE(16,6,FIND({0,1,2,3,4,5,6,7,8,9},A280,ROW(INDIRECT("1:"&amp;LEN(A280)))),1))," ",REPT(" ",LEN(A280))),LEN(A280))))))), 0), ROW(INDIRECT("1:"&amp;LEN((--TRIM(RIGHT(SUBSTITUTE(LEFT(A280,_xlfn.AGGREGATE(16,6,FIND({0,1,2,3,4,5,6,7,8,9},A280,ROW(INDIRECT("1:"&amp;LEN(A280)))),1))," ",REPT(" ",LEN(A280))),LEN(A280))))))))+1, 1) * 10^ROW(INDIRECT("1:"&amp;LEN((--TRIM(RIGHT(SUBSTITUTE(LEFT(A280,_xlfn.AGGREGATE(16,6,FIND({0,1,2,3,4,5,6,7,8,9},A280,ROW(INDIRECT("1:"&amp;LEN(A280)))),1))," ",REPT(" ",LEN(A280))),LEN(A280)))))))/10))*1+1</f>
        <v>304 ,.., 1504</v>
      </c>
      <c r="B281" s="98"/>
      <c r="C281" s="41"/>
      <c r="D281" s="41"/>
      <c r="E281" s="41">
        <v>0</v>
      </c>
      <c r="F281" s="41">
        <f>D281+E281</f>
        <v>0</v>
      </c>
      <c r="G281" s="41">
        <v>0</v>
      </c>
      <c r="H281" s="41">
        <f>F281*(($H$157)+1)+(IF(G281&lt;101,G281,IF(G281&lt;201,G281/2,IF(G281&lt;=301,G281/3,G281/4))))</f>
        <v>0</v>
      </c>
      <c r="I281" s="35"/>
    </row>
    <row r="282" spans="1:14" s="36" customFormat="1" ht="15.75" hidden="1" customHeight="1" x14ac:dyDescent="0.3">
      <c r="A282" s="97" t="str">
        <f ca="1">(SUMPRODUCT(MID(0&amp;(LEFT(A281,SUM(LEN(A281)-LEN(SUBSTITUTE(A281,{"0","1","2"},""))))), LARGE(INDEX(ISNUMBER(--MID((LEFT(A281,SUM(LEN(A281)-LEN(SUBSTITUTE(A281,{"0","1","2"},""))))), ROW(INDIRECT("1:"&amp;LEN((LEFT(A281,SUM(LEN(A281)-LEN(SUBSTITUTE(A281,{"0","1","2"},"")))))))), 1)) * ROW(INDIRECT("1:"&amp;LEN((LEFT(A281,SUM(LEN(A281)-LEN(SUBSTITUTE(A281,{"0","1","2"},"")))))))), 0), ROW(INDIRECT("1:"&amp;LEN((LEFT(A281,SUM(LEN(A281)-LEN(SUBSTITUTE(A281,{"0","1","2"},"")))))))))+1, 1) * 10^ROW(INDIRECT("1:"&amp;LEN((LEFT(A281,SUM(LEN(A281)-LEN(SUBSTITUTE(A281,{"0","1","2"},""))))))))/10))*1+1&amp;""&amp;" ,.., "&amp;""&amp;(SUMPRODUCT(MID(0&amp;(--TRIM(RIGHT(SUBSTITUTE(LEFT(A281,_xlfn.AGGREGATE(16,6,FIND({0,1,2,3,4,5,6,7,8,9},A281,ROW(INDIRECT("1:"&amp;LEN(A281)))),1))," ",REPT(" ",LEN(A281))),LEN(A281)))), LARGE(INDEX(ISNUMBER(--MID((--TRIM(RIGHT(SUBSTITUTE(LEFT(A281,_xlfn.AGGREGATE(16,6,FIND({0,1,2,3,4,5,6,7,8,9},A281,ROW(INDIRECT("1:"&amp;LEN(A281)))),1))," ",REPT(" ",LEN(A281))),LEN(A281)))), ROW(INDIRECT("1:"&amp;LEN((--TRIM(RIGHT(SUBSTITUTE(LEFT(A281,_xlfn.AGGREGATE(16,6,FIND({0,1,2,3,4,5,6,7,8,9},A281,ROW(INDIRECT("1:"&amp;LEN(A281)))),1))," ",REPT(" ",LEN(A281))),LEN(A281))))))), 1)) * ROW(INDIRECT("1:"&amp;LEN((--TRIM(RIGHT(SUBSTITUTE(LEFT(A281,_xlfn.AGGREGATE(16,6,FIND({0,1,2,3,4,5,6,7,8,9},A281,ROW(INDIRECT("1:"&amp;LEN(A281)))),1))," ",REPT(" ",LEN(A281))),LEN(A281))))))), 0), ROW(INDIRECT("1:"&amp;LEN((--TRIM(RIGHT(SUBSTITUTE(LEFT(A281,_xlfn.AGGREGATE(16,6,FIND({0,1,2,3,4,5,6,7,8,9},A281,ROW(INDIRECT("1:"&amp;LEN(A281)))),1))," ",REPT(" ",LEN(A281))),LEN(A281))))))))+1, 1) * 10^ROW(INDIRECT("1:"&amp;LEN((--TRIM(RIGHT(SUBSTITUTE(LEFT(A281,_xlfn.AGGREGATE(16,6,FIND({0,1,2,3,4,5,6,7,8,9},A281,ROW(INDIRECT("1:"&amp;LEN(A281)))),1))," ",REPT(" ",LEN(A281))),LEN(A281)))))))/10))*1+1</f>
        <v>305 ,.., 1505</v>
      </c>
      <c r="B282" s="98"/>
      <c r="C282" s="41"/>
      <c r="D282" s="41"/>
      <c r="E282" s="41">
        <v>0</v>
      </c>
      <c r="F282" s="41">
        <f>D282+E282</f>
        <v>0</v>
      </c>
      <c r="G282" s="41">
        <v>0</v>
      </c>
      <c r="H282" s="41">
        <f>F282*(($H$157)+1)+(IF(G282&lt;101,G282,IF(G282&lt;201,G282/2,IF(G282&lt;=301,G282/3,G282/4))))</f>
        <v>0</v>
      </c>
      <c r="I282" s="35"/>
    </row>
    <row r="283" spans="1:14" s="36" customFormat="1" hidden="1" x14ac:dyDescent="0.3">
      <c r="A283" s="101" t="s">
        <v>143</v>
      </c>
      <c r="B283" s="102"/>
      <c r="C283" s="102"/>
      <c r="D283" s="102"/>
      <c r="E283" s="102"/>
      <c r="F283" s="102"/>
      <c r="G283" s="102"/>
      <c r="H283" s="103"/>
      <c r="I283" s="35"/>
    </row>
    <row r="284" spans="1:14" s="36" customFormat="1" ht="15.75" hidden="1" customHeight="1" x14ac:dyDescent="0.3">
      <c r="A284" s="97" t="str">
        <f ca="1">(SUMPRODUCT(MID(0&amp;(LEFT(A283,SUM(LEN(A283)-LEN(SUBSTITUTE(A283,{"0","1","2"},""))))), LARGE(INDEX(ISNUMBER(--MID((LEFT(A283,SUM(LEN(A283)-LEN(SUBSTITUTE(A283,{"0","1","2"},""))))), ROW(INDIRECT("1:"&amp;LEN((LEFT(A283,SUM(LEN(A283)-LEN(SUBSTITUTE(A283,{"0","1","2"},"")))))))), 1)) * ROW(INDIRECT("1:"&amp;LEN((LEFT(A283,SUM(LEN(A283)-LEN(SUBSTITUTE(A283,{"0","1","2"},"")))))))), 0), ROW(INDIRECT("1:"&amp;LEN((LEFT(A283,SUM(LEN(A283)-LEN(SUBSTITUTE(A283,{"0","1","2"},"")))))))))+1, 1) * 10^ROW(INDIRECT("1:"&amp;LEN((LEFT(A283,SUM(LEN(A283)-LEN(SUBSTITUTE(A283,{"0","1","2"},""))))))))/10))*100+1&amp;""&amp;" to "&amp;""&amp;(SUMPRODUCT(MID(0&amp;(--TRIM(RIGHT(SUBSTITUTE(LEFT(A283,_xlfn.AGGREGATE(16,6,FIND({0,1,2,3,4,5,6,7,8,9},A283,ROW(INDIRECT("1:"&amp;LEN(A283)))),1))," ",REPT(" ",LEN(A283))),LEN(A283)))), LARGE(INDEX(ISNUMBER(--MID((--TRIM(RIGHT(SUBSTITUTE(LEFT(A283,_xlfn.AGGREGATE(16,6,FIND({0,1,2,3,4,5,6,7,8,9},A283,ROW(INDIRECT("1:"&amp;LEN(A283)))),1))," ",REPT(" ",LEN(A283))),LEN(A283)))), ROW(INDIRECT("1:"&amp;LEN((--TRIM(RIGHT(SUBSTITUTE(LEFT(A283,_xlfn.AGGREGATE(16,6,FIND({0,1,2,3,4,5,6,7,8,9},A283,ROW(INDIRECT("1:"&amp;LEN(A283)))),1))," ",REPT(" ",LEN(A283))),LEN(A283))))))), 1)) * ROW(INDIRECT("1:"&amp;LEN((--TRIM(RIGHT(SUBSTITUTE(LEFT(A283,_xlfn.AGGREGATE(16,6,FIND({0,1,2,3,4,5,6,7,8,9},A283,ROW(INDIRECT("1:"&amp;LEN(A283)))),1))," ",REPT(" ",LEN(A283))),LEN(A283))))))), 0), ROW(INDIRECT("1:"&amp;LEN((--TRIM(RIGHT(SUBSTITUTE(LEFT(A283,_xlfn.AGGREGATE(16,6,FIND({0,1,2,3,4,5,6,7,8,9},A283,ROW(INDIRECT("1:"&amp;LEN(A283)))),1))," ",REPT(" ",LEN(A283))),LEN(A283))))))))+1, 1) * 10^ROW(INDIRECT("1:"&amp;LEN((--TRIM(RIGHT(SUBSTITUTE(LEFT(A283,_xlfn.AGGREGATE(16,6,FIND({0,1,2,3,4,5,6,7,8,9},A283,ROW(INDIRECT("1:"&amp;LEN(A283)))),1))," ",REPT(" ",LEN(A283))),LEN(A283)))))))/10))*100+1</f>
        <v>201 to 501</v>
      </c>
      <c r="B284" s="98"/>
      <c r="C284" s="41"/>
      <c r="D284" s="41"/>
      <c r="E284" s="41">
        <v>0</v>
      </c>
      <c r="F284" s="41">
        <f>D284+E284</f>
        <v>0</v>
      </c>
      <c r="G284" s="41">
        <v>0</v>
      </c>
      <c r="H284" s="41">
        <f>F284*(($H$157)+1)+(IF(G284&lt;101,G284,IF(G284&lt;201,G284/2,IF(G284&lt;=301,G284/3,G284/4))))</f>
        <v>0</v>
      </c>
      <c r="I284" s="35"/>
    </row>
    <row r="285" spans="1:14" s="36" customFormat="1" ht="15.75" hidden="1" customHeight="1" x14ac:dyDescent="0.3">
      <c r="A285" s="97" t="str">
        <f ca="1">(SUMPRODUCT(MID(0&amp;(LEFT(A284,SUM(LEN(A284)-LEN(SUBSTITUTE(A284,{"0","1","2"},""))))), LARGE(INDEX(ISNUMBER(--MID((LEFT(A284,SUM(LEN(A284)-LEN(SUBSTITUTE(A284,{"0","1","2"},""))))), ROW(INDIRECT("1:"&amp;LEN((LEFT(A284,SUM(LEN(A284)-LEN(SUBSTITUTE(A284,{"0","1","2"},"")))))))), 1)) * ROW(INDIRECT("1:"&amp;LEN((LEFT(A284,SUM(LEN(A284)-LEN(SUBSTITUTE(A284,{"0","1","2"},"")))))))), 0), ROW(INDIRECT("1:"&amp;LEN((LEFT(A284,SUM(LEN(A284)-LEN(SUBSTITUTE(A284,{"0","1","2"},"")))))))))+1, 1) * 10^ROW(INDIRECT("1:"&amp;LEN((LEFT(A284,SUM(LEN(A284)-LEN(SUBSTITUTE(A284,{"0","1","2"},""))))))))/10))*1+1&amp;""&amp;" to "&amp;""&amp;(SUMPRODUCT(MID(0&amp;(--TRIM(RIGHT(SUBSTITUTE(LEFT(A284,_xlfn.AGGREGATE(16,6,FIND({0,1,2,3,4,5,6,7,8,9},A284,ROW(INDIRECT("1:"&amp;LEN(A284)))),1))," ",REPT(" ",LEN(A284))),LEN(A284)))), LARGE(INDEX(ISNUMBER(--MID((--TRIM(RIGHT(SUBSTITUTE(LEFT(A284,_xlfn.AGGREGATE(16,6,FIND({0,1,2,3,4,5,6,7,8,9},A284,ROW(INDIRECT("1:"&amp;LEN(A284)))),1))," ",REPT(" ",LEN(A284))),LEN(A284)))), ROW(INDIRECT("1:"&amp;LEN((--TRIM(RIGHT(SUBSTITUTE(LEFT(A284,_xlfn.AGGREGATE(16,6,FIND({0,1,2,3,4,5,6,7,8,9},A284,ROW(INDIRECT("1:"&amp;LEN(A284)))),1))," ",REPT(" ",LEN(A284))),LEN(A284))))))), 1)) * ROW(INDIRECT("1:"&amp;LEN((--TRIM(RIGHT(SUBSTITUTE(LEFT(A284,_xlfn.AGGREGATE(16,6,FIND({0,1,2,3,4,5,6,7,8,9},A284,ROW(INDIRECT("1:"&amp;LEN(A284)))),1))," ",REPT(" ",LEN(A284))),LEN(A284))))))), 0), ROW(INDIRECT("1:"&amp;LEN((--TRIM(RIGHT(SUBSTITUTE(LEFT(A284,_xlfn.AGGREGATE(16,6,FIND({0,1,2,3,4,5,6,7,8,9},A284,ROW(INDIRECT("1:"&amp;LEN(A284)))),1))," ",REPT(" ",LEN(A284))),LEN(A284))))))))+1, 1) * 10^ROW(INDIRECT("1:"&amp;LEN((--TRIM(RIGHT(SUBSTITUTE(LEFT(A284,_xlfn.AGGREGATE(16,6,FIND({0,1,2,3,4,5,6,7,8,9},A284,ROW(INDIRECT("1:"&amp;LEN(A284)))),1))," ",REPT(" ",LEN(A284))),LEN(A284)))))))/10))*1+1</f>
        <v>202 to 502</v>
      </c>
      <c r="B285" s="98"/>
      <c r="C285" s="41"/>
      <c r="D285" s="41"/>
      <c r="E285" s="41">
        <v>0</v>
      </c>
      <c r="F285" s="41">
        <f>D285+E285</f>
        <v>0</v>
      </c>
      <c r="G285" s="41">
        <v>0</v>
      </c>
      <c r="H285" s="41">
        <f>F285*(($H$157)+1)+(IF(G285&lt;101,G285,IF(G285&lt;201,G285/2,IF(G285&lt;=301,G285/3,G285/4))))</f>
        <v>0</v>
      </c>
      <c r="I285" s="35"/>
    </row>
    <row r="286" spans="1:14" s="36" customFormat="1" ht="15.75" hidden="1" customHeight="1" x14ac:dyDescent="0.3">
      <c r="A286" s="97" t="str">
        <f ca="1">(SUMPRODUCT(MID(0&amp;(LEFT(A285,SUM(LEN(A285)-LEN(SUBSTITUTE(A285,{"0","1","2"},""))))), LARGE(INDEX(ISNUMBER(--MID((LEFT(A285,SUM(LEN(A285)-LEN(SUBSTITUTE(A285,{"0","1","2"},""))))), ROW(INDIRECT("1:"&amp;LEN((LEFT(A285,SUM(LEN(A285)-LEN(SUBSTITUTE(A285,{"0","1","2"},"")))))))), 1)) * ROW(INDIRECT("1:"&amp;LEN((LEFT(A285,SUM(LEN(A285)-LEN(SUBSTITUTE(A285,{"0","1","2"},"")))))))), 0), ROW(INDIRECT("1:"&amp;LEN((LEFT(A285,SUM(LEN(A285)-LEN(SUBSTITUTE(A285,{"0","1","2"},"")))))))))+1, 1) * 10^ROW(INDIRECT("1:"&amp;LEN((LEFT(A285,SUM(LEN(A285)-LEN(SUBSTITUTE(A285,{"0","1","2"},""))))))))/10))*1+1&amp;""&amp;" to "&amp;""&amp;(SUMPRODUCT(MID(0&amp;(--TRIM(RIGHT(SUBSTITUTE(LEFT(A285,_xlfn.AGGREGATE(16,6,FIND({0,1,2,3,4,5,6,7,8,9},A285,ROW(INDIRECT("1:"&amp;LEN(A285)))),1))," ",REPT(" ",LEN(A285))),LEN(A285)))), LARGE(INDEX(ISNUMBER(--MID((--TRIM(RIGHT(SUBSTITUTE(LEFT(A285,_xlfn.AGGREGATE(16,6,FIND({0,1,2,3,4,5,6,7,8,9},A285,ROW(INDIRECT("1:"&amp;LEN(A285)))),1))," ",REPT(" ",LEN(A285))),LEN(A285)))), ROW(INDIRECT("1:"&amp;LEN((--TRIM(RIGHT(SUBSTITUTE(LEFT(A285,_xlfn.AGGREGATE(16,6,FIND({0,1,2,3,4,5,6,7,8,9},A285,ROW(INDIRECT("1:"&amp;LEN(A285)))),1))," ",REPT(" ",LEN(A285))),LEN(A285))))))), 1)) * ROW(INDIRECT("1:"&amp;LEN((--TRIM(RIGHT(SUBSTITUTE(LEFT(A285,_xlfn.AGGREGATE(16,6,FIND({0,1,2,3,4,5,6,7,8,9},A285,ROW(INDIRECT("1:"&amp;LEN(A285)))),1))," ",REPT(" ",LEN(A285))),LEN(A285))))))), 0), ROW(INDIRECT("1:"&amp;LEN((--TRIM(RIGHT(SUBSTITUTE(LEFT(A285,_xlfn.AGGREGATE(16,6,FIND({0,1,2,3,4,5,6,7,8,9},A285,ROW(INDIRECT("1:"&amp;LEN(A285)))),1))," ",REPT(" ",LEN(A285))),LEN(A285))))))))+1, 1) * 10^ROW(INDIRECT("1:"&amp;LEN((--TRIM(RIGHT(SUBSTITUTE(LEFT(A285,_xlfn.AGGREGATE(16,6,FIND({0,1,2,3,4,5,6,7,8,9},A285,ROW(INDIRECT("1:"&amp;LEN(A285)))),1))," ",REPT(" ",LEN(A285))),LEN(A285)))))))/10))*1+1</f>
        <v>203 to 503</v>
      </c>
      <c r="B286" s="98"/>
      <c r="C286" s="41"/>
      <c r="D286" s="41"/>
      <c r="E286" s="41">
        <v>0</v>
      </c>
      <c r="F286" s="41">
        <f>D286+E286</f>
        <v>0</v>
      </c>
      <c r="G286" s="41">
        <v>0</v>
      </c>
      <c r="H286" s="41">
        <f>F286*(($H$157)+1)+(IF(G286&lt;101,G286,IF(G286&lt;201,G286/2,IF(G286&lt;=301,G286/3,G286/4))))</f>
        <v>0</v>
      </c>
      <c r="I286" s="35"/>
    </row>
    <row r="287" spans="1:14" s="36" customFormat="1" ht="15.75" hidden="1" customHeight="1" x14ac:dyDescent="0.3">
      <c r="A287" s="97" t="str">
        <f ca="1">(SUMPRODUCT(MID(0&amp;(LEFT(A286,SUM(LEN(A286)-LEN(SUBSTITUTE(A286,{"0","1","2"},""))))), LARGE(INDEX(ISNUMBER(--MID((LEFT(A286,SUM(LEN(A286)-LEN(SUBSTITUTE(A286,{"0","1","2"},""))))), ROW(INDIRECT("1:"&amp;LEN((LEFT(A286,SUM(LEN(A286)-LEN(SUBSTITUTE(A286,{"0","1","2"},"")))))))), 1)) * ROW(INDIRECT("1:"&amp;LEN((LEFT(A286,SUM(LEN(A286)-LEN(SUBSTITUTE(A286,{"0","1","2"},"")))))))), 0), ROW(INDIRECT("1:"&amp;LEN((LEFT(A286,SUM(LEN(A286)-LEN(SUBSTITUTE(A286,{"0","1","2"},"")))))))))+1, 1) * 10^ROW(INDIRECT("1:"&amp;LEN((LEFT(A286,SUM(LEN(A286)-LEN(SUBSTITUTE(A286,{"0","1","2"},""))))))))/10))*1+1&amp;""&amp;" to "&amp;""&amp;(SUMPRODUCT(MID(0&amp;(--TRIM(RIGHT(SUBSTITUTE(LEFT(A286,_xlfn.AGGREGATE(16,6,FIND({0,1,2,3,4,5,6,7,8,9},A286,ROW(INDIRECT("1:"&amp;LEN(A286)))),1))," ",REPT(" ",LEN(A286))),LEN(A286)))), LARGE(INDEX(ISNUMBER(--MID((--TRIM(RIGHT(SUBSTITUTE(LEFT(A286,_xlfn.AGGREGATE(16,6,FIND({0,1,2,3,4,5,6,7,8,9},A286,ROW(INDIRECT("1:"&amp;LEN(A286)))),1))," ",REPT(" ",LEN(A286))),LEN(A286)))), ROW(INDIRECT("1:"&amp;LEN((--TRIM(RIGHT(SUBSTITUTE(LEFT(A286,_xlfn.AGGREGATE(16,6,FIND({0,1,2,3,4,5,6,7,8,9},A286,ROW(INDIRECT("1:"&amp;LEN(A286)))),1))," ",REPT(" ",LEN(A286))),LEN(A286))))))), 1)) * ROW(INDIRECT("1:"&amp;LEN((--TRIM(RIGHT(SUBSTITUTE(LEFT(A286,_xlfn.AGGREGATE(16,6,FIND({0,1,2,3,4,5,6,7,8,9},A286,ROW(INDIRECT("1:"&amp;LEN(A286)))),1))," ",REPT(" ",LEN(A286))),LEN(A286))))))), 0), ROW(INDIRECT("1:"&amp;LEN((--TRIM(RIGHT(SUBSTITUTE(LEFT(A286,_xlfn.AGGREGATE(16,6,FIND({0,1,2,3,4,5,6,7,8,9},A286,ROW(INDIRECT("1:"&amp;LEN(A286)))),1))," ",REPT(" ",LEN(A286))),LEN(A286))))))))+1, 1) * 10^ROW(INDIRECT("1:"&amp;LEN((--TRIM(RIGHT(SUBSTITUTE(LEFT(A286,_xlfn.AGGREGATE(16,6,FIND({0,1,2,3,4,5,6,7,8,9},A286,ROW(INDIRECT("1:"&amp;LEN(A286)))),1))," ",REPT(" ",LEN(A286))),LEN(A286)))))))/10))*1+1</f>
        <v>204 to 504</v>
      </c>
      <c r="B287" s="98"/>
      <c r="C287" s="41"/>
      <c r="D287" s="41"/>
      <c r="E287" s="41">
        <v>0</v>
      </c>
      <c r="F287" s="41">
        <f>D287+E287</f>
        <v>0</v>
      </c>
      <c r="G287" s="41">
        <v>0</v>
      </c>
      <c r="H287" s="41">
        <f>F287*(($H$157)+1)+(IF(G287&lt;101,G287,IF(G287&lt;201,G287/2,IF(G287&lt;=301,G287/3,G287/4))))</f>
        <v>0</v>
      </c>
      <c r="I287" s="35"/>
    </row>
    <row r="288" spans="1:14" s="36" customFormat="1" ht="15.75" hidden="1" customHeight="1" x14ac:dyDescent="0.3">
      <c r="A288" s="97" t="str">
        <f ca="1">(SUMPRODUCT(MID(0&amp;(LEFT(A287,SUM(LEN(A287)-LEN(SUBSTITUTE(A287,{"0","1","2"},""))))), LARGE(INDEX(ISNUMBER(--MID((LEFT(A287,SUM(LEN(A287)-LEN(SUBSTITUTE(A287,{"0","1","2"},""))))), ROW(INDIRECT("1:"&amp;LEN((LEFT(A287,SUM(LEN(A287)-LEN(SUBSTITUTE(A287,{"0","1","2"},"")))))))), 1)) * ROW(INDIRECT("1:"&amp;LEN((LEFT(A287,SUM(LEN(A287)-LEN(SUBSTITUTE(A287,{"0","1","2"},"")))))))), 0), ROW(INDIRECT("1:"&amp;LEN((LEFT(A287,SUM(LEN(A287)-LEN(SUBSTITUTE(A287,{"0","1","2"},"")))))))))+1, 1) * 10^ROW(INDIRECT("1:"&amp;LEN((LEFT(A287,SUM(LEN(A287)-LEN(SUBSTITUTE(A287,{"0","1","2"},""))))))))/10))*1+1&amp;""&amp;" to "&amp;""&amp;(SUMPRODUCT(MID(0&amp;(--TRIM(RIGHT(SUBSTITUTE(LEFT(A287,_xlfn.AGGREGATE(16,6,FIND({0,1,2,3,4,5,6,7,8,9},A287,ROW(INDIRECT("1:"&amp;LEN(A287)))),1))," ",REPT(" ",LEN(A287))),LEN(A287)))), LARGE(INDEX(ISNUMBER(--MID((--TRIM(RIGHT(SUBSTITUTE(LEFT(A287,_xlfn.AGGREGATE(16,6,FIND({0,1,2,3,4,5,6,7,8,9},A287,ROW(INDIRECT("1:"&amp;LEN(A287)))),1))," ",REPT(" ",LEN(A287))),LEN(A287)))), ROW(INDIRECT("1:"&amp;LEN((--TRIM(RIGHT(SUBSTITUTE(LEFT(A287,_xlfn.AGGREGATE(16,6,FIND({0,1,2,3,4,5,6,7,8,9},A287,ROW(INDIRECT("1:"&amp;LEN(A287)))),1))," ",REPT(" ",LEN(A287))),LEN(A287))))))), 1)) * ROW(INDIRECT("1:"&amp;LEN((--TRIM(RIGHT(SUBSTITUTE(LEFT(A287,_xlfn.AGGREGATE(16,6,FIND({0,1,2,3,4,5,6,7,8,9},A287,ROW(INDIRECT("1:"&amp;LEN(A287)))),1))," ",REPT(" ",LEN(A287))),LEN(A287))))))), 0), ROW(INDIRECT("1:"&amp;LEN((--TRIM(RIGHT(SUBSTITUTE(LEFT(A287,_xlfn.AGGREGATE(16,6,FIND({0,1,2,3,4,5,6,7,8,9},A287,ROW(INDIRECT("1:"&amp;LEN(A287)))),1))," ",REPT(" ",LEN(A287))),LEN(A287))))))))+1, 1) * 10^ROW(INDIRECT("1:"&amp;LEN((--TRIM(RIGHT(SUBSTITUTE(LEFT(A287,_xlfn.AGGREGATE(16,6,FIND({0,1,2,3,4,5,6,7,8,9},A287,ROW(INDIRECT("1:"&amp;LEN(A287)))),1))," ",REPT(" ",LEN(A287))),LEN(A287)))))))/10))*1+1</f>
        <v>205 to 505</v>
      </c>
      <c r="B288" s="98"/>
      <c r="C288" s="41"/>
      <c r="D288" s="41"/>
      <c r="E288" s="41">
        <v>0</v>
      </c>
      <c r="F288" s="41">
        <f>D288+E288</f>
        <v>0</v>
      </c>
      <c r="G288" s="41">
        <v>0</v>
      </c>
      <c r="H288" s="41">
        <f>F288*(($H$157)+1)+(IF(G288&lt;101,G288,IF(G288&lt;201,G288/2,IF(G288&lt;=301,G288/3,G288/4))))</f>
        <v>0</v>
      </c>
      <c r="I288" s="35"/>
    </row>
    <row r="289" spans="1:20" s="36" customFormat="1" hidden="1" x14ac:dyDescent="0.3">
      <c r="A289" s="101" t="s">
        <v>144</v>
      </c>
      <c r="B289" s="102"/>
      <c r="C289" s="102"/>
      <c r="D289" s="102"/>
      <c r="E289" s="102"/>
      <c r="F289" s="102"/>
      <c r="G289" s="102"/>
      <c r="H289" s="103"/>
      <c r="I289" s="35"/>
    </row>
    <row r="290" spans="1:20" s="36" customFormat="1" ht="15.75" hidden="1" customHeight="1" x14ac:dyDescent="0.3">
      <c r="A290" s="97" t="str">
        <f ca="1">(SUMPRODUCT(MID(0&amp;(LEFT(A289,SUM(LEN(A289)-LEN(SUBSTITUTE(A289,{"0","1","2"},""))))), LARGE(INDEX(ISNUMBER(--MID((LEFT(A289,SUM(LEN(A289)-LEN(SUBSTITUTE(A289,{"0","1","2"},""))))), ROW(INDIRECT("1:"&amp;LEN((LEFT(A289,SUM(LEN(A289)-LEN(SUBSTITUTE(A289,{"0","1","2"},"")))))))), 1)) * ROW(INDIRECT("1:"&amp;LEN((LEFT(A289,SUM(LEN(A289)-LEN(SUBSTITUTE(A289,{"0","1","2"},"")))))))), 0), ROW(INDIRECT("1:"&amp;LEN((LEFT(A289,SUM(LEN(A289)-LEN(SUBSTITUTE(A289,{"0","1","2"},"")))))))))+1, 1) * 10^ROW(INDIRECT("1:"&amp;LEN((LEFT(A289,SUM(LEN(A289)-LEN(SUBSTITUTE(A289,{"0","1","2"},""))))))))/10))*100+1&amp;""&amp;" &amp; "&amp;""&amp;(SUMPRODUCT(MID(0&amp;(--TRIM(RIGHT(SUBSTITUTE(LEFT(A289,_xlfn.AGGREGATE(16,6,FIND({0,1,2,3,4,5,6,7,8,9},A289,ROW(INDIRECT("1:"&amp;LEN(A289)))),1))," ",REPT(" ",LEN(A289))),LEN(A289)))), LARGE(INDEX(ISNUMBER(--MID((--TRIM(RIGHT(SUBSTITUTE(LEFT(A289,_xlfn.AGGREGATE(16,6,FIND({0,1,2,3,4,5,6,7,8,9},A289,ROW(INDIRECT("1:"&amp;LEN(A289)))),1))," ",REPT(" ",LEN(A289))),LEN(A289)))), ROW(INDIRECT("1:"&amp;LEN((--TRIM(RIGHT(SUBSTITUTE(LEFT(A289,_xlfn.AGGREGATE(16,6,FIND({0,1,2,3,4,5,6,7,8,9},A289,ROW(INDIRECT("1:"&amp;LEN(A289)))),1))," ",REPT(" ",LEN(A289))),LEN(A289))))))), 1)) * ROW(INDIRECT("1:"&amp;LEN((--TRIM(RIGHT(SUBSTITUTE(LEFT(A289,_xlfn.AGGREGATE(16,6,FIND({0,1,2,3,4,5,6,7,8,9},A289,ROW(INDIRECT("1:"&amp;LEN(A289)))),1))," ",REPT(" ",LEN(A289))),LEN(A289))))))), 0), ROW(INDIRECT("1:"&amp;LEN((--TRIM(RIGHT(SUBSTITUTE(LEFT(A289,_xlfn.AGGREGATE(16,6,FIND({0,1,2,3,4,5,6,7,8,9},A289,ROW(INDIRECT("1:"&amp;LEN(A289)))),1))," ",REPT(" ",LEN(A289))),LEN(A289))))))))+1, 1) * 10^ROW(INDIRECT("1:"&amp;LEN((--TRIM(RIGHT(SUBSTITUTE(LEFT(A289,_xlfn.AGGREGATE(16,6,FIND({0,1,2,3,4,5,6,7,8,9},A289,ROW(INDIRECT("1:"&amp;LEN(A289)))),1))," ",REPT(" ",LEN(A289))),LEN(A289)))))))/10))*100+1</f>
        <v>201 &amp; 501</v>
      </c>
      <c r="B290" s="98"/>
      <c r="C290" s="41"/>
      <c r="D290" s="41"/>
      <c r="E290" s="41">
        <v>0</v>
      </c>
      <c r="F290" s="41">
        <f>D290+E290</f>
        <v>0</v>
      </c>
      <c r="G290" s="41">
        <v>0</v>
      </c>
      <c r="H290" s="41">
        <f>F290*(($H$157)+1)+(IF(G290&lt;101,G290,IF(G290&lt;201,G290/2,IF(G290&lt;=301,G290/3,G290/4))))</f>
        <v>0</v>
      </c>
      <c r="I290" s="35"/>
    </row>
    <row r="291" spans="1:20" s="36" customFormat="1" ht="15.75" hidden="1" customHeight="1" x14ac:dyDescent="0.3">
      <c r="A291" s="97" t="str">
        <f ca="1">(SUMPRODUCT(MID(0&amp;(LEFT(A290,SUM(LEN(A290)-LEN(SUBSTITUTE(A290,{"0","1","2"},""))))), LARGE(INDEX(ISNUMBER(--MID((LEFT(A290,SUM(LEN(A290)-LEN(SUBSTITUTE(A290,{"0","1","2"},""))))), ROW(INDIRECT("1:"&amp;LEN((LEFT(A290,SUM(LEN(A290)-LEN(SUBSTITUTE(A290,{"0","1","2"},"")))))))), 1)) * ROW(INDIRECT("1:"&amp;LEN((LEFT(A290,SUM(LEN(A290)-LEN(SUBSTITUTE(A290,{"0","1","2"},"")))))))), 0), ROW(INDIRECT("1:"&amp;LEN((LEFT(A290,SUM(LEN(A290)-LEN(SUBSTITUTE(A290,{"0","1","2"},"")))))))))+1, 1) * 10^ROW(INDIRECT("1:"&amp;LEN((LEFT(A290,SUM(LEN(A290)-LEN(SUBSTITUTE(A290,{"0","1","2"},""))))))))/10))*1+1&amp;""&amp;" &amp; "&amp;""&amp;(SUMPRODUCT(MID(0&amp;(--TRIM(RIGHT(SUBSTITUTE(LEFT(A290,_xlfn.AGGREGATE(16,6,FIND({0,1,2,3,4,5,6,7,8,9},A290,ROW(INDIRECT("1:"&amp;LEN(A290)))),1))," ",REPT(" ",LEN(A290))),LEN(A290)))), LARGE(INDEX(ISNUMBER(--MID((--TRIM(RIGHT(SUBSTITUTE(LEFT(A290,_xlfn.AGGREGATE(16,6,FIND({0,1,2,3,4,5,6,7,8,9},A290,ROW(INDIRECT("1:"&amp;LEN(A290)))),1))," ",REPT(" ",LEN(A290))),LEN(A290)))), ROW(INDIRECT("1:"&amp;LEN((--TRIM(RIGHT(SUBSTITUTE(LEFT(A290,_xlfn.AGGREGATE(16,6,FIND({0,1,2,3,4,5,6,7,8,9},A290,ROW(INDIRECT("1:"&amp;LEN(A290)))),1))," ",REPT(" ",LEN(A290))),LEN(A290))))))), 1)) * ROW(INDIRECT("1:"&amp;LEN((--TRIM(RIGHT(SUBSTITUTE(LEFT(A290,_xlfn.AGGREGATE(16,6,FIND({0,1,2,3,4,5,6,7,8,9},A290,ROW(INDIRECT("1:"&amp;LEN(A290)))),1))," ",REPT(" ",LEN(A290))),LEN(A290))))))), 0), ROW(INDIRECT("1:"&amp;LEN((--TRIM(RIGHT(SUBSTITUTE(LEFT(A290,_xlfn.AGGREGATE(16,6,FIND({0,1,2,3,4,5,6,7,8,9},A290,ROW(INDIRECT("1:"&amp;LEN(A290)))),1))," ",REPT(" ",LEN(A290))),LEN(A290))))))))+1, 1) * 10^ROW(INDIRECT("1:"&amp;LEN((--TRIM(RIGHT(SUBSTITUTE(LEFT(A290,_xlfn.AGGREGATE(16,6,FIND({0,1,2,3,4,5,6,7,8,9},A290,ROW(INDIRECT("1:"&amp;LEN(A290)))),1))," ",REPT(" ",LEN(A290))),LEN(A290)))))))/10))*1+1</f>
        <v>202 &amp; 502</v>
      </c>
      <c r="B291" s="98"/>
      <c r="C291" s="41"/>
      <c r="D291" s="41"/>
      <c r="E291" s="41">
        <v>0</v>
      </c>
      <c r="F291" s="41">
        <f>D291+E291</f>
        <v>0</v>
      </c>
      <c r="G291" s="41">
        <v>0</v>
      </c>
      <c r="H291" s="41">
        <f>F291*(($H$157)+1)+(IF(G291&lt;101,G291,IF(G291&lt;201,G291/2,IF(G291&lt;=301,G291/3,G291/4))))</f>
        <v>0</v>
      </c>
      <c r="I291" s="35"/>
    </row>
    <row r="292" spans="1:20" s="36" customFormat="1" ht="15.75" hidden="1" customHeight="1" x14ac:dyDescent="0.3">
      <c r="A292" s="97" t="str">
        <f ca="1">(SUMPRODUCT(MID(0&amp;(LEFT(A291,SUM(LEN(A291)-LEN(SUBSTITUTE(A291,{"0","1","2"},""))))), LARGE(INDEX(ISNUMBER(--MID((LEFT(A291,SUM(LEN(A291)-LEN(SUBSTITUTE(A291,{"0","1","2"},""))))), ROW(INDIRECT("1:"&amp;LEN((LEFT(A291,SUM(LEN(A291)-LEN(SUBSTITUTE(A291,{"0","1","2"},"")))))))), 1)) * ROW(INDIRECT("1:"&amp;LEN((LEFT(A291,SUM(LEN(A291)-LEN(SUBSTITUTE(A291,{"0","1","2"},"")))))))), 0), ROW(INDIRECT("1:"&amp;LEN((LEFT(A291,SUM(LEN(A291)-LEN(SUBSTITUTE(A291,{"0","1","2"},"")))))))))+1, 1) * 10^ROW(INDIRECT("1:"&amp;LEN((LEFT(A291,SUM(LEN(A291)-LEN(SUBSTITUTE(A291,{"0","1","2"},""))))))))/10))*1+1&amp;""&amp;" &amp; "&amp;""&amp;(SUMPRODUCT(MID(0&amp;(--TRIM(RIGHT(SUBSTITUTE(LEFT(A291,_xlfn.AGGREGATE(16,6,FIND({0,1,2,3,4,5,6,7,8,9},A291,ROW(INDIRECT("1:"&amp;LEN(A291)))),1))," ",REPT(" ",LEN(A291))),LEN(A291)))), LARGE(INDEX(ISNUMBER(--MID((--TRIM(RIGHT(SUBSTITUTE(LEFT(A291,_xlfn.AGGREGATE(16,6,FIND({0,1,2,3,4,5,6,7,8,9},A291,ROW(INDIRECT("1:"&amp;LEN(A291)))),1))," ",REPT(" ",LEN(A291))),LEN(A291)))), ROW(INDIRECT("1:"&amp;LEN((--TRIM(RIGHT(SUBSTITUTE(LEFT(A291,_xlfn.AGGREGATE(16,6,FIND({0,1,2,3,4,5,6,7,8,9},A291,ROW(INDIRECT("1:"&amp;LEN(A291)))),1))," ",REPT(" ",LEN(A291))),LEN(A291))))))), 1)) * ROW(INDIRECT("1:"&amp;LEN((--TRIM(RIGHT(SUBSTITUTE(LEFT(A291,_xlfn.AGGREGATE(16,6,FIND({0,1,2,3,4,5,6,7,8,9},A291,ROW(INDIRECT("1:"&amp;LEN(A291)))),1))," ",REPT(" ",LEN(A291))),LEN(A291))))))), 0), ROW(INDIRECT("1:"&amp;LEN((--TRIM(RIGHT(SUBSTITUTE(LEFT(A291,_xlfn.AGGREGATE(16,6,FIND({0,1,2,3,4,5,6,7,8,9},A291,ROW(INDIRECT("1:"&amp;LEN(A291)))),1))," ",REPT(" ",LEN(A291))),LEN(A291))))))))+1, 1) * 10^ROW(INDIRECT("1:"&amp;LEN((--TRIM(RIGHT(SUBSTITUTE(LEFT(A291,_xlfn.AGGREGATE(16,6,FIND({0,1,2,3,4,5,6,7,8,9},A291,ROW(INDIRECT("1:"&amp;LEN(A291)))),1))," ",REPT(" ",LEN(A291))),LEN(A291)))))))/10))*1+1</f>
        <v>203 &amp; 503</v>
      </c>
      <c r="B292" s="98"/>
      <c r="C292" s="41"/>
      <c r="D292" s="41"/>
      <c r="E292" s="41">
        <v>0</v>
      </c>
      <c r="F292" s="41">
        <f>D292+E292</f>
        <v>0</v>
      </c>
      <c r="G292" s="41">
        <v>0</v>
      </c>
      <c r="H292" s="41">
        <f>F292*(($H$157)+1)+(IF(G292&lt;101,G292,IF(G292&lt;201,G292/2,IF(G292&lt;=301,G292/3,G292/4))))</f>
        <v>0</v>
      </c>
      <c r="I292" s="35"/>
    </row>
    <row r="293" spans="1:20" s="36" customFormat="1" ht="15.75" hidden="1" customHeight="1" x14ac:dyDescent="0.3">
      <c r="A293" s="97" t="str">
        <f ca="1">(SUMPRODUCT(MID(0&amp;(LEFT(A292,SUM(LEN(A292)-LEN(SUBSTITUTE(A292,{"0","1","2"},""))))), LARGE(INDEX(ISNUMBER(--MID((LEFT(A292,SUM(LEN(A292)-LEN(SUBSTITUTE(A292,{"0","1","2"},""))))), ROW(INDIRECT("1:"&amp;LEN((LEFT(A292,SUM(LEN(A292)-LEN(SUBSTITUTE(A292,{"0","1","2"},"")))))))), 1)) * ROW(INDIRECT("1:"&amp;LEN((LEFT(A292,SUM(LEN(A292)-LEN(SUBSTITUTE(A292,{"0","1","2"},"")))))))), 0), ROW(INDIRECT("1:"&amp;LEN((LEFT(A292,SUM(LEN(A292)-LEN(SUBSTITUTE(A292,{"0","1","2"},"")))))))))+1, 1) * 10^ROW(INDIRECT("1:"&amp;LEN((LEFT(A292,SUM(LEN(A292)-LEN(SUBSTITUTE(A292,{"0","1","2"},""))))))))/10))*1+1&amp;""&amp;" &amp; "&amp;""&amp;(SUMPRODUCT(MID(0&amp;(--TRIM(RIGHT(SUBSTITUTE(LEFT(A292,_xlfn.AGGREGATE(16,6,FIND({0,1,2,3,4,5,6,7,8,9},A292,ROW(INDIRECT("1:"&amp;LEN(A292)))),1))," ",REPT(" ",LEN(A292))),LEN(A292)))), LARGE(INDEX(ISNUMBER(--MID((--TRIM(RIGHT(SUBSTITUTE(LEFT(A292,_xlfn.AGGREGATE(16,6,FIND({0,1,2,3,4,5,6,7,8,9},A292,ROW(INDIRECT("1:"&amp;LEN(A292)))),1))," ",REPT(" ",LEN(A292))),LEN(A292)))), ROW(INDIRECT("1:"&amp;LEN((--TRIM(RIGHT(SUBSTITUTE(LEFT(A292,_xlfn.AGGREGATE(16,6,FIND({0,1,2,3,4,5,6,7,8,9},A292,ROW(INDIRECT("1:"&amp;LEN(A292)))),1))," ",REPT(" ",LEN(A292))),LEN(A292))))))), 1)) * ROW(INDIRECT("1:"&amp;LEN((--TRIM(RIGHT(SUBSTITUTE(LEFT(A292,_xlfn.AGGREGATE(16,6,FIND({0,1,2,3,4,5,6,7,8,9},A292,ROW(INDIRECT("1:"&amp;LEN(A292)))),1))," ",REPT(" ",LEN(A292))),LEN(A292))))))), 0), ROW(INDIRECT("1:"&amp;LEN((--TRIM(RIGHT(SUBSTITUTE(LEFT(A292,_xlfn.AGGREGATE(16,6,FIND({0,1,2,3,4,5,6,7,8,9},A292,ROW(INDIRECT("1:"&amp;LEN(A292)))),1))," ",REPT(" ",LEN(A292))),LEN(A292))))))))+1, 1) * 10^ROW(INDIRECT("1:"&amp;LEN((--TRIM(RIGHT(SUBSTITUTE(LEFT(A292,_xlfn.AGGREGATE(16,6,FIND({0,1,2,3,4,5,6,7,8,9},A292,ROW(INDIRECT("1:"&amp;LEN(A292)))),1))," ",REPT(" ",LEN(A292))),LEN(A292)))))))/10))*1+1</f>
        <v>204 &amp; 504</v>
      </c>
      <c r="B293" s="98"/>
      <c r="C293" s="41"/>
      <c r="D293" s="41"/>
      <c r="E293" s="41">
        <v>0</v>
      </c>
      <c r="F293" s="41">
        <f>D293+E293</f>
        <v>0</v>
      </c>
      <c r="G293" s="41">
        <v>0</v>
      </c>
      <c r="H293" s="41">
        <f>F293*(($H$157)+1)+(IF(G293&lt;101,G293,IF(G293&lt;201,G293/2,IF(G293&lt;=301,G293/3,G293/4))))</f>
        <v>0</v>
      </c>
      <c r="I293" s="35"/>
    </row>
    <row r="294" spans="1:20" s="36" customFormat="1" ht="15.75" hidden="1" customHeight="1" x14ac:dyDescent="0.3">
      <c r="A294" s="97" t="str">
        <f ca="1">(SUMPRODUCT(MID(0&amp;(LEFT(A293,SUM(LEN(A293)-LEN(SUBSTITUTE(A293,{"0","1","2"},""))))), LARGE(INDEX(ISNUMBER(--MID((LEFT(A293,SUM(LEN(A293)-LEN(SUBSTITUTE(A293,{"0","1","2"},""))))), ROW(INDIRECT("1:"&amp;LEN((LEFT(A293,SUM(LEN(A293)-LEN(SUBSTITUTE(A293,{"0","1","2"},"")))))))), 1)) * ROW(INDIRECT("1:"&amp;LEN((LEFT(A293,SUM(LEN(A293)-LEN(SUBSTITUTE(A293,{"0","1","2"},"")))))))), 0), ROW(INDIRECT("1:"&amp;LEN((LEFT(A293,SUM(LEN(A293)-LEN(SUBSTITUTE(A293,{"0","1","2"},"")))))))))+1, 1) * 10^ROW(INDIRECT("1:"&amp;LEN((LEFT(A293,SUM(LEN(A293)-LEN(SUBSTITUTE(A293,{"0","1","2"},""))))))))/10))*1+1&amp;""&amp;" &amp; "&amp;""&amp;(SUMPRODUCT(MID(0&amp;(--TRIM(RIGHT(SUBSTITUTE(LEFT(A293,_xlfn.AGGREGATE(16,6,FIND({0,1,2,3,4,5,6,7,8,9},A293,ROW(INDIRECT("1:"&amp;LEN(A293)))),1))," ",REPT(" ",LEN(A293))),LEN(A293)))), LARGE(INDEX(ISNUMBER(--MID((--TRIM(RIGHT(SUBSTITUTE(LEFT(A293,_xlfn.AGGREGATE(16,6,FIND({0,1,2,3,4,5,6,7,8,9},A293,ROW(INDIRECT("1:"&amp;LEN(A293)))),1))," ",REPT(" ",LEN(A293))),LEN(A293)))), ROW(INDIRECT("1:"&amp;LEN((--TRIM(RIGHT(SUBSTITUTE(LEFT(A293,_xlfn.AGGREGATE(16,6,FIND({0,1,2,3,4,5,6,7,8,9},A293,ROW(INDIRECT("1:"&amp;LEN(A293)))),1))," ",REPT(" ",LEN(A293))),LEN(A293))))))), 1)) * ROW(INDIRECT("1:"&amp;LEN((--TRIM(RIGHT(SUBSTITUTE(LEFT(A293,_xlfn.AGGREGATE(16,6,FIND({0,1,2,3,4,5,6,7,8,9},A293,ROW(INDIRECT("1:"&amp;LEN(A293)))),1))," ",REPT(" ",LEN(A293))),LEN(A293))))))), 0), ROW(INDIRECT("1:"&amp;LEN((--TRIM(RIGHT(SUBSTITUTE(LEFT(A293,_xlfn.AGGREGATE(16,6,FIND({0,1,2,3,4,5,6,7,8,9},A293,ROW(INDIRECT("1:"&amp;LEN(A293)))),1))," ",REPT(" ",LEN(A293))),LEN(A293))))))))+1, 1) * 10^ROW(INDIRECT("1:"&amp;LEN((--TRIM(RIGHT(SUBSTITUTE(LEFT(A293,_xlfn.AGGREGATE(16,6,FIND({0,1,2,3,4,5,6,7,8,9},A293,ROW(INDIRECT("1:"&amp;LEN(A293)))),1))," ",REPT(" ",LEN(A293))),LEN(A293)))))))/10))*1+1</f>
        <v>205 &amp; 505</v>
      </c>
      <c r="B294" s="98"/>
      <c r="C294" s="41"/>
      <c r="D294" s="41"/>
      <c r="E294" s="41">
        <v>0</v>
      </c>
      <c r="F294" s="41">
        <f>D294+E294</f>
        <v>0</v>
      </c>
      <c r="G294" s="41">
        <v>0</v>
      </c>
      <c r="H294" s="41">
        <f>F294*(($H$157)+1)+(IF(G294&lt;101,G294,IF(G294&lt;201,G294/2,IF(G294&lt;=301,G294/3,G294/4))))</f>
        <v>0</v>
      </c>
      <c r="I294" s="35"/>
    </row>
    <row r="295" spans="1:20" s="34" customFormat="1" x14ac:dyDescent="0.3">
      <c r="A295" s="259" t="s">
        <v>65</v>
      </c>
      <c r="B295" s="259"/>
      <c r="C295" s="259"/>
      <c r="D295" s="259"/>
      <c r="E295" s="259"/>
      <c r="F295" s="259"/>
      <c r="G295" s="259"/>
      <c r="H295" s="259"/>
      <c r="T295" s="36"/>
    </row>
    <row r="296" spans="1:20" s="34" customFormat="1" x14ac:dyDescent="0.3">
      <c r="A296" s="45" t="s">
        <v>153</v>
      </c>
      <c r="B296" s="235" t="s">
        <v>446</v>
      </c>
      <c r="C296" s="236"/>
      <c r="D296" s="236"/>
      <c r="E296" s="236"/>
      <c r="F296" s="236"/>
      <c r="G296" s="236"/>
      <c r="H296" s="237"/>
      <c r="T296" s="36"/>
    </row>
    <row r="297" spans="1:20" s="34" customFormat="1" x14ac:dyDescent="0.3">
      <c r="A297" s="45" t="s">
        <v>153</v>
      </c>
      <c r="B297" s="94" t="str">
        <f>(IF(H156="Saleable area Loading :","We have considered Saleable area of Flats as per our Calculation.","We considered Saleable area of Flat as per Builder area Sheet."))</f>
        <v>We have considered Saleable area of Flats as per our Calculation.</v>
      </c>
      <c r="C297" s="95"/>
      <c r="D297" s="95"/>
      <c r="E297" s="95"/>
      <c r="F297" s="95"/>
      <c r="G297" s="95"/>
      <c r="H297" s="96"/>
      <c r="T297" s="36"/>
    </row>
    <row r="298" spans="1:20" s="34" customFormat="1" hidden="1" x14ac:dyDescent="0.3">
      <c r="A298" s="45" t="s">
        <v>153</v>
      </c>
      <c r="B298" s="94" t="str">
        <f>(IF(H148="Saleable area Loading :","We have considered Saleable area of Commercial as per our Calculation.","We considered Saleable area of Commercial as per Builder area Sheet."))</f>
        <v>We have considered Saleable area of Commercial as per our Calculation.</v>
      </c>
      <c r="C298" s="95"/>
      <c r="D298" s="95"/>
      <c r="E298" s="95"/>
      <c r="F298" s="95"/>
      <c r="G298" s="95"/>
      <c r="H298" s="96"/>
      <c r="T298" s="36"/>
    </row>
    <row r="299" spans="1:20" s="34" customFormat="1" x14ac:dyDescent="0.3">
      <c r="A299" s="45" t="s">
        <v>153</v>
      </c>
      <c r="B299" s="94" t="s">
        <v>120</v>
      </c>
      <c r="C299" s="95"/>
      <c r="D299" s="95"/>
      <c r="E299" s="95"/>
      <c r="F299" s="95"/>
      <c r="G299" s="95"/>
      <c r="H299" s="96"/>
      <c r="T299" s="36"/>
    </row>
    <row r="300" spans="1:20" s="34" customFormat="1" x14ac:dyDescent="0.3">
      <c r="A300" s="45" t="s">
        <v>153</v>
      </c>
      <c r="B300" s="94" t="s">
        <v>414</v>
      </c>
      <c r="C300" s="95"/>
      <c r="D300" s="95"/>
      <c r="E300" s="95"/>
      <c r="F300" s="95"/>
      <c r="G300" s="95"/>
      <c r="H300" s="96"/>
      <c r="T300" s="36"/>
    </row>
    <row r="301" spans="1:20" s="34" customFormat="1" x14ac:dyDescent="0.3">
      <c r="A301" s="45" t="s">
        <v>153</v>
      </c>
      <c r="B301" s="94" t="s">
        <v>152</v>
      </c>
      <c r="C301" s="95"/>
      <c r="D301" s="95"/>
      <c r="E301" s="95"/>
      <c r="F301" s="95"/>
      <c r="G301" s="95"/>
      <c r="H301" s="96"/>
    </row>
    <row r="302" spans="1:20" s="34" customFormat="1" x14ac:dyDescent="0.3">
      <c r="A302" s="45" t="s">
        <v>153</v>
      </c>
      <c r="B302" s="94" t="s">
        <v>121</v>
      </c>
      <c r="C302" s="95"/>
      <c r="D302" s="95"/>
      <c r="E302" s="95"/>
      <c r="F302" s="95"/>
      <c r="G302" s="95"/>
      <c r="H302" s="96"/>
    </row>
    <row r="303" spans="1:20" s="34" customFormat="1" ht="34.5" customHeight="1" x14ac:dyDescent="0.3">
      <c r="A303" s="45" t="s">
        <v>153</v>
      </c>
      <c r="B303" s="94" t="s">
        <v>154</v>
      </c>
      <c r="C303" s="95"/>
      <c r="D303" s="95"/>
      <c r="E303" s="95"/>
      <c r="F303" s="95"/>
      <c r="G303" s="95"/>
      <c r="H303" s="96"/>
    </row>
    <row r="304" spans="1:20" s="34" customFormat="1" x14ac:dyDescent="0.3">
      <c r="A304" s="45" t="s">
        <v>153</v>
      </c>
      <c r="B304" s="94" t="s">
        <v>122</v>
      </c>
      <c r="C304" s="95"/>
      <c r="D304" s="95"/>
      <c r="E304" s="95"/>
      <c r="F304" s="95"/>
      <c r="G304" s="95"/>
      <c r="H304" s="96"/>
    </row>
    <row r="305" spans="1:20" s="34" customFormat="1" x14ac:dyDescent="0.3">
      <c r="A305" s="45" t="s">
        <v>153</v>
      </c>
      <c r="B305" s="94" t="s">
        <v>436</v>
      </c>
      <c r="C305" s="95"/>
      <c r="D305" s="95"/>
      <c r="E305" s="95"/>
      <c r="F305" s="95"/>
      <c r="G305" s="95"/>
      <c r="H305" s="96"/>
    </row>
    <row r="306" spans="1:20" s="34" customFormat="1" ht="32.25" hidden="1" customHeight="1" x14ac:dyDescent="0.3">
      <c r="A306" s="45" t="s">
        <v>153</v>
      </c>
      <c r="B306" s="104" t="s">
        <v>179</v>
      </c>
      <c r="C306" s="105"/>
      <c r="D306" s="105"/>
      <c r="E306" s="105"/>
      <c r="F306" s="105"/>
      <c r="G306" s="105"/>
      <c r="H306" s="106"/>
    </row>
    <row r="307" spans="1:20" s="34" customFormat="1" ht="38.25" hidden="1" customHeight="1" x14ac:dyDescent="0.3">
      <c r="A307" s="45" t="s">
        <v>153</v>
      </c>
      <c r="B307" s="104" t="s">
        <v>350</v>
      </c>
      <c r="C307" s="105"/>
      <c r="D307" s="105"/>
      <c r="E307" s="105"/>
      <c r="F307" s="105"/>
      <c r="G307" s="105"/>
      <c r="H307" s="106"/>
    </row>
    <row r="308" spans="1:20" s="34" customFormat="1" hidden="1" x14ac:dyDescent="0.3">
      <c r="A308" s="45" t="s">
        <v>153</v>
      </c>
      <c r="B308" s="104" t="s">
        <v>352</v>
      </c>
      <c r="C308" s="105"/>
      <c r="D308" s="105"/>
      <c r="E308" s="105"/>
      <c r="F308" s="105"/>
      <c r="G308" s="105"/>
      <c r="H308" s="106"/>
    </row>
    <row r="309" spans="1:20" s="34" customFormat="1" hidden="1" x14ac:dyDescent="0.3">
      <c r="A309" s="45" t="s">
        <v>153</v>
      </c>
      <c r="B309" s="104" t="str">
        <f ca="1">IF(G52&gt;EDATE(E3,-48),"NO REMARK FOR CC","REMARK FOR CC")</f>
        <v>NO REMARK FOR CC</v>
      </c>
      <c r="C309" s="105"/>
      <c r="D309" s="105"/>
      <c r="E309" s="105"/>
      <c r="F309" s="105"/>
      <c r="G309" s="105"/>
      <c r="H309" s="106"/>
    </row>
    <row r="310" spans="1:20" s="34" customFormat="1" hidden="1" x14ac:dyDescent="0.3">
      <c r="A310" s="45" t="s">
        <v>153</v>
      </c>
      <c r="B310" s="104" t="s">
        <v>353</v>
      </c>
      <c r="C310" s="105"/>
      <c r="D310" s="105"/>
      <c r="E310" s="105"/>
      <c r="F310" s="105"/>
      <c r="G310" s="105"/>
      <c r="H310" s="106"/>
    </row>
    <row r="311" spans="1:20" s="34" customFormat="1" ht="31.5" customHeight="1" x14ac:dyDescent="0.3">
      <c r="A311" s="45" t="s">
        <v>153</v>
      </c>
      <c r="B311" s="94" t="s">
        <v>443</v>
      </c>
      <c r="C311" s="95"/>
      <c r="D311" s="95"/>
      <c r="E311" s="95"/>
      <c r="F311" s="95"/>
      <c r="G311" s="95"/>
      <c r="H311" s="96"/>
    </row>
    <row r="312" spans="1:20" x14ac:dyDescent="0.3">
      <c r="A312" s="206" t="s">
        <v>58</v>
      </c>
      <c r="B312" s="206"/>
      <c r="C312" s="206"/>
      <c r="D312" s="206"/>
      <c r="E312" s="206"/>
      <c r="F312" s="206"/>
      <c r="G312" s="206"/>
      <c r="H312" s="206"/>
      <c r="T312" s="34"/>
    </row>
    <row r="313" spans="1:20" x14ac:dyDescent="0.3">
      <c r="A313" s="92" t="s">
        <v>59</v>
      </c>
      <c r="B313" s="92"/>
      <c r="C313" s="92"/>
      <c r="D313" s="92"/>
      <c r="E313" s="92"/>
      <c r="F313" s="92"/>
      <c r="G313" s="92"/>
      <c r="H313" s="92"/>
      <c r="T313" s="34"/>
    </row>
    <row r="314" spans="1:20" ht="15.75" customHeight="1" x14ac:dyDescent="0.3">
      <c r="A314" s="243" t="s">
        <v>60</v>
      </c>
      <c r="B314" s="243"/>
      <c r="C314" s="243"/>
      <c r="D314" s="243"/>
      <c r="E314" s="243"/>
      <c r="F314" s="243"/>
      <c r="G314" s="243"/>
      <c r="H314" s="243"/>
      <c r="T314" s="34"/>
    </row>
    <row r="315" spans="1:20" x14ac:dyDescent="0.3">
      <c r="A315" s="92" t="s">
        <v>61</v>
      </c>
      <c r="B315" s="92"/>
      <c r="C315" s="92"/>
      <c r="D315" s="92"/>
      <c r="E315" s="92"/>
      <c r="F315" s="92"/>
      <c r="G315" s="92"/>
      <c r="H315" s="92"/>
      <c r="T315" s="34"/>
    </row>
    <row r="316" spans="1:20" x14ac:dyDescent="0.3">
      <c r="A316" s="92" t="s">
        <v>62</v>
      </c>
      <c r="B316" s="92"/>
      <c r="C316" s="92"/>
      <c r="D316" s="92"/>
      <c r="E316" s="92"/>
      <c r="F316" s="92"/>
      <c r="G316" s="92"/>
      <c r="H316" s="92"/>
      <c r="T316" s="34"/>
    </row>
    <row r="317" spans="1:20" x14ac:dyDescent="0.3">
      <c r="A317" s="92" t="s">
        <v>123</v>
      </c>
      <c r="B317" s="92"/>
      <c r="C317" s="92"/>
      <c r="D317" s="92"/>
      <c r="E317" s="92"/>
      <c r="F317" s="92"/>
      <c r="G317" s="92"/>
      <c r="H317" s="92"/>
      <c r="T317" s="34"/>
    </row>
    <row r="318" spans="1:20" ht="33.9" customHeight="1" x14ac:dyDescent="0.3">
      <c r="A318" s="207" t="s">
        <v>124</v>
      </c>
      <c r="B318" s="207"/>
      <c r="C318" s="207"/>
      <c r="D318" s="207"/>
      <c r="E318" s="207"/>
      <c r="F318" s="207"/>
      <c r="G318" s="207"/>
      <c r="H318" s="207"/>
    </row>
    <row r="319" spans="1:20" x14ac:dyDescent="0.3">
      <c r="A319" s="229" t="s">
        <v>74</v>
      </c>
      <c r="B319" s="229"/>
      <c r="C319" s="229" t="s">
        <v>427</v>
      </c>
      <c r="D319" s="229"/>
      <c r="E319" s="229" t="s">
        <v>102</v>
      </c>
      <c r="F319" s="229"/>
      <c r="G319" s="230" t="s">
        <v>448</v>
      </c>
      <c r="H319" s="230"/>
    </row>
    <row r="320" spans="1:20" x14ac:dyDescent="0.3">
      <c r="A320" s="228" t="s">
        <v>76</v>
      </c>
      <c r="B320" s="228"/>
      <c r="C320" s="228"/>
      <c r="D320" s="228"/>
      <c r="E320" s="228"/>
      <c r="F320" s="228"/>
      <c r="G320" s="228"/>
      <c r="H320" s="228"/>
    </row>
    <row r="321" spans="1:8" x14ac:dyDescent="0.3">
      <c r="A321" s="228"/>
      <c r="B321" s="228"/>
      <c r="C321" s="228"/>
      <c r="D321" s="228"/>
      <c r="E321" s="228"/>
      <c r="F321" s="228"/>
      <c r="G321" s="228"/>
      <c r="H321" s="228"/>
    </row>
    <row r="322" spans="1:8" x14ac:dyDescent="0.3">
      <c r="A322" s="228"/>
      <c r="B322" s="228"/>
      <c r="C322" s="228"/>
      <c r="D322" s="228"/>
      <c r="E322" s="228"/>
      <c r="F322" s="228"/>
      <c r="G322" s="228"/>
      <c r="H322" s="228"/>
    </row>
    <row r="323" spans="1:8" x14ac:dyDescent="0.3">
      <c r="A323" s="228"/>
      <c r="B323" s="228"/>
      <c r="C323" s="228"/>
      <c r="D323" s="228"/>
      <c r="E323" s="228"/>
      <c r="F323" s="228"/>
      <c r="G323" s="228"/>
      <c r="H323" s="228"/>
    </row>
    <row r="324" spans="1:8" x14ac:dyDescent="0.3">
      <c r="A324" s="37" t="s">
        <v>63</v>
      </c>
      <c r="B324" s="38"/>
      <c r="C324" s="38"/>
      <c r="D324" s="37" t="str">
        <f>E9</f>
        <v>OGC Thane Phase 1</v>
      </c>
      <c r="F324" s="38"/>
      <c r="G324" s="38"/>
      <c r="H324" s="38"/>
    </row>
    <row r="325" spans="1:8" x14ac:dyDescent="0.3">
      <c r="A325" s="38"/>
      <c r="B325" s="38"/>
      <c r="C325" s="38"/>
      <c r="D325" s="38"/>
      <c r="E325" s="38"/>
      <c r="F325" s="38"/>
      <c r="G325" s="38"/>
      <c r="H325" s="38"/>
    </row>
    <row r="326" spans="1:8" x14ac:dyDescent="0.3">
      <c r="A326" s="38"/>
      <c r="B326" s="38"/>
      <c r="C326" s="38"/>
      <c r="D326" s="38"/>
      <c r="E326" s="38"/>
      <c r="F326" s="38"/>
      <c r="G326" s="38"/>
      <c r="H326" s="38"/>
    </row>
    <row r="327" spans="1:8" ht="15" customHeight="1" x14ac:dyDescent="0.3"/>
    <row r="366" spans="1:1" x14ac:dyDescent="0.3">
      <c r="A366" s="40" t="s">
        <v>164</v>
      </c>
    </row>
    <row r="408" spans="1:1" x14ac:dyDescent="0.3">
      <c r="A408" s="40" t="s">
        <v>64</v>
      </c>
    </row>
  </sheetData>
  <mergeCells count="582">
    <mergeCell ref="L271:M271"/>
    <mergeCell ref="A273:B273"/>
    <mergeCell ref="A274:B274"/>
    <mergeCell ref="A284:B284"/>
    <mergeCell ref="L236:M236"/>
    <mergeCell ref="K114:N117"/>
    <mergeCell ref="A223:B223"/>
    <mergeCell ref="L223:M223"/>
    <mergeCell ref="A224:B224"/>
    <mergeCell ref="C224:H224"/>
    <mergeCell ref="L224:M224"/>
    <mergeCell ref="I11:L11"/>
    <mergeCell ref="B304:H304"/>
    <mergeCell ref="A214:B214"/>
    <mergeCell ref="L214:M214"/>
    <mergeCell ref="A215:B215"/>
    <mergeCell ref="L215:M215"/>
    <mergeCell ref="A216:B216"/>
    <mergeCell ref="L216:M216"/>
    <mergeCell ref="A217:B217"/>
    <mergeCell ref="L217:M217"/>
    <mergeCell ref="L266:M266"/>
    <mergeCell ref="A267:B267"/>
    <mergeCell ref="L267:M267"/>
    <mergeCell ref="A268:B268"/>
    <mergeCell ref="L268:M268"/>
    <mergeCell ref="A269:B269"/>
    <mergeCell ref="L269:M269"/>
    <mergeCell ref="A270:B270"/>
    <mergeCell ref="L270:M270"/>
    <mergeCell ref="L219:M219"/>
    <mergeCell ref="A220:B220"/>
    <mergeCell ref="C220:H220"/>
    <mergeCell ref="L220:M220"/>
    <mergeCell ref="A221:B221"/>
    <mergeCell ref="C221:H221"/>
    <mergeCell ref="L221:M221"/>
    <mergeCell ref="A222:B222"/>
    <mergeCell ref="L222:M222"/>
    <mergeCell ref="A209:H209"/>
    <mergeCell ref="A210:B210"/>
    <mergeCell ref="L210:M210"/>
    <mergeCell ref="A211:B211"/>
    <mergeCell ref="L211:M211"/>
    <mergeCell ref="A212:B212"/>
    <mergeCell ref="L212:M212"/>
    <mergeCell ref="A213:B213"/>
    <mergeCell ref="L213:M213"/>
    <mergeCell ref="L206:M206"/>
    <mergeCell ref="A207:B207"/>
    <mergeCell ref="L207:M207"/>
    <mergeCell ref="A208:B208"/>
    <mergeCell ref="L208:M208"/>
    <mergeCell ref="D202:G202"/>
    <mergeCell ref="A191:H191"/>
    <mergeCell ref="A192:B192"/>
    <mergeCell ref="L192:M192"/>
    <mergeCell ref="A193:B193"/>
    <mergeCell ref="L193:M193"/>
    <mergeCell ref="A194:B194"/>
    <mergeCell ref="L194:M194"/>
    <mergeCell ref="A195:B195"/>
    <mergeCell ref="L195:M195"/>
    <mergeCell ref="A196:B196"/>
    <mergeCell ref="L196:M196"/>
    <mergeCell ref="A197:B197"/>
    <mergeCell ref="L197:M197"/>
    <mergeCell ref="A198:B198"/>
    <mergeCell ref="L198:M198"/>
    <mergeCell ref="A199:B199"/>
    <mergeCell ref="L199:M199"/>
    <mergeCell ref="L189:M189"/>
    <mergeCell ref="A190:B190"/>
    <mergeCell ref="L190:M190"/>
    <mergeCell ref="A262:H262"/>
    <mergeCell ref="A263:B263"/>
    <mergeCell ref="L263:M263"/>
    <mergeCell ref="A264:B264"/>
    <mergeCell ref="L264:M264"/>
    <mergeCell ref="A265:B265"/>
    <mergeCell ref="L265:M265"/>
    <mergeCell ref="C189:H189"/>
    <mergeCell ref="C190:H190"/>
    <mergeCell ref="A200:H200"/>
    <mergeCell ref="A201:B201"/>
    <mergeCell ref="L201:M201"/>
    <mergeCell ref="A202:B202"/>
    <mergeCell ref="L202:M202"/>
    <mergeCell ref="A203:B203"/>
    <mergeCell ref="L203:M203"/>
    <mergeCell ref="A204:B204"/>
    <mergeCell ref="L204:M204"/>
    <mergeCell ref="A205:B205"/>
    <mergeCell ref="L205:M205"/>
    <mergeCell ref="A206:B206"/>
    <mergeCell ref="C183:H183"/>
    <mergeCell ref="C184:H184"/>
    <mergeCell ref="C185:H185"/>
    <mergeCell ref="C188:H188"/>
    <mergeCell ref="L178:M178"/>
    <mergeCell ref="A179:B179"/>
    <mergeCell ref="L179:M179"/>
    <mergeCell ref="A180:B180"/>
    <mergeCell ref="L180:M180"/>
    <mergeCell ref="A181:B181"/>
    <mergeCell ref="L181:M181"/>
    <mergeCell ref="A182:H182"/>
    <mergeCell ref="A183:B183"/>
    <mergeCell ref="L183:M183"/>
    <mergeCell ref="L184:M184"/>
    <mergeCell ref="A185:B185"/>
    <mergeCell ref="L185:M185"/>
    <mergeCell ref="A186:B186"/>
    <mergeCell ref="L186:M186"/>
    <mergeCell ref="A187:B187"/>
    <mergeCell ref="L187:M187"/>
    <mergeCell ref="A188:B188"/>
    <mergeCell ref="L188:M188"/>
    <mergeCell ref="A165:H165"/>
    <mergeCell ref="A166:H166"/>
    <mergeCell ref="A167:H167"/>
    <mergeCell ref="A168:H168"/>
    <mergeCell ref="A54:B55"/>
    <mergeCell ref="C54:E54"/>
    <mergeCell ref="G54:H54"/>
    <mergeCell ref="C55:H55"/>
    <mergeCell ref="A56:B57"/>
    <mergeCell ref="C56:E56"/>
    <mergeCell ref="G56:H56"/>
    <mergeCell ref="C57:H57"/>
    <mergeCell ref="A158:H158"/>
    <mergeCell ref="G63:H63"/>
    <mergeCell ref="E82:F82"/>
    <mergeCell ref="A89:B89"/>
    <mergeCell ref="A84:B84"/>
    <mergeCell ref="A154:B154"/>
    <mergeCell ref="A153:B153"/>
    <mergeCell ref="A127:E127"/>
    <mergeCell ref="F127:H127"/>
    <mergeCell ref="A130:E130"/>
    <mergeCell ref="F124:H124"/>
    <mergeCell ref="A129:E129"/>
    <mergeCell ref="B309:H309"/>
    <mergeCell ref="B308:H308"/>
    <mergeCell ref="E43:H43"/>
    <mergeCell ref="A43:D43"/>
    <mergeCell ref="A88:B88"/>
    <mergeCell ref="A50:B50"/>
    <mergeCell ref="D71:H71"/>
    <mergeCell ref="C52:E52"/>
    <mergeCell ref="A295:H295"/>
    <mergeCell ref="A287:B287"/>
    <mergeCell ref="A288:B288"/>
    <mergeCell ref="A283:H283"/>
    <mergeCell ref="A277:H277"/>
    <mergeCell ref="A292:B292"/>
    <mergeCell ref="A289:H289"/>
    <mergeCell ref="A76:C76"/>
    <mergeCell ref="D77:H77"/>
    <mergeCell ref="A83:B83"/>
    <mergeCell ref="G82:H82"/>
    <mergeCell ref="A91:B91"/>
    <mergeCell ref="A92:B92"/>
    <mergeCell ref="A87:B87"/>
    <mergeCell ref="C53:H53"/>
    <mergeCell ref="A86:B86"/>
    <mergeCell ref="I15:P15"/>
    <mergeCell ref="F132:H132"/>
    <mergeCell ref="F130:H130"/>
    <mergeCell ref="A279:B279"/>
    <mergeCell ref="A147:H147"/>
    <mergeCell ref="G136:H136"/>
    <mergeCell ref="A131:E131"/>
    <mergeCell ref="A152:B152"/>
    <mergeCell ref="A64:B64"/>
    <mergeCell ref="C64:E64"/>
    <mergeCell ref="D66:H66"/>
    <mergeCell ref="F131:H131"/>
    <mergeCell ref="E136:F136"/>
    <mergeCell ref="A136:B136"/>
    <mergeCell ref="A138:B138"/>
    <mergeCell ref="C141:D141"/>
    <mergeCell ref="D76:H76"/>
    <mergeCell ref="D67:H67"/>
    <mergeCell ref="G64:H64"/>
    <mergeCell ref="A58:B59"/>
    <mergeCell ref="C63:E63"/>
    <mergeCell ref="G58:H58"/>
    <mergeCell ref="A60:B61"/>
    <mergeCell ref="C60:E60"/>
    <mergeCell ref="A317:H317"/>
    <mergeCell ref="A314:H314"/>
    <mergeCell ref="A272:B272"/>
    <mergeCell ref="A141:B141"/>
    <mergeCell ref="D156:D157"/>
    <mergeCell ref="E156:E157"/>
    <mergeCell ref="A101:B101"/>
    <mergeCell ref="A103:B103"/>
    <mergeCell ref="F122:H122"/>
    <mergeCell ref="G137:H137"/>
    <mergeCell ref="A106:B106"/>
    <mergeCell ref="F129:H129"/>
    <mergeCell ref="C136:D136"/>
    <mergeCell ref="C144:D144"/>
    <mergeCell ref="A173:H173"/>
    <mergeCell ref="A281:B281"/>
    <mergeCell ref="B300:H300"/>
    <mergeCell ref="A290:B290"/>
    <mergeCell ref="A291:B291"/>
    <mergeCell ref="A294:B294"/>
    <mergeCell ref="A313:H313"/>
    <mergeCell ref="F121:H121"/>
    <mergeCell ref="F126:H126"/>
    <mergeCell ref="A174:B174"/>
    <mergeCell ref="A155:H155"/>
    <mergeCell ref="E141:F141"/>
    <mergeCell ref="A146:H146"/>
    <mergeCell ref="A156:A157"/>
    <mergeCell ref="F156:F157"/>
    <mergeCell ref="A278:B278"/>
    <mergeCell ref="A151:B151"/>
    <mergeCell ref="B306:H306"/>
    <mergeCell ref="A145:B145"/>
    <mergeCell ref="A159:H159"/>
    <mergeCell ref="A160:H160"/>
    <mergeCell ref="A162:H162"/>
    <mergeCell ref="A161:H161"/>
    <mergeCell ref="A235:H235"/>
    <mergeCell ref="A236:B236"/>
    <mergeCell ref="A241:B241"/>
    <mergeCell ref="A232:H232"/>
    <mergeCell ref="A233:H233"/>
    <mergeCell ref="A234:H234"/>
    <mergeCell ref="A253:H253"/>
    <mergeCell ref="A254:B254"/>
    <mergeCell ref="A259:B259"/>
    <mergeCell ref="A164:H164"/>
    <mergeCell ref="A276:B276"/>
    <mergeCell ref="A104:B104"/>
    <mergeCell ref="A105:B105"/>
    <mergeCell ref="A124:E124"/>
    <mergeCell ref="A121:E121"/>
    <mergeCell ref="F125:H125"/>
    <mergeCell ref="A282:B282"/>
    <mergeCell ref="A125:E125"/>
    <mergeCell ref="A177:B177"/>
    <mergeCell ref="B303:H303"/>
    <mergeCell ref="G148:G149"/>
    <mergeCell ref="A285:B285"/>
    <mergeCell ref="A293:B293"/>
    <mergeCell ref="B296:H296"/>
    <mergeCell ref="B297:H297"/>
    <mergeCell ref="B299:H299"/>
    <mergeCell ref="A163:H163"/>
    <mergeCell ref="A169:H169"/>
    <mergeCell ref="A170:H170"/>
    <mergeCell ref="A171:H171"/>
    <mergeCell ref="A172:H172"/>
    <mergeCell ref="A178:B178"/>
    <mergeCell ref="A184:B184"/>
    <mergeCell ref="A189:B189"/>
    <mergeCell ref="A266:B266"/>
    <mergeCell ref="A320:H323"/>
    <mergeCell ref="A319:B319"/>
    <mergeCell ref="E319:F319"/>
    <mergeCell ref="C319:D319"/>
    <mergeCell ref="G319:H319"/>
    <mergeCell ref="A135:H135"/>
    <mergeCell ref="A133:E133"/>
    <mergeCell ref="F133:H133"/>
    <mergeCell ref="A134:E134"/>
    <mergeCell ref="F134:H134"/>
    <mergeCell ref="A271:H271"/>
    <mergeCell ref="A142:B142"/>
    <mergeCell ref="A280:B280"/>
    <mergeCell ref="A137:B137"/>
    <mergeCell ref="A315:H315"/>
    <mergeCell ref="A140:H140"/>
    <mergeCell ref="A318:H318"/>
    <mergeCell ref="A316:H316"/>
    <mergeCell ref="A312:H312"/>
    <mergeCell ref="G141:H141"/>
    <mergeCell ref="B301:H301"/>
    <mergeCell ref="A286:B286"/>
    <mergeCell ref="A275:B275"/>
    <mergeCell ref="C145:D14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C79:H79"/>
    <mergeCell ref="A74:C74"/>
    <mergeCell ref="D74:H74"/>
    <mergeCell ref="C81:H81"/>
    <mergeCell ref="A75:C75"/>
    <mergeCell ref="D75:H75"/>
    <mergeCell ref="A78:C78"/>
    <mergeCell ref="D78:H78"/>
    <mergeCell ref="A77:C77"/>
    <mergeCell ref="A82:B82"/>
    <mergeCell ref="A46:D46"/>
    <mergeCell ref="A47:D47"/>
    <mergeCell ref="D73:H73"/>
    <mergeCell ref="A44:D44"/>
    <mergeCell ref="E44:H44"/>
    <mergeCell ref="E45:H45"/>
    <mergeCell ref="E46:H46"/>
    <mergeCell ref="E47:H47"/>
    <mergeCell ref="C61:H61"/>
    <mergeCell ref="A48:H48"/>
    <mergeCell ref="D68:H68"/>
    <mergeCell ref="A68:C68"/>
    <mergeCell ref="A45:D45"/>
    <mergeCell ref="A49:B49"/>
    <mergeCell ref="C49:H49"/>
    <mergeCell ref="A69:C71"/>
    <mergeCell ref="D69:H69"/>
    <mergeCell ref="D70:H70"/>
    <mergeCell ref="G52:H52"/>
    <mergeCell ref="A65:H65"/>
    <mergeCell ref="A66:C66"/>
    <mergeCell ref="A81:B81"/>
    <mergeCell ref="A79:B79"/>
    <mergeCell ref="A38:H38"/>
    <mergeCell ref="A37:B37"/>
    <mergeCell ref="C37:E37"/>
    <mergeCell ref="A42:D42"/>
    <mergeCell ref="E42:H42"/>
    <mergeCell ref="A41:H41"/>
    <mergeCell ref="A72:C72"/>
    <mergeCell ref="A73:C73"/>
    <mergeCell ref="D72:H72"/>
    <mergeCell ref="F37:H37"/>
    <mergeCell ref="C51:E51"/>
    <mergeCell ref="C50:E50"/>
    <mergeCell ref="G50:H50"/>
    <mergeCell ref="A51:B51"/>
    <mergeCell ref="G60:H60"/>
    <mergeCell ref="A62:B63"/>
    <mergeCell ref="C62:E62"/>
    <mergeCell ref="G62:H62"/>
    <mergeCell ref="G51:H51"/>
    <mergeCell ref="A52:B53"/>
    <mergeCell ref="A39:B39"/>
    <mergeCell ref="C39:H39"/>
    <mergeCell ref="A67:C67"/>
    <mergeCell ref="C58:E58"/>
    <mergeCell ref="A40:B40"/>
    <mergeCell ref="C40:H40"/>
    <mergeCell ref="F148:F149"/>
    <mergeCell ref="C137:D137"/>
    <mergeCell ref="E137:F137"/>
    <mergeCell ref="B148:B149"/>
    <mergeCell ref="A148:A149"/>
    <mergeCell ref="C156:C157"/>
    <mergeCell ref="G156:G157"/>
    <mergeCell ref="A90:B90"/>
    <mergeCell ref="C142:D142"/>
    <mergeCell ref="E142:F142"/>
    <mergeCell ref="G142:H142"/>
    <mergeCell ref="A122:E122"/>
    <mergeCell ref="A93:B93"/>
    <mergeCell ref="C93:H93"/>
    <mergeCell ref="A150:H150"/>
    <mergeCell ref="E148:E149"/>
    <mergeCell ref="A97:B97"/>
    <mergeCell ref="C95:H95"/>
    <mergeCell ref="A98:B98"/>
    <mergeCell ref="A99:B99"/>
    <mergeCell ref="G97:H106"/>
    <mergeCell ref="A100:B100"/>
    <mergeCell ref="L177:M177"/>
    <mergeCell ref="L174:M174"/>
    <mergeCell ref="A175:B175"/>
    <mergeCell ref="G145:H145"/>
    <mergeCell ref="L175:M175"/>
    <mergeCell ref="A176:B176"/>
    <mergeCell ref="L176:M176"/>
    <mergeCell ref="C59:H59"/>
    <mergeCell ref="A118:B118"/>
    <mergeCell ref="A119:B119"/>
    <mergeCell ref="A85:B85"/>
    <mergeCell ref="E83:F92"/>
    <mergeCell ref="G83:H92"/>
    <mergeCell ref="A102:B102"/>
    <mergeCell ref="G96:H96"/>
    <mergeCell ref="L154:M154"/>
    <mergeCell ref="L153:M153"/>
    <mergeCell ref="L152:M152"/>
    <mergeCell ref="L151:M151"/>
    <mergeCell ref="F123:H123"/>
    <mergeCell ref="A123:E123"/>
    <mergeCell ref="D148:D149"/>
    <mergeCell ref="G143:H143"/>
    <mergeCell ref="A95:B95"/>
    <mergeCell ref="B307:H307"/>
    <mergeCell ref="A126:E126"/>
    <mergeCell ref="A144:B144"/>
    <mergeCell ref="E144:F144"/>
    <mergeCell ref="A132:E132"/>
    <mergeCell ref="G144:H144"/>
    <mergeCell ref="C138:D138"/>
    <mergeCell ref="E138:F138"/>
    <mergeCell ref="G138:H138"/>
    <mergeCell ref="A139:B139"/>
    <mergeCell ref="C139:D139"/>
    <mergeCell ref="E139:F139"/>
    <mergeCell ref="G139:H139"/>
    <mergeCell ref="A143:B143"/>
    <mergeCell ref="C143:D143"/>
    <mergeCell ref="E143:F143"/>
    <mergeCell ref="E145:F145"/>
    <mergeCell ref="B305:H305"/>
    <mergeCell ref="B302:H302"/>
    <mergeCell ref="A237:B237"/>
    <mergeCell ref="A238:B238"/>
    <mergeCell ref="A218:H218"/>
    <mergeCell ref="A219:B219"/>
    <mergeCell ref="C219:H219"/>
    <mergeCell ref="B310:H310"/>
    <mergeCell ref="A120:B120"/>
    <mergeCell ref="C148:C149"/>
    <mergeCell ref="B156:B157"/>
    <mergeCell ref="B298:H298"/>
    <mergeCell ref="A96:B96"/>
    <mergeCell ref="E96:F96"/>
    <mergeCell ref="E97:F106"/>
    <mergeCell ref="A107:B107"/>
    <mergeCell ref="C107:H107"/>
    <mergeCell ref="A109:B109"/>
    <mergeCell ref="C109:H109"/>
    <mergeCell ref="A110:B110"/>
    <mergeCell ref="E110:F110"/>
    <mergeCell ref="G110:H110"/>
    <mergeCell ref="A111:B111"/>
    <mergeCell ref="E111:F120"/>
    <mergeCell ref="G111:H120"/>
    <mergeCell ref="A112:B112"/>
    <mergeCell ref="A113:B113"/>
    <mergeCell ref="A114:B114"/>
    <mergeCell ref="A115:B115"/>
    <mergeCell ref="A116:B116"/>
    <mergeCell ref="A117:B117"/>
    <mergeCell ref="A225:B225"/>
    <mergeCell ref="C225:H225"/>
    <mergeCell ref="L225:M225"/>
    <mergeCell ref="A226:B226"/>
    <mergeCell ref="C226:H226"/>
    <mergeCell ref="L226:M226"/>
    <mergeCell ref="A227:H227"/>
    <mergeCell ref="A228:H228"/>
    <mergeCell ref="A229:H229"/>
    <mergeCell ref="A230:H230"/>
    <mergeCell ref="A231:H231"/>
    <mergeCell ref="A248:B248"/>
    <mergeCell ref="L248:M248"/>
    <mergeCell ref="A249:B249"/>
    <mergeCell ref="L249:M249"/>
    <mergeCell ref="L238:M238"/>
    <mergeCell ref="A239:B239"/>
    <mergeCell ref="L239:M239"/>
    <mergeCell ref="A240:B240"/>
    <mergeCell ref="L240:M240"/>
    <mergeCell ref="L241:M241"/>
    <mergeCell ref="A242:B242"/>
    <mergeCell ref="L242:M242"/>
    <mergeCell ref="A243:B243"/>
    <mergeCell ref="L243:M243"/>
    <mergeCell ref="L237:M237"/>
    <mergeCell ref="A251:B251"/>
    <mergeCell ref="C251:H251"/>
    <mergeCell ref="A244:H244"/>
    <mergeCell ref="A245:B245"/>
    <mergeCell ref="C245:H245"/>
    <mergeCell ref="L245:M245"/>
    <mergeCell ref="A246:B246"/>
    <mergeCell ref="C246:H246"/>
    <mergeCell ref="L246:M246"/>
    <mergeCell ref="A247:B247"/>
    <mergeCell ref="C247:H247"/>
    <mergeCell ref="L247:M247"/>
    <mergeCell ref="L251:M251"/>
    <mergeCell ref="A128:E128"/>
    <mergeCell ref="F128:H128"/>
    <mergeCell ref="B311:H311"/>
    <mergeCell ref="A252:B252"/>
    <mergeCell ref="C252:H252"/>
    <mergeCell ref="L252:M252"/>
    <mergeCell ref="D263:G263"/>
    <mergeCell ref="L259:M259"/>
    <mergeCell ref="A260:B260"/>
    <mergeCell ref="L260:M260"/>
    <mergeCell ref="A261:B261"/>
    <mergeCell ref="L261:M261"/>
    <mergeCell ref="L254:M254"/>
    <mergeCell ref="A255:B255"/>
    <mergeCell ref="L255:M255"/>
    <mergeCell ref="A256:B256"/>
    <mergeCell ref="L256:M256"/>
    <mergeCell ref="A257:B257"/>
    <mergeCell ref="L257:M257"/>
    <mergeCell ref="A258:B258"/>
    <mergeCell ref="L258:M258"/>
    <mergeCell ref="A250:B250"/>
    <mergeCell ref="C250:H250"/>
    <mergeCell ref="L250:M250"/>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8:E149" xr:uid="{00000000-0002-0000-0000-000003000000}">
      <formula1>"Attached Loft area,Attached Otla area,Attached Mezzanine area"</formula1>
    </dataValidation>
    <dataValidation type="list" allowBlank="1" showInputMessage="1" showErrorMessage="1" sqref="G319:H319" xr:uid="{00000000-0002-0000-0000-000004000000}">
      <formula1>"Kunal Kadam,Pranita Mhatre,Shruti Fule,Pooja Kawale,Diptee Gotawade, Gaurav Panchal,Shruti Tathare, Hitakshi Mhatre, Sachin Sawant"</formula1>
    </dataValidation>
    <dataValidation type="list" allowBlank="1" showInputMessage="1" showErrorMessage="1" sqref="F121:H121" xr:uid="{00000000-0002-0000-0000-000005000000}">
      <formula1>"On Saleable Area,On Builtup Area,On Carpet Area,On Plot Area"</formula1>
    </dataValidation>
    <dataValidation type="list" allowBlank="1" showInputMessage="1" showErrorMessage="1" sqref="B148:B149" xr:uid="{00000000-0002-0000-0000-000006000000}">
      <formula1>"Shop No. (Sale Plan),Sale / Rehab,Sale / Mhada"</formula1>
    </dataValidation>
    <dataValidation type="list" allowBlank="1" showInputMessage="1" showErrorMessage="1" sqref="B156:B157"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56:E157" xr:uid="{00000000-0002-0000-0000-00000A000000}">
      <formula1>"Fungible area,Balcony Area,Chajja Area,Cornice Area,AP Area,WS Area"</formula1>
    </dataValidation>
    <dataValidation type="list" allowBlank="1" showInputMessage="1" showErrorMessage="1" sqref="H149 H157"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list" allowBlank="1" showInputMessage="1" showErrorMessage="1" sqref="H148 H156" xr:uid="{00000000-0002-0000-0000-00000E000000}">
      <formula1>"Saleable area Loading :,Builder Saleable Area"</formula1>
    </dataValidation>
    <dataValidation type="list" allowBlank="1" showInputMessage="1" showErrorMessage="1" sqref="D148:D149 D156:D157" xr:uid="{00000000-0002-0000-0000-00000F000000}">
      <formula1>"Carpet area,RERA Carpet area"</formula1>
    </dataValidation>
    <dataValidation type="list" allowBlank="1" showInputMessage="1" showErrorMessage="1" sqref="F133:H133" xr:uid="{00000000-0002-0000-0000-000010000000}">
      <formula1>OFFSET($S$121,1,MATCH($G20,$S$121:$W$121,0)-1,15,1)</formula1>
    </dataValidation>
  </dataValidations>
  <hyperlinks>
    <hyperlink ref="C40" r:id="rId1" xr:uid="{00000000-0004-0000-0000-000000000000}"/>
    <hyperlink ref="I75" r:id="rId2" location="amenities" xr:uid="{00000000-0004-0000-0000-000001000000}"/>
  </hyperlinks>
  <printOptions horizontalCentered="1"/>
  <pageMargins left="0.39370078740157483" right="0.39370078740157483" top="0.82677165354330717" bottom="0.78740157480314965" header="0.15748031496062992" footer="0.19685039370078741"/>
  <pageSetup fitToHeight="0" orientation="portrait" r:id="rId3"/>
  <headerFooter>
    <oddHeader>&amp;C&amp;G</oddHeader>
    <oddFooter>&amp;L&amp;"Times New Roman,Bold"&amp;12Ref No: &amp;F&amp;C&amp;G&amp;R&amp;"Times New Roman,Bold"&amp;12&amp;P</oddFooter>
  </headerFooter>
  <rowBreaks count="5" manualBreakCount="5">
    <brk id="92" max="7" man="1"/>
    <brk id="294" max="7" man="1"/>
    <brk id="323" max="16383" man="1"/>
    <brk id="365" max="16383" man="1"/>
    <brk id="407"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85" t="s">
        <v>103</v>
      </c>
      <c r="C3" s="285"/>
      <c r="D3" s="285"/>
      <c r="E3" s="285"/>
      <c r="F3" s="285"/>
      <c r="G3" s="285"/>
      <c r="H3" s="285"/>
    </row>
    <row r="4" spans="1:9" x14ac:dyDescent="0.3">
      <c r="A4" s="2"/>
      <c r="B4" s="3" t="s">
        <v>104</v>
      </c>
      <c r="C4" s="3" t="s">
        <v>105</v>
      </c>
      <c r="D4" s="3" t="s">
        <v>66</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11</v>
      </c>
      <c r="D4" s="53" t="s">
        <v>180</v>
      </c>
      <c r="E4" s="53" t="s">
        <v>190</v>
      </c>
      <c r="F4" s="53" t="s">
        <v>173</v>
      </c>
      <c r="G4" s="53" t="s">
        <v>195</v>
      </c>
      <c r="H4" s="53" t="s">
        <v>213</v>
      </c>
      <c r="J4" t="s">
        <v>195</v>
      </c>
      <c r="K4" t="s">
        <v>211</v>
      </c>
    </row>
    <row r="5" spans="2:11" x14ac:dyDescent="0.3">
      <c r="B5" s="52"/>
      <c r="C5" s="52"/>
      <c r="D5" s="53" t="s">
        <v>181</v>
      </c>
      <c r="E5" s="53" t="s">
        <v>188</v>
      </c>
      <c r="F5" s="53" t="s">
        <v>210</v>
      </c>
      <c r="G5" s="53" t="s">
        <v>196</v>
      </c>
      <c r="H5" s="53" t="s">
        <v>214</v>
      </c>
    </row>
    <row r="6" spans="2:11" x14ac:dyDescent="0.3">
      <c r="B6" s="52"/>
      <c r="C6" s="52"/>
      <c r="D6" s="53" t="s">
        <v>182</v>
      </c>
      <c r="E6" s="53" t="s">
        <v>189</v>
      </c>
      <c r="F6" s="53" t="s">
        <v>211</v>
      </c>
      <c r="G6" s="53" t="s">
        <v>197</v>
      </c>
      <c r="H6" s="53" t="s">
        <v>227</v>
      </c>
    </row>
    <row r="7" spans="2:11" x14ac:dyDescent="0.3">
      <c r="B7" s="52"/>
      <c r="C7" s="52"/>
      <c r="D7" s="53" t="s">
        <v>183</v>
      </c>
      <c r="E7" s="53" t="s">
        <v>191</v>
      </c>
      <c r="F7" s="53" t="s">
        <v>212</v>
      </c>
      <c r="G7" s="53" t="s">
        <v>198</v>
      </c>
      <c r="H7" s="53" t="s">
        <v>215</v>
      </c>
    </row>
    <row r="8" spans="2:11" x14ac:dyDescent="0.3">
      <c r="B8" s="52"/>
      <c r="C8" s="52"/>
      <c r="D8" s="53" t="s">
        <v>184</v>
      </c>
      <c r="E8" s="53" t="s">
        <v>192</v>
      </c>
      <c r="F8" s="53"/>
      <c r="G8" s="53" t="s">
        <v>199</v>
      </c>
      <c r="H8" s="53" t="s">
        <v>216</v>
      </c>
    </row>
    <row r="9" spans="2:11" x14ac:dyDescent="0.3">
      <c r="B9" s="52"/>
      <c r="C9" s="52"/>
      <c r="D9" s="53" t="s">
        <v>185</v>
      </c>
      <c r="E9" s="53" t="s">
        <v>190</v>
      </c>
      <c r="F9" s="53"/>
      <c r="G9" s="53" t="s">
        <v>200</v>
      </c>
      <c r="H9" s="53" t="s">
        <v>217</v>
      </c>
    </row>
    <row r="10" spans="2:11" x14ac:dyDescent="0.3">
      <c r="B10" s="52"/>
      <c r="C10" s="52"/>
      <c r="D10" s="53" t="s">
        <v>186</v>
      </c>
      <c r="E10" s="53" t="s">
        <v>193</v>
      </c>
      <c r="F10" s="53"/>
      <c r="G10" s="53" t="s">
        <v>201</v>
      </c>
      <c r="H10" s="53" t="s">
        <v>218</v>
      </c>
    </row>
    <row r="11" spans="2:11" x14ac:dyDescent="0.3">
      <c r="B11" s="52"/>
      <c r="C11" s="52"/>
      <c r="D11" s="53" t="s">
        <v>187</v>
      </c>
      <c r="E11" s="53" t="s">
        <v>194</v>
      </c>
      <c r="F11" s="53"/>
      <c r="G11" s="53" t="s">
        <v>202</v>
      </c>
      <c r="H11" s="53" t="s">
        <v>219</v>
      </c>
    </row>
    <row r="12" spans="2:11" x14ac:dyDescent="0.3">
      <c r="B12" s="52"/>
      <c r="C12" s="52"/>
      <c r="D12" s="53"/>
      <c r="E12" s="53"/>
      <c r="F12" s="53"/>
      <c r="G12" s="53" t="s">
        <v>203</v>
      </c>
      <c r="H12" s="53" t="s">
        <v>220</v>
      </c>
    </row>
    <row r="13" spans="2:11" x14ac:dyDescent="0.3">
      <c r="B13" s="52"/>
      <c r="C13" s="52"/>
      <c r="D13" s="53"/>
      <c r="E13" s="53"/>
      <c r="F13" s="53"/>
      <c r="G13" s="53" t="s">
        <v>204</v>
      </c>
      <c r="H13" s="53" t="s">
        <v>221</v>
      </c>
    </row>
    <row r="14" spans="2:11" x14ac:dyDescent="0.3">
      <c r="B14" s="52"/>
      <c r="C14" s="52"/>
      <c r="D14" s="53"/>
      <c r="E14" s="53"/>
      <c r="F14" s="53"/>
      <c r="G14" s="53" t="s">
        <v>205</v>
      </c>
      <c r="H14" s="53" t="s">
        <v>222</v>
      </c>
    </row>
    <row r="15" spans="2:11" x14ac:dyDescent="0.3">
      <c r="B15" s="52"/>
      <c r="C15" s="52"/>
      <c r="D15" s="53"/>
      <c r="E15" s="53"/>
      <c r="F15" s="53"/>
      <c r="G15" s="53" t="s">
        <v>206</v>
      </c>
      <c r="H15" s="53" t="s">
        <v>223</v>
      </c>
    </row>
    <row r="16" spans="2:11" x14ac:dyDescent="0.3">
      <c r="B16" s="52"/>
      <c r="C16" s="52"/>
      <c r="D16" s="53"/>
      <c r="E16" s="53"/>
      <c r="F16" s="53"/>
      <c r="G16" s="53" t="s">
        <v>207</v>
      </c>
      <c r="H16" s="53" t="s">
        <v>224</v>
      </c>
    </row>
    <row r="17" spans="2:8" x14ac:dyDescent="0.3">
      <c r="B17" s="52"/>
      <c r="C17" s="52"/>
      <c r="D17" s="53"/>
      <c r="E17" s="53"/>
      <c r="F17" s="53"/>
      <c r="G17" s="53" t="s">
        <v>208</v>
      </c>
      <c r="H17" s="53" t="s">
        <v>225</v>
      </c>
    </row>
    <row r="18" spans="2:8" x14ac:dyDescent="0.3">
      <c r="B18" s="52"/>
      <c r="C18" s="52"/>
      <c r="D18" s="53"/>
      <c r="E18" s="53"/>
      <c r="F18" s="53"/>
      <c r="G18" s="53" t="s">
        <v>209</v>
      </c>
      <c r="H18" s="53" t="s">
        <v>226</v>
      </c>
    </row>
    <row r="24" spans="2:8" x14ac:dyDescent="0.3">
      <c r="C24" t="s">
        <v>170</v>
      </c>
    </row>
    <row r="25" spans="2:8" x14ac:dyDescent="0.3">
      <c r="C25" t="s">
        <v>228</v>
      </c>
    </row>
    <row r="26" spans="2:8" x14ac:dyDescent="0.3">
      <c r="C26" t="s">
        <v>229</v>
      </c>
    </row>
    <row r="27" spans="2:8" x14ac:dyDescent="0.3">
      <c r="C27" t="s">
        <v>230</v>
      </c>
    </row>
    <row r="28" spans="2:8" x14ac:dyDescent="0.3">
      <c r="C28" t="s">
        <v>231</v>
      </c>
    </row>
    <row r="29" spans="2:8" x14ac:dyDescent="0.3">
      <c r="C29" t="s">
        <v>232</v>
      </c>
    </row>
    <row r="30" spans="2:8" x14ac:dyDescent="0.3">
      <c r="C30" t="s">
        <v>170</v>
      </c>
    </row>
    <row r="33" spans="3:11" x14ac:dyDescent="0.3">
      <c r="J33">
        <v>1</v>
      </c>
      <c r="K33">
        <v>2</v>
      </c>
    </row>
    <row r="34" spans="3:11" x14ac:dyDescent="0.3">
      <c r="C34" s="55" t="s">
        <v>237</v>
      </c>
      <c r="D34" s="53" t="s">
        <v>235</v>
      </c>
      <c r="E34" s="53" t="s">
        <v>240</v>
      </c>
      <c r="F34" s="53" t="s">
        <v>238</v>
      </c>
      <c r="G34" s="53" t="s">
        <v>239</v>
      </c>
      <c r="H34" s="53" t="s">
        <v>241</v>
      </c>
      <c r="J34" t="s">
        <v>195</v>
      </c>
      <c r="K34" t="s">
        <v>211</v>
      </c>
    </row>
    <row r="35" spans="3:11" x14ac:dyDescent="0.3">
      <c r="C35" s="52" t="s">
        <v>236</v>
      </c>
      <c r="D35" s="53" t="s">
        <v>171</v>
      </c>
      <c r="E35" s="53" t="s">
        <v>245</v>
      </c>
      <c r="F35" s="53" t="s">
        <v>247</v>
      </c>
      <c r="G35" s="53" t="s">
        <v>249</v>
      </c>
      <c r="H35" s="53"/>
    </row>
    <row r="36" spans="3:11" x14ac:dyDescent="0.3">
      <c r="C36" s="52"/>
      <c r="D36" s="53" t="s">
        <v>242</v>
      </c>
      <c r="E36" s="53" t="s">
        <v>246</v>
      </c>
      <c r="F36" s="53" t="s">
        <v>248</v>
      </c>
      <c r="G36" s="53" t="s">
        <v>250</v>
      </c>
      <c r="H36" s="53"/>
    </row>
    <row r="37" spans="3:11" x14ac:dyDescent="0.3">
      <c r="C37" s="52"/>
      <c r="D37" s="53" t="s">
        <v>243</v>
      </c>
      <c r="E37" s="53"/>
      <c r="F37" s="53"/>
      <c r="G37" s="53" t="s">
        <v>251</v>
      </c>
      <c r="H37" s="53"/>
    </row>
    <row r="38" spans="3:11" x14ac:dyDescent="0.3">
      <c r="C38" s="52"/>
      <c r="D38" s="53" t="s">
        <v>244</v>
      </c>
      <c r="E38" s="53"/>
      <c r="F38" s="53"/>
      <c r="G38" s="53" t="s">
        <v>251</v>
      </c>
      <c r="H38" s="53"/>
    </row>
    <row r="39" spans="3:11" x14ac:dyDescent="0.3">
      <c r="C39" s="52"/>
      <c r="D39" s="53"/>
      <c r="E39" s="53"/>
      <c r="F39" s="53"/>
      <c r="G39" s="53" t="s">
        <v>252</v>
      </c>
      <c r="H39" s="53"/>
    </row>
    <row r="40" spans="3:11" x14ac:dyDescent="0.3">
      <c r="C40" s="52"/>
      <c r="D40" s="53"/>
      <c r="E40" s="53"/>
      <c r="F40" s="53"/>
      <c r="G40" s="53" t="s">
        <v>253</v>
      </c>
      <c r="H40" s="53"/>
    </row>
    <row r="41" spans="3:11" x14ac:dyDescent="0.3">
      <c r="C41" s="52"/>
      <c r="D41" s="53"/>
      <c r="E41" s="53"/>
      <c r="F41" s="53"/>
      <c r="G41" s="53"/>
      <c r="H41" s="53"/>
    </row>
    <row r="43" spans="3:11" x14ac:dyDescent="0.3">
      <c r="C43" t="s">
        <v>254</v>
      </c>
    </row>
    <row r="44" spans="3:11" x14ac:dyDescent="0.3">
      <c r="C44" t="s">
        <v>173</v>
      </c>
      <c r="D44" t="s">
        <v>255</v>
      </c>
    </row>
    <row r="45" spans="3:11" x14ac:dyDescent="0.3">
      <c r="D45" t="s">
        <v>256</v>
      </c>
    </row>
    <row r="46" spans="3:11" x14ac:dyDescent="0.3">
      <c r="D46" t="s">
        <v>257</v>
      </c>
    </row>
    <row r="47" spans="3:11" x14ac:dyDescent="0.3">
      <c r="D47" t="s">
        <v>258</v>
      </c>
    </row>
    <row r="48" spans="3:11" x14ac:dyDescent="0.3">
      <c r="D48" t="s">
        <v>259</v>
      </c>
    </row>
    <row r="49" spans="3:4" x14ac:dyDescent="0.3">
      <c r="C49" t="s">
        <v>180</v>
      </c>
      <c r="D49" t="s">
        <v>260</v>
      </c>
    </row>
    <row r="50" spans="3:4" x14ac:dyDescent="0.3">
      <c r="D50" t="s">
        <v>261</v>
      </c>
    </row>
    <row r="51" spans="3:4" x14ac:dyDescent="0.3">
      <c r="D51" t="s">
        <v>262</v>
      </c>
    </row>
    <row r="52" spans="3:4" x14ac:dyDescent="0.3">
      <c r="D52" t="s">
        <v>265</v>
      </c>
    </row>
    <row r="53" spans="3:4" x14ac:dyDescent="0.3">
      <c r="D53" t="s">
        <v>263</v>
      </c>
    </row>
    <row r="54" spans="3:4" x14ac:dyDescent="0.3">
      <c r="D54" t="s">
        <v>264</v>
      </c>
    </row>
    <row r="55" spans="3:4" x14ac:dyDescent="0.3">
      <c r="D55" t="s">
        <v>266</v>
      </c>
    </row>
    <row r="56" spans="3:4" x14ac:dyDescent="0.3">
      <c r="D56" t="s">
        <v>267</v>
      </c>
    </row>
    <row r="57" spans="3:4" x14ac:dyDescent="0.3">
      <c r="D57" t="s">
        <v>268</v>
      </c>
    </row>
    <row r="58" spans="3:4" x14ac:dyDescent="0.3">
      <c r="D58" t="s">
        <v>270</v>
      </c>
    </row>
    <row r="59" spans="3:4" x14ac:dyDescent="0.3">
      <c r="D59" t="s">
        <v>279</v>
      </c>
    </row>
    <row r="60" spans="3:4" x14ac:dyDescent="0.3">
      <c r="C60" t="s">
        <v>195</v>
      </c>
      <c r="D60" t="s">
        <v>271</v>
      </c>
    </row>
    <row r="61" spans="3:4" x14ac:dyDescent="0.3">
      <c r="D61" t="s">
        <v>269</v>
      </c>
    </row>
    <row r="62" spans="3:4" x14ac:dyDescent="0.3">
      <c r="D62" t="s">
        <v>259</v>
      </c>
    </row>
    <row r="63" spans="3:4" x14ac:dyDescent="0.3">
      <c r="D63" t="s">
        <v>272</v>
      </c>
    </row>
    <row r="64" spans="3:4" x14ac:dyDescent="0.3">
      <c r="D64" t="s">
        <v>273</v>
      </c>
    </row>
    <row r="65" spans="3:4" x14ac:dyDescent="0.3">
      <c r="D65" t="s">
        <v>274</v>
      </c>
    </row>
    <row r="66" spans="3:4" x14ac:dyDescent="0.3">
      <c r="D66" t="s">
        <v>275</v>
      </c>
    </row>
    <row r="67" spans="3:4" x14ac:dyDescent="0.3">
      <c r="C67" t="s">
        <v>190</v>
      </c>
      <c r="D67" t="s">
        <v>276</v>
      </c>
    </row>
    <row r="68" spans="3:4" x14ac:dyDescent="0.3">
      <c r="D68" t="s">
        <v>277</v>
      </c>
    </row>
    <row r="69" spans="3:4" x14ac:dyDescent="0.3">
      <c r="D69" t="s">
        <v>278</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workbookViewId="0">
      <selection sqref="A1:XFD1048576"/>
    </sheetView>
  </sheetViews>
  <sheetFormatPr defaultRowHeight="14.4" x14ac:dyDescent="0.3"/>
  <cols>
    <col min="2" max="2" width="3" bestFit="1" customWidth="1"/>
    <col min="3" max="3" width="155.33203125" customWidth="1"/>
  </cols>
  <sheetData>
    <row r="2" spans="2:3" ht="15" customHeight="1" x14ac:dyDescent="0.3">
      <c r="B2" s="56">
        <v>1</v>
      </c>
      <c r="C2" s="58" t="s">
        <v>283</v>
      </c>
    </row>
    <row r="3" spans="2:3" x14ac:dyDescent="0.3">
      <c r="B3" s="56">
        <v>2</v>
      </c>
      <c r="C3" s="57" t="s">
        <v>284</v>
      </c>
    </row>
    <row r="4" spans="2:3" x14ac:dyDescent="0.3">
      <c r="B4" s="56">
        <v>3</v>
      </c>
      <c r="C4" s="56" t="s">
        <v>285</v>
      </c>
    </row>
    <row r="5" spans="2:3" x14ac:dyDescent="0.3">
      <c r="B5" s="56">
        <v>4</v>
      </c>
      <c r="C5" s="57" t="s">
        <v>286</v>
      </c>
    </row>
    <row r="6" spans="2:3" x14ac:dyDescent="0.3">
      <c r="B6" s="56">
        <v>5</v>
      </c>
      <c r="C6" s="56" t="s">
        <v>287</v>
      </c>
    </row>
    <row r="7" spans="2:3" x14ac:dyDescent="0.3">
      <c r="B7" s="56">
        <v>6</v>
      </c>
      <c r="C7" s="57" t="s">
        <v>288</v>
      </c>
    </row>
    <row r="8" spans="2:3" ht="72" x14ac:dyDescent="0.3">
      <c r="B8" s="56">
        <v>7</v>
      </c>
      <c r="C8" s="57" t="s">
        <v>289</v>
      </c>
    </row>
    <row r="9" spans="2:3" x14ac:dyDescent="0.3">
      <c r="B9" s="56">
        <v>8</v>
      </c>
      <c r="C9" s="56" t="s">
        <v>290</v>
      </c>
    </row>
    <row r="10" spans="2:3" x14ac:dyDescent="0.3">
      <c r="B10" s="56">
        <v>9</v>
      </c>
      <c r="C10" s="56" t="s">
        <v>291</v>
      </c>
    </row>
    <row r="11" spans="2:3" x14ac:dyDescent="0.3">
      <c r="B11" s="56">
        <v>10</v>
      </c>
      <c r="C11" s="56" t="s">
        <v>292</v>
      </c>
    </row>
    <row r="12" spans="2:3" x14ac:dyDescent="0.3">
      <c r="B12" s="56">
        <v>11</v>
      </c>
      <c r="C12" s="56" t="s">
        <v>293</v>
      </c>
    </row>
    <row r="13" spans="2:3" x14ac:dyDescent="0.3">
      <c r="B13" s="56">
        <v>12</v>
      </c>
      <c r="C13" s="56" t="s">
        <v>294</v>
      </c>
    </row>
    <row r="14" spans="2:3" x14ac:dyDescent="0.3">
      <c r="B14" s="56">
        <v>13</v>
      </c>
      <c r="C14" s="56" t="s">
        <v>295</v>
      </c>
    </row>
    <row r="15" spans="2:3" x14ac:dyDescent="0.3">
      <c r="B15" s="56">
        <v>14</v>
      </c>
      <c r="C15" s="56" t="s">
        <v>285</v>
      </c>
    </row>
    <row r="16" spans="2:3" x14ac:dyDescent="0.3">
      <c r="B16" s="56">
        <v>15</v>
      </c>
      <c r="C16" s="56" t="s">
        <v>297</v>
      </c>
    </row>
    <row r="17" spans="2:3" x14ac:dyDescent="0.3">
      <c r="B17" s="76">
        <v>16</v>
      </c>
      <c r="C17" s="61" t="s">
        <v>298</v>
      </c>
    </row>
    <row r="18" spans="2:3" x14ac:dyDescent="0.3">
      <c r="B18" s="60">
        <v>17</v>
      </c>
      <c r="C18" s="61" t="s">
        <v>299</v>
      </c>
    </row>
    <row r="19" spans="2:3" x14ac:dyDescent="0.3">
      <c r="B19" s="59">
        <v>18</v>
      </c>
      <c r="C19" s="56" t="s">
        <v>300</v>
      </c>
    </row>
    <row r="20" spans="2:3" x14ac:dyDescent="0.3">
      <c r="B20" s="60">
        <v>19</v>
      </c>
      <c r="C20" s="56" t="s">
        <v>336</v>
      </c>
    </row>
    <row r="21" spans="2:3" x14ac:dyDescent="0.3">
      <c r="B21" s="56">
        <v>20</v>
      </c>
      <c r="C21" s="56" t="s">
        <v>301</v>
      </c>
    </row>
    <row r="22" spans="2:3" x14ac:dyDescent="0.3">
      <c r="B22" s="60">
        <v>21</v>
      </c>
      <c r="C22" s="56" t="s">
        <v>300</v>
      </c>
    </row>
    <row r="23" spans="2:3" s="71" customFormat="1" ht="29.25" customHeight="1" x14ac:dyDescent="0.3">
      <c r="B23" s="70">
        <v>22</v>
      </c>
      <c r="C23" s="58" t="s">
        <v>328</v>
      </c>
    </row>
    <row r="24" spans="2:3" s="71" customFormat="1" ht="30.75" customHeight="1" x14ac:dyDescent="0.3">
      <c r="B24" s="72">
        <v>23</v>
      </c>
      <c r="C24" s="58" t="s">
        <v>329</v>
      </c>
    </row>
    <row r="25" spans="2:3" x14ac:dyDescent="0.3">
      <c r="B25" s="56">
        <v>24</v>
      </c>
      <c r="C25" s="56" t="s">
        <v>332</v>
      </c>
    </row>
    <row r="26" spans="2:3" x14ac:dyDescent="0.3">
      <c r="B26" s="60">
        <v>25</v>
      </c>
      <c r="C26" s="56" t="s">
        <v>330</v>
      </c>
    </row>
    <row r="27" spans="2:3" x14ac:dyDescent="0.3">
      <c r="B27" s="72">
        <v>26</v>
      </c>
      <c r="C27" s="56" t="s">
        <v>331</v>
      </c>
    </row>
    <row r="28" spans="2:3" x14ac:dyDescent="0.3">
      <c r="B28" s="60">
        <v>27</v>
      </c>
      <c r="C28" s="56" t="s">
        <v>333</v>
      </c>
    </row>
    <row r="29" spans="2:3" ht="43.2" x14ac:dyDescent="0.3">
      <c r="B29" s="75">
        <v>28</v>
      </c>
      <c r="C29" s="57" t="s">
        <v>334</v>
      </c>
    </row>
    <row r="30" spans="2:3" x14ac:dyDescent="0.3">
      <c r="B30" s="72">
        <v>29</v>
      </c>
      <c r="C30" s="56" t="s">
        <v>335</v>
      </c>
    </row>
    <row r="31" spans="2:3" ht="28.8" x14ac:dyDescent="0.3">
      <c r="B31" s="72">
        <v>30</v>
      </c>
      <c r="C31" s="57" t="s">
        <v>337</v>
      </c>
    </row>
    <row r="32" spans="2:3" x14ac:dyDescent="0.3">
      <c r="B32" s="72">
        <v>31</v>
      </c>
      <c r="C32" s="56" t="s">
        <v>338</v>
      </c>
    </row>
    <row r="33" spans="2:3" x14ac:dyDescent="0.3">
      <c r="B33" s="72">
        <v>32</v>
      </c>
      <c r="C33" s="56" t="s">
        <v>339</v>
      </c>
    </row>
    <row r="34" spans="2:3" ht="36.75" customHeight="1" x14ac:dyDescent="0.3">
      <c r="B34" s="72">
        <v>33</v>
      </c>
      <c r="C34" s="61" t="s">
        <v>340</v>
      </c>
    </row>
    <row r="35" spans="2:3" x14ac:dyDescent="0.3">
      <c r="B35" s="70">
        <v>34</v>
      </c>
      <c r="C35" s="56" t="s">
        <v>349</v>
      </c>
    </row>
    <row r="36" spans="2:3" ht="57.6" x14ac:dyDescent="0.3">
      <c r="B36" s="70">
        <v>35</v>
      </c>
      <c r="C36" s="57" t="s">
        <v>353</v>
      </c>
    </row>
    <row r="37" spans="2:3" x14ac:dyDescent="0.3">
      <c r="B37" s="56"/>
      <c r="C37" s="56"/>
    </row>
    <row r="38" spans="2:3" x14ac:dyDescent="0.3">
      <c r="B38" s="56"/>
      <c r="C38" s="56"/>
    </row>
    <row r="39" spans="2:3" x14ac:dyDescent="0.3">
      <c r="B39" s="56"/>
      <c r="C39" s="56"/>
    </row>
    <row r="40" spans="2:3" x14ac:dyDescent="0.3">
      <c r="B40" s="56"/>
      <c r="C40" s="56"/>
    </row>
    <row r="41" spans="2:3" x14ac:dyDescent="0.3">
      <c r="B41" s="56"/>
      <c r="C41" s="56"/>
    </row>
    <row r="42" spans="2:3" x14ac:dyDescent="0.3">
      <c r="B42" s="56"/>
      <c r="C42" s="56"/>
    </row>
    <row r="43" spans="2:3" x14ac:dyDescent="0.3">
      <c r="B43" s="56"/>
      <c r="C43" s="56"/>
    </row>
    <row r="44" spans="2:3" x14ac:dyDescent="0.3">
      <c r="B44" s="56"/>
      <c r="C44"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52"/>
    <col min="2" max="2" width="12.33203125" style="52" customWidth="1"/>
    <col min="3" max="16384" width="9.109375" style="52"/>
  </cols>
  <sheetData>
    <row r="2" spans="1:12" x14ac:dyDescent="0.3">
      <c r="B2" s="64" t="s">
        <v>302</v>
      </c>
      <c r="C2" s="286"/>
      <c r="D2" s="286"/>
    </row>
    <row r="3" spans="1:12" x14ac:dyDescent="0.3">
      <c r="D3" s="65"/>
      <c r="E3" s="65"/>
      <c r="F3" s="65"/>
      <c r="G3" s="65"/>
      <c r="H3" s="65"/>
      <c r="I3" s="65"/>
    </row>
    <row r="4" spans="1:12" x14ac:dyDescent="0.3">
      <c r="A4" s="64" t="s">
        <v>66</v>
      </c>
      <c r="B4" s="66" t="s">
        <v>303</v>
      </c>
      <c r="C4" s="287" t="s">
        <v>304</v>
      </c>
      <c r="D4" s="287"/>
      <c r="E4" s="287"/>
      <c r="F4" s="66"/>
      <c r="G4" s="288" t="s">
        <v>305</v>
      </c>
      <c r="H4" s="288"/>
      <c r="I4" s="288"/>
      <c r="J4" s="289" t="s">
        <v>306</v>
      </c>
      <c r="K4" s="289"/>
      <c r="L4" s="289"/>
    </row>
    <row r="5" spans="1:12" x14ac:dyDescent="0.3">
      <c r="A5" s="64"/>
      <c r="B5" s="66"/>
      <c r="C5" s="66" t="s">
        <v>307</v>
      </c>
      <c r="D5" s="66" t="s">
        <v>308</v>
      </c>
      <c r="E5" s="66" t="s">
        <v>309</v>
      </c>
      <c r="F5" s="66"/>
      <c r="G5" s="66" t="s">
        <v>307</v>
      </c>
      <c r="H5" s="66" t="s">
        <v>308</v>
      </c>
      <c r="I5" s="66" t="s">
        <v>309</v>
      </c>
      <c r="J5" s="66" t="s">
        <v>307</v>
      </c>
      <c r="K5" s="66" t="s">
        <v>308</v>
      </c>
      <c r="L5" s="66" t="s">
        <v>309</v>
      </c>
    </row>
    <row r="6" spans="1:12" x14ac:dyDescent="0.3">
      <c r="B6" s="53" t="s">
        <v>310</v>
      </c>
      <c r="C6" s="53"/>
      <c r="D6" s="53"/>
      <c r="E6" s="53">
        <f>C6*D6</f>
        <v>0</v>
      </c>
      <c r="F6" s="53" t="s">
        <v>327</v>
      </c>
      <c r="G6" s="53"/>
      <c r="H6" s="53"/>
      <c r="I6" s="53">
        <f>G6*H6</f>
        <v>0</v>
      </c>
      <c r="J6" s="53"/>
      <c r="K6" s="53"/>
      <c r="L6" s="53">
        <f>J6*K6</f>
        <v>0</v>
      </c>
    </row>
    <row r="7" spans="1:12" x14ac:dyDescent="0.3">
      <c r="B7" s="53"/>
      <c r="C7" s="53"/>
      <c r="D7" s="53"/>
      <c r="E7" s="53">
        <f t="shared" ref="E7:E41" si="0">C7*D7</f>
        <v>0</v>
      </c>
      <c r="F7" s="53" t="s">
        <v>327</v>
      </c>
      <c r="G7" s="53"/>
      <c r="H7" s="53"/>
      <c r="I7" s="53">
        <f t="shared" ref="I7:I35" si="1">G7*H7</f>
        <v>0</v>
      </c>
      <c r="J7" s="53"/>
      <c r="K7" s="53"/>
      <c r="L7" s="53">
        <f t="shared" ref="L7:L35" si="2">J7*K7</f>
        <v>0</v>
      </c>
    </row>
    <row r="8" spans="1:12" x14ac:dyDescent="0.3">
      <c r="B8" s="53"/>
      <c r="C8" s="53"/>
      <c r="D8" s="53"/>
      <c r="E8" s="53">
        <f t="shared" si="0"/>
        <v>0</v>
      </c>
      <c r="F8" s="53"/>
      <c r="G8" s="53"/>
      <c r="H8" s="53"/>
      <c r="I8" s="53">
        <f t="shared" si="1"/>
        <v>0</v>
      </c>
      <c r="J8" s="53"/>
      <c r="K8" s="53"/>
      <c r="L8" s="53">
        <f t="shared" si="2"/>
        <v>0</v>
      </c>
    </row>
    <row r="9" spans="1:12" x14ac:dyDescent="0.3">
      <c r="B9" s="53"/>
      <c r="C9" s="53"/>
      <c r="D9" s="53"/>
      <c r="E9" s="53">
        <f t="shared" si="0"/>
        <v>0</v>
      </c>
      <c r="F9" s="53" t="s">
        <v>311</v>
      </c>
      <c r="G9" s="53"/>
      <c r="H9" s="53"/>
      <c r="I9" s="53">
        <f t="shared" si="1"/>
        <v>0</v>
      </c>
      <c r="J9" s="53"/>
      <c r="K9" s="53"/>
      <c r="L9" s="53">
        <f t="shared" si="2"/>
        <v>0</v>
      </c>
    </row>
    <row r="10" spans="1:12" x14ac:dyDescent="0.3">
      <c r="B10" s="53" t="s">
        <v>312</v>
      </c>
      <c r="C10" s="53"/>
      <c r="D10" s="53"/>
      <c r="E10" s="53">
        <f t="shared" si="0"/>
        <v>0</v>
      </c>
      <c r="F10" s="53" t="s">
        <v>311</v>
      </c>
      <c r="G10" s="53"/>
      <c r="H10" s="53"/>
      <c r="I10" s="53">
        <f t="shared" si="1"/>
        <v>0</v>
      </c>
      <c r="J10" s="53"/>
      <c r="K10" s="53"/>
      <c r="L10" s="53">
        <f t="shared" si="2"/>
        <v>0</v>
      </c>
    </row>
    <row r="11" spans="1:12" x14ac:dyDescent="0.3">
      <c r="B11" s="53"/>
      <c r="C11" s="53"/>
      <c r="D11" s="53"/>
      <c r="E11" s="53">
        <f t="shared" si="0"/>
        <v>0</v>
      </c>
      <c r="F11" s="53" t="s">
        <v>313</v>
      </c>
      <c r="G11" s="53"/>
      <c r="H11" s="53"/>
      <c r="I11" s="53">
        <f t="shared" si="1"/>
        <v>0</v>
      </c>
      <c r="J11" s="53"/>
      <c r="K11" s="53"/>
      <c r="L11" s="53">
        <f t="shared" si="2"/>
        <v>0</v>
      </c>
    </row>
    <row r="12" spans="1:12" x14ac:dyDescent="0.3">
      <c r="B12" s="53"/>
      <c r="C12" s="53"/>
      <c r="D12" s="53"/>
      <c r="E12" s="53">
        <f t="shared" si="0"/>
        <v>0</v>
      </c>
      <c r="F12" s="53"/>
      <c r="G12" s="53"/>
      <c r="H12" s="53"/>
      <c r="I12" s="53">
        <f t="shared" si="1"/>
        <v>0</v>
      </c>
      <c r="J12" s="53"/>
      <c r="K12" s="53"/>
      <c r="L12" s="53">
        <f t="shared" si="2"/>
        <v>0</v>
      </c>
    </row>
    <row r="13" spans="1:12" x14ac:dyDescent="0.3">
      <c r="B13" s="53"/>
      <c r="C13" s="53"/>
      <c r="D13" s="53"/>
      <c r="E13" s="53">
        <f t="shared" si="0"/>
        <v>0</v>
      </c>
      <c r="F13" s="53"/>
      <c r="G13" s="53"/>
      <c r="H13" s="53"/>
      <c r="I13" s="53">
        <f t="shared" si="1"/>
        <v>0</v>
      </c>
      <c r="J13" s="53"/>
      <c r="K13" s="53"/>
      <c r="L13" s="53">
        <f t="shared" si="2"/>
        <v>0</v>
      </c>
    </row>
    <row r="14" spans="1:12" x14ac:dyDescent="0.3">
      <c r="B14" s="53" t="s">
        <v>314</v>
      </c>
      <c r="C14" s="53"/>
      <c r="D14" s="53"/>
      <c r="E14" s="53">
        <f t="shared" si="0"/>
        <v>0</v>
      </c>
      <c r="F14" s="53" t="s">
        <v>311</v>
      </c>
      <c r="G14" s="53"/>
      <c r="H14" s="53"/>
      <c r="I14" s="53">
        <f t="shared" si="1"/>
        <v>0</v>
      </c>
      <c r="J14" s="53"/>
      <c r="K14" s="53"/>
      <c r="L14" s="53">
        <f t="shared" si="2"/>
        <v>0</v>
      </c>
    </row>
    <row r="15" spans="1:12" x14ac:dyDescent="0.3">
      <c r="B15" s="53"/>
      <c r="C15" s="53"/>
      <c r="D15" s="53"/>
      <c r="E15" s="53">
        <f t="shared" si="0"/>
        <v>0</v>
      </c>
      <c r="F15" s="53" t="s">
        <v>313</v>
      </c>
      <c r="G15" s="53"/>
      <c r="H15" s="53"/>
      <c r="I15" s="53">
        <f t="shared" si="1"/>
        <v>0</v>
      </c>
      <c r="J15" s="53"/>
      <c r="K15" s="53"/>
      <c r="L15" s="53">
        <f t="shared" si="2"/>
        <v>0</v>
      </c>
    </row>
    <row r="16" spans="1:12" x14ac:dyDescent="0.3">
      <c r="B16" s="53"/>
      <c r="C16" s="53"/>
      <c r="D16" s="53"/>
      <c r="E16" s="53">
        <f t="shared" si="0"/>
        <v>0</v>
      </c>
      <c r="F16" s="53"/>
      <c r="G16" s="53"/>
      <c r="H16" s="53"/>
      <c r="I16" s="53">
        <f t="shared" si="1"/>
        <v>0</v>
      </c>
      <c r="J16" s="53"/>
      <c r="K16" s="53"/>
      <c r="L16" s="53">
        <f t="shared" si="2"/>
        <v>0</v>
      </c>
    </row>
    <row r="17" spans="2:12" x14ac:dyDescent="0.3">
      <c r="B17" s="53"/>
      <c r="C17" s="53"/>
      <c r="D17" s="53"/>
      <c r="E17" s="53">
        <f t="shared" si="0"/>
        <v>0</v>
      </c>
      <c r="F17" s="53"/>
      <c r="G17" s="53"/>
      <c r="H17" s="53"/>
      <c r="I17" s="53">
        <f t="shared" si="1"/>
        <v>0</v>
      </c>
      <c r="J17" s="53"/>
      <c r="K17" s="53"/>
      <c r="L17" s="53">
        <f t="shared" si="2"/>
        <v>0</v>
      </c>
    </row>
    <row r="18" spans="2:12" x14ac:dyDescent="0.3">
      <c r="B18" s="53" t="s">
        <v>315</v>
      </c>
      <c r="C18" s="53"/>
      <c r="D18" s="53"/>
      <c r="E18" s="53">
        <f t="shared" si="0"/>
        <v>0</v>
      </c>
      <c r="F18" s="53" t="s">
        <v>311</v>
      </c>
      <c r="G18" s="53"/>
      <c r="H18" s="53"/>
      <c r="I18" s="53">
        <f t="shared" si="1"/>
        <v>0</v>
      </c>
      <c r="J18" s="53"/>
      <c r="K18" s="53"/>
      <c r="L18" s="53">
        <f t="shared" si="2"/>
        <v>0</v>
      </c>
    </row>
    <row r="19" spans="2:12" x14ac:dyDescent="0.3">
      <c r="B19" s="53"/>
      <c r="C19" s="53"/>
      <c r="D19" s="53"/>
      <c r="E19" s="53">
        <f t="shared" si="0"/>
        <v>0</v>
      </c>
      <c r="F19" s="53" t="s">
        <v>313</v>
      </c>
      <c r="G19" s="53"/>
      <c r="H19" s="53"/>
      <c r="I19" s="53">
        <f t="shared" si="1"/>
        <v>0</v>
      </c>
      <c r="J19" s="53"/>
      <c r="K19" s="53"/>
      <c r="L19" s="53">
        <f t="shared" si="2"/>
        <v>0</v>
      </c>
    </row>
    <row r="20" spans="2:12" x14ac:dyDescent="0.3">
      <c r="B20" s="53"/>
      <c r="C20" s="53"/>
      <c r="D20" s="53"/>
      <c r="E20" s="53">
        <f t="shared" si="0"/>
        <v>0</v>
      </c>
      <c r="F20" s="53"/>
      <c r="G20" s="53"/>
      <c r="H20" s="53"/>
      <c r="I20" s="53">
        <f t="shared" si="1"/>
        <v>0</v>
      </c>
      <c r="J20" s="53"/>
      <c r="K20" s="53"/>
      <c r="L20" s="53">
        <f t="shared" si="2"/>
        <v>0</v>
      </c>
    </row>
    <row r="21" spans="2:12" x14ac:dyDescent="0.3">
      <c r="B21" s="53" t="s">
        <v>316</v>
      </c>
      <c r="C21" s="53"/>
      <c r="D21" s="53"/>
      <c r="E21" s="53">
        <f t="shared" si="0"/>
        <v>0</v>
      </c>
      <c r="F21" s="53" t="s">
        <v>311</v>
      </c>
      <c r="G21" s="53"/>
      <c r="H21" s="53"/>
      <c r="I21" s="53">
        <f t="shared" si="1"/>
        <v>0</v>
      </c>
      <c r="J21" s="53"/>
      <c r="K21" s="53"/>
      <c r="L21" s="53">
        <f t="shared" si="2"/>
        <v>0</v>
      </c>
    </row>
    <row r="22" spans="2:12" x14ac:dyDescent="0.3">
      <c r="B22" s="53"/>
      <c r="C22" s="53"/>
      <c r="D22" s="53"/>
      <c r="E22" s="53">
        <f t="shared" si="0"/>
        <v>0</v>
      </c>
      <c r="F22" s="53" t="s">
        <v>313</v>
      </c>
      <c r="G22" s="53"/>
      <c r="H22" s="53"/>
      <c r="I22" s="53">
        <f t="shared" si="1"/>
        <v>0</v>
      </c>
      <c r="J22" s="53"/>
      <c r="K22" s="53"/>
      <c r="L22" s="53">
        <f t="shared" si="2"/>
        <v>0</v>
      </c>
    </row>
    <row r="23" spans="2:12" x14ac:dyDescent="0.3">
      <c r="B23" s="53"/>
      <c r="C23" s="53"/>
      <c r="D23" s="53"/>
      <c r="E23" s="53">
        <f t="shared" si="0"/>
        <v>0</v>
      </c>
      <c r="F23" s="53"/>
      <c r="G23" s="53"/>
      <c r="H23" s="53"/>
      <c r="I23" s="53">
        <f t="shared" si="1"/>
        <v>0</v>
      </c>
      <c r="J23" s="53"/>
      <c r="K23" s="53"/>
      <c r="L23" s="53">
        <f t="shared" si="2"/>
        <v>0</v>
      </c>
    </row>
    <row r="24" spans="2:12" x14ac:dyDescent="0.3">
      <c r="B24" s="53" t="s">
        <v>317</v>
      </c>
      <c r="C24" s="53"/>
      <c r="D24" s="53"/>
      <c r="E24" s="53">
        <f t="shared" si="0"/>
        <v>0</v>
      </c>
      <c r="F24" s="53" t="s">
        <v>318</v>
      </c>
      <c r="G24" s="53"/>
      <c r="H24" s="53"/>
      <c r="I24" s="53">
        <f t="shared" si="1"/>
        <v>0</v>
      </c>
      <c r="J24" s="53"/>
      <c r="K24" s="53"/>
      <c r="L24" s="53">
        <f t="shared" si="2"/>
        <v>0</v>
      </c>
    </row>
    <row r="25" spans="2:12" x14ac:dyDescent="0.3">
      <c r="B25" s="53"/>
      <c r="C25" s="53"/>
      <c r="D25" s="53"/>
      <c r="E25" s="53">
        <f>C25*D25</f>
        <v>0</v>
      </c>
      <c r="F25" s="53" t="s">
        <v>318</v>
      </c>
      <c r="G25" s="53"/>
      <c r="H25" s="53"/>
      <c r="I25" s="53">
        <f>G25*H25</f>
        <v>0</v>
      </c>
      <c r="J25" s="53"/>
      <c r="K25" s="53"/>
      <c r="L25" s="53">
        <f>J25*K25</f>
        <v>0</v>
      </c>
    </row>
    <row r="26" spans="2:12" x14ac:dyDescent="0.3">
      <c r="B26" s="53"/>
      <c r="C26" s="53"/>
      <c r="D26" s="53"/>
      <c r="E26" s="53">
        <f>C26*D26</f>
        <v>0</v>
      </c>
      <c r="F26" s="53" t="s">
        <v>318</v>
      </c>
      <c r="G26" s="53"/>
      <c r="H26" s="53"/>
      <c r="I26" s="53">
        <f>G26*H26</f>
        <v>0</v>
      </c>
      <c r="J26" s="53"/>
      <c r="K26" s="53"/>
      <c r="L26" s="53">
        <f>J26*K26</f>
        <v>0</v>
      </c>
    </row>
    <row r="27" spans="2:12" x14ac:dyDescent="0.3">
      <c r="B27" s="53"/>
      <c r="C27" s="53"/>
      <c r="D27" s="53"/>
      <c r="E27" s="53">
        <f>C27*D27</f>
        <v>0</v>
      </c>
      <c r="F27" s="53" t="s">
        <v>318</v>
      </c>
      <c r="G27" s="53"/>
      <c r="H27" s="53"/>
      <c r="I27" s="53">
        <f>G27*H27</f>
        <v>0</v>
      </c>
      <c r="J27" s="53"/>
      <c r="K27" s="53"/>
      <c r="L27" s="53">
        <f>J27*K27</f>
        <v>0</v>
      </c>
    </row>
    <row r="28" spans="2:12" x14ac:dyDescent="0.3">
      <c r="B28" s="53" t="s">
        <v>319</v>
      </c>
      <c r="C28" s="53"/>
      <c r="D28" s="53"/>
      <c r="E28" s="53">
        <f t="shared" si="0"/>
        <v>0</v>
      </c>
      <c r="F28" s="53" t="s">
        <v>318</v>
      </c>
      <c r="G28" s="53"/>
      <c r="H28" s="53"/>
      <c r="I28" s="53">
        <f t="shared" si="1"/>
        <v>0</v>
      </c>
      <c r="J28" s="53"/>
      <c r="K28" s="53"/>
      <c r="L28" s="53">
        <f t="shared" si="2"/>
        <v>0</v>
      </c>
    </row>
    <row r="29" spans="2:12" x14ac:dyDescent="0.3">
      <c r="B29" s="53" t="s">
        <v>320</v>
      </c>
      <c r="C29" s="53"/>
      <c r="D29" s="53"/>
      <c r="E29" s="53">
        <f t="shared" si="0"/>
        <v>0</v>
      </c>
      <c r="F29" s="53" t="s">
        <v>318</v>
      </c>
      <c r="G29" s="53"/>
      <c r="H29" s="53"/>
      <c r="I29" s="53">
        <f t="shared" si="1"/>
        <v>0</v>
      </c>
      <c r="J29" s="53"/>
      <c r="K29" s="53"/>
      <c r="L29" s="53">
        <f t="shared" si="2"/>
        <v>0</v>
      </c>
    </row>
    <row r="30" spans="2:12" x14ac:dyDescent="0.3">
      <c r="B30" s="53" t="s">
        <v>324</v>
      </c>
      <c r="C30" s="53"/>
      <c r="D30" s="53"/>
      <c r="E30" s="53">
        <f t="shared" si="0"/>
        <v>0</v>
      </c>
      <c r="F30" s="53"/>
      <c r="G30" s="53"/>
      <c r="H30" s="53"/>
      <c r="I30" s="53">
        <f t="shared" si="1"/>
        <v>0</v>
      </c>
      <c r="J30" s="53"/>
      <c r="K30" s="53"/>
      <c r="L30" s="53">
        <f t="shared" si="2"/>
        <v>0</v>
      </c>
    </row>
    <row r="31" spans="2:12" x14ac:dyDescent="0.3">
      <c r="B31" s="53"/>
      <c r="C31" s="53"/>
      <c r="D31" s="53"/>
      <c r="E31" s="53">
        <f>C31*D31</f>
        <v>0</v>
      </c>
      <c r="F31" s="53"/>
      <c r="G31" s="53"/>
      <c r="H31" s="53"/>
      <c r="I31" s="53">
        <f>G31*H31</f>
        <v>0</v>
      </c>
      <c r="J31" s="53"/>
      <c r="K31" s="53"/>
      <c r="L31" s="53">
        <f>J31*K31</f>
        <v>0</v>
      </c>
    </row>
    <row r="32" spans="2:12" x14ac:dyDescent="0.3">
      <c r="B32" s="53"/>
      <c r="C32" s="53"/>
      <c r="D32" s="53"/>
      <c r="E32" s="53">
        <f>C32*D32</f>
        <v>0</v>
      </c>
      <c r="F32" s="53"/>
      <c r="G32" s="53"/>
      <c r="H32" s="53"/>
      <c r="I32" s="53">
        <f>G32*H32</f>
        <v>0</v>
      </c>
      <c r="J32" s="53"/>
      <c r="K32" s="53"/>
      <c r="L32" s="53">
        <f>J32*K32</f>
        <v>0</v>
      </c>
    </row>
    <row r="33" spans="2:12" x14ac:dyDescent="0.3">
      <c r="B33" s="53" t="s">
        <v>321</v>
      </c>
      <c r="C33" s="53"/>
      <c r="D33" s="53"/>
      <c r="E33" s="53">
        <f t="shared" si="0"/>
        <v>0</v>
      </c>
      <c r="F33" s="53"/>
      <c r="G33" s="53"/>
      <c r="H33" s="53"/>
      <c r="I33" s="53">
        <f t="shared" si="1"/>
        <v>0</v>
      </c>
      <c r="J33" s="53"/>
      <c r="K33" s="53"/>
      <c r="L33" s="53">
        <f t="shared" si="2"/>
        <v>0</v>
      </c>
    </row>
    <row r="34" spans="2:12" x14ac:dyDescent="0.3">
      <c r="B34" s="53" t="s">
        <v>325</v>
      </c>
      <c r="C34" s="53"/>
      <c r="D34" s="53"/>
      <c r="E34" s="53">
        <f t="shared" si="0"/>
        <v>0</v>
      </c>
      <c r="F34" s="53"/>
      <c r="G34" s="53"/>
      <c r="H34" s="53"/>
      <c r="I34" s="53">
        <f t="shared" si="1"/>
        <v>0</v>
      </c>
      <c r="J34" s="53"/>
      <c r="K34" s="53"/>
      <c r="L34" s="53">
        <f t="shared" si="2"/>
        <v>0</v>
      </c>
    </row>
    <row r="35" spans="2:12" x14ac:dyDescent="0.3">
      <c r="B35" s="53" t="s">
        <v>322</v>
      </c>
      <c r="C35" s="53"/>
      <c r="D35" s="53"/>
      <c r="E35" s="53">
        <f t="shared" si="0"/>
        <v>0</v>
      </c>
      <c r="F35" s="53"/>
      <c r="G35" s="53"/>
      <c r="H35" s="53"/>
      <c r="I35" s="53">
        <f t="shared" si="1"/>
        <v>0</v>
      </c>
      <c r="J35" s="53"/>
      <c r="K35" s="53"/>
      <c r="L35" s="53">
        <f t="shared" si="2"/>
        <v>0</v>
      </c>
    </row>
    <row r="36" spans="2:12" x14ac:dyDescent="0.3">
      <c r="B36" s="53" t="s">
        <v>323</v>
      </c>
      <c r="C36" s="53"/>
      <c r="D36" s="53"/>
      <c r="E36" s="53">
        <f t="shared" si="0"/>
        <v>0</v>
      </c>
      <c r="F36" s="53"/>
      <c r="G36" s="53"/>
      <c r="H36" s="53"/>
      <c r="I36" s="53">
        <f t="shared" ref="I36:I41" si="3">G36*H36</f>
        <v>0</v>
      </c>
      <c r="J36" s="53"/>
      <c r="K36" s="53"/>
      <c r="L36" s="53">
        <f t="shared" ref="L36:L41" si="4">J36*K36</f>
        <v>0</v>
      </c>
    </row>
    <row r="37" spans="2:12" x14ac:dyDescent="0.3">
      <c r="B37" s="53"/>
      <c r="C37" s="53"/>
      <c r="D37" s="53"/>
      <c r="E37" s="53">
        <f>C37*D37</f>
        <v>0</v>
      </c>
      <c r="F37" s="53"/>
      <c r="G37" s="53"/>
      <c r="H37" s="53"/>
      <c r="I37" s="53">
        <f t="shared" si="3"/>
        <v>0</v>
      </c>
      <c r="J37" s="53"/>
      <c r="K37" s="53"/>
      <c r="L37" s="53">
        <f t="shared" si="4"/>
        <v>0</v>
      </c>
    </row>
    <row r="38" spans="2:12" x14ac:dyDescent="0.3">
      <c r="B38" s="53" t="s">
        <v>326</v>
      </c>
      <c r="C38" s="53"/>
      <c r="D38" s="53"/>
      <c r="E38" s="53">
        <f>C38*D38</f>
        <v>0</v>
      </c>
      <c r="F38" s="53"/>
      <c r="G38" s="53"/>
      <c r="H38" s="53"/>
      <c r="I38" s="53">
        <f t="shared" si="3"/>
        <v>0</v>
      </c>
      <c r="J38" s="53"/>
      <c r="K38" s="53"/>
      <c r="L38" s="53">
        <f t="shared" si="4"/>
        <v>0</v>
      </c>
    </row>
    <row r="39" spans="2:12" x14ac:dyDescent="0.3">
      <c r="B39" s="53"/>
      <c r="C39" s="53"/>
      <c r="D39" s="53"/>
      <c r="E39" s="53">
        <f t="shared" si="0"/>
        <v>0</v>
      </c>
      <c r="F39" s="53"/>
      <c r="G39" s="53"/>
      <c r="H39" s="53"/>
      <c r="I39" s="53">
        <f t="shared" si="3"/>
        <v>0</v>
      </c>
      <c r="J39" s="53"/>
      <c r="K39" s="53"/>
      <c r="L39" s="53">
        <f t="shared" si="4"/>
        <v>0</v>
      </c>
    </row>
    <row r="40" spans="2:12" x14ac:dyDescent="0.3">
      <c r="B40" s="53"/>
      <c r="C40" s="53"/>
      <c r="D40" s="53"/>
      <c r="E40" s="53">
        <f t="shared" si="0"/>
        <v>0</v>
      </c>
      <c r="F40" s="53"/>
      <c r="G40" s="53"/>
      <c r="H40" s="53"/>
      <c r="I40" s="53">
        <f t="shared" si="3"/>
        <v>0</v>
      </c>
      <c r="J40" s="53"/>
      <c r="K40" s="53"/>
      <c r="L40" s="53">
        <f t="shared" si="4"/>
        <v>0</v>
      </c>
    </row>
    <row r="41" spans="2:12" x14ac:dyDescent="0.3">
      <c r="B41" s="53"/>
      <c r="C41" s="53"/>
      <c r="D41" s="53"/>
      <c r="E41" s="53">
        <f t="shared" si="0"/>
        <v>0</v>
      </c>
      <c r="F41" s="53"/>
      <c r="G41" s="53"/>
      <c r="H41" s="53"/>
      <c r="I41" s="53">
        <f t="shared" si="3"/>
        <v>0</v>
      </c>
      <c r="J41" s="53"/>
      <c r="K41" s="53"/>
      <c r="L41" s="53">
        <f t="shared" si="4"/>
        <v>0</v>
      </c>
    </row>
    <row r="42" spans="2:12" x14ac:dyDescent="0.3">
      <c r="B42" s="53" t="s">
        <v>150</v>
      </c>
      <c r="C42" s="53"/>
      <c r="D42" s="53">
        <f>E42*10.764</f>
        <v>0</v>
      </c>
      <c r="E42" s="69">
        <f>SUM(E6:E41)</f>
        <v>0</v>
      </c>
      <c r="F42" s="53"/>
      <c r="G42" s="53"/>
      <c r="H42" s="53">
        <f>I42*10.764</f>
        <v>0</v>
      </c>
      <c r="I42" s="68">
        <f>SUM(I6:I41)</f>
        <v>0</v>
      </c>
      <c r="J42" s="53"/>
      <c r="K42" s="53">
        <f>L42*10.764</f>
        <v>0</v>
      </c>
      <c r="L42" s="67">
        <f>SUM(L6:L41)</f>
        <v>0</v>
      </c>
    </row>
    <row r="44" spans="2:12" x14ac:dyDescent="0.3">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2025-08-13T07:33:52Z</cp:lastPrinted>
  <dcterms:created xsi:type="dcterms:W3CDTF">2019-07-16T09:29:46Z</dcterms:created>
  <dcterms:modified xsi:type="dcterms:W3CDTF">2025-08-13T07:36:01Z</dcterms:modified>
</cp:coreProperties>
</file>