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C8DB175F-5190-49F4-BEE3-A0914E9FF0B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1" i="1" l="1"/>
  <c r="J164" i="1" l="1"/>
  <c r="D177" i="1"/>
  <c r="F177" i="1" s="1"/>
  <c r="D176" i="1"/>
  <c r="F176" i="1" s="1"/>
  <c r="K16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G167" i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D167" i="1"/>
  <c r="F167" i="1" s="1"/>
  <c r="J167" i="1" s="1"/>
  <c r="D123" i="1" l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F107" i="1" s="1"/>
  <c r="D106" i="1"/>
  <c r="F106" i="1" s="1"/>
  <c r="D105" i="1"/>
  <c r="E131" i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K178" i="1"/>
  <c r="D186" i="1"/>
  <c r="F186" i="1" s="1"/>
  <c r="D185" i="1"/>
  <c r="F185" i="1" s="1"/>
  <c r="D184" i="1"/>
  <c r="F184" i="1" s="1"/>
  <c r="D183" i="1"/>
  <c r="F183" i="1" s="1"/>
  <c r="D182" i="1"/>
  <c r="F182" i="1" s="1"/>
  <c r="G179" i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J179" i="1"/>
  <c r="D165" i="1"/>
  <c r="F165" i="1" s="1"/>
  <c r="D164" i="1"/>
  <c r="K15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G155" i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D155" i="1"/>
  <c r="F155" i="1" s="1"/>
  <c r="J155" i="1" s="1"/>
  <c r="D131" i="1"/>
  <c r="D132" i="1"/>
  <c r="D133" i="1"/>
  <c r="D134" i="1"/>
  <c r="D135" i="1"/>
  <c r="D136" i="1"/>
  <c r="D137" i="1"/>
  <c r="D138" i="1"/>
  <c r="D139" i="1"/>
  <c r="D140" i="1"/>
  <c r="D141" i="1"/>
  <c r="I114" i="1"/>
  <c r="I120" i="1"/>
  <c r="I122" i="1"/>
  <c r="I106" i="1"/>
  <c r="F105" i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E41" i="1"/>
  <c r="E95" i="1" l="1"/>
  <c r="C95" i="1"/>
  <c r="M81" i="1"/>
  <c r="D153" i="1" l="1"/>
  <c r="F153" i="1" s="1"/>
  <c r="D152" i="1"/>
  <c r="D151" i="1"/>
  <c r="F151" i="1" s="1"/>
  <c r="D150" i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0" i="1"/>
  <c r="F139" i="1"/>
  <c r="K139" i="1" s="1"/>
  <c r="F138" i="1"/>
  <c r="K138" i="1" s="1"/>
  <c r="F137" i="1"/>
  <c r="F136" i="1"/>
  <c r="F134" i="1"/>
  <c r="F133" i="1"/>
  <c r="J132" i="1" s="1"/>
  <c r="F131" i="1"/>
  <c r="J104" i="1"/>
  <c r="F152" i="1"/>
  <c r="K142" i="1" s="1"/>
  <c r="F150" i="1"/>
  <c r="G143" i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F141" i="1"/>
  <c r="F135" i="1"/>
  <c r="F132" i="1"/>
  <c r="J138" i="1"/>
  <c r="J131" i="1"/>
  <c r="G131" i="1"/>
  <c r="F143" i="1" l="1"/>
  <c r="J143" i="1" s="1"/>
  <c r="C98" i="1"/>
  <c r="C99" i="1" s="1"/>
  <c r="E98" i="1"/>
  <c r="N81" i="1"/>
  <c r="J119" i="1"/>
  <c r="F123" i="1"/>
  <c r="F122" i="1"/>
  <c r="F121" i="1"/>
  <c r="F120" i="1"/>
  <c r="K118" i="1" s="1"/>
  <c r="F119" i="1"/>
  <c r="F118" i="1"/>
  <c r="F117" i="1"/>
  <c r="F116" i="1"/>
  <c r="F115" i="1"/>
  <c r="F114" i="1"/>
  <c r="F113" i="1"/>
  <c r="F112" i="1"/>
  <c r="G98" i="1" l="1"/>
  <c r="E99" i="1"/>
  <c r="E42" i="1"/>
  <c r="E43" i="1" s="1"/>
  <c r="C14" i="1" l="1"/>
  <c r="E29" i="1" l="1"/>
  <c r="F192" i="1" l="1"/>
  <c r="F193" i="1"/>
  <c r="F194" i="1"/>
  <c r="F191" i="1"/>
  <c r="A192" i="1"/>
  <c r="A193" i="1" s="1"/>
  <c r="A194" i="1" s="1"/>
  <c r="G191" i="1"/>
  <c r="G192" i="1" s="1"/>
  <c r="G193" i="1" s="1"/>
  <c r="G194" i="1" s="1"/>
  <c r="F92" i="1" l="1"/>
  <c r="F109" i="1" l="1"/>
  <c r="F110" i="1"/>
  <c r="F111" i="1"/>
  <c r="F108" i="1"/>
  <c r="G95" i="1" l="1"/>
  <c r="G99" i="1" s="1"/>
  <c r="B221" i="1"/>
  <c r="A214" i="1"/>
  <c r="A208" i="1"/>
  <c r="A202" i="1"/>
  <c r="F218" i="1" l="1"/>
  <c r="F217" i="1"/>
  <c r="F216" i="1"/>
  <c r="F215" i="1"/>
  <c r="F214" i="1"/>
  <c r="F212" i="1"/>
  <c r="F211" i="1"/>
  <c r="F210" i="1"/>
  <c r="F209" i="1"/>
  <c r="F208" i="1"/>
  <c r="F206" i="1"/>
  <c r="F205" i="1"/>
  <c r="F204" i="1"/>
  <c r="F203" i="1"/>
  <c r="F202" i="1"/>
  <c r="F200" i="1"/>
  <c r="F199" i="1"/>
  <c r="F197" i="1"/>
  <c r="F196" i="1"/>
  <c r="F198" i="1"/>
  <c r="A209" i="1"/>
  <c r="A203" i="1"/>
  <c r="A215" i="1"/>
  <c r="B222" i="1" l="1"/>
  <c r="A216" i="1"/>
  <c r="A204" i="1"/>
  <c r="A21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5" i="1"/>
  <c r="G214" i="1"/>
  <c r="G215" i="1" s="1"/>
  <c r="G216" i="1" s="1"/>
  <c r="G217" i="1" s="1"/>
  <c r="G218" i="1" s="1"/>
  <c r="G208" i="1"/>
  <c r="G209" i="1" s="1"/>
  <c r="G210" i="1" s="1"/>
  <c r="G211" i="1" s="1"/>
  <c r="G212" i="1" s="1"/>
  <c r="G202" i="1"/>
  <c r="G203" i="1" s="1"/>
  <c r="G204" i="1" s="1"/>
  <c r="G205" i="1" s="1"/>
  <c r="G206" i="1" s="1"/>
  <c r="G196" i="1"/>
  <c r="G197" i="1" s="1"/>
  <c r="G198" i="1" s="1"/>
  <c r="G199" i="1" s="1"/>
  <c r="G200" i="1" s="1"/>
  <c r="A196" i="1"/>
  <c r="A197" i="1" s="1"/>
  <c r="A198" i="1" s="1"/>
  <c r="A199" i="1" s="1"/>
  <c r="A200" i="1" s="1"/>
  <c r="G105" i="1"/>
  <c r="J76" i="1"/>
  <c r="J75" i="1"/>
  <c r="J74" i="1"/>
  <c r="J73" i="1"/>
  <c r="C65" i="1"/>
  <c r="D54" i="1"/>
  <c r="G49" i="1"/>
  <c r="G50" i="1" s="1"/>
  <c r="C49" i="1"/>
  <c r="E26" i="1"/>
  <c r="E24" i="1"/>
  <c r="E7" i="1"/>
  <c r="E3" i="1"/>
  <c r="A205" i="1"/>
  <c r="A211" i="1"/>
  <c r="A217" i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A212" i="1"/>
  <c r="A218" i="1"/>
  <c r="A206" i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<sst xmlns="http://schemas.openxmlformats.org/spreadsheetml/2006/main" count="309" uniqueCount="250">
  <si>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</si>
  <si>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</si>
  <si>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</si>
  <si>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</si>
  <si>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</si>
  <si>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</si>
  <si>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</si>
  <si>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</si>
  <si>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</si>
  <si>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</si>
  <si>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</si>
  <si>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</si>
  <si>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</si>
  <si>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</si>
  <si>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</si>
  <si>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</si>
  <si>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</si>
  <si>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</si>
  <si>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</si>
  <si>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</si>
  <si>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</si>
  <si>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</si>
  <si>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</si>
  <si>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</si>
  <si>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</si>
  <si>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</si>
  <si>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</si>
  <si>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</si>
  <si>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</si>
  <si>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</si>
  <si>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</si>
  <si>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</si>
  <si>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</si>
  <si>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</si>
  <si>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</si>
  <si>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</si>
  <si>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</si>
  <si>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</si>
  <si>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</si>
  <si>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</si>
  <si>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</si>
  <si>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</si>
  <si>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</si>
  <si>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</si>
  <si>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</si>
  <si>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</si>
  <si>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</si>
  <si>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</si>
  <si>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</si>
  <si>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</si>
  <si>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</si>
  <si>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</si>
  <si>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</si>
  <si>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</si>
  <si>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</si>
  <si>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</si>
  <si>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</si>
  <si>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</si>
  <si>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</si>
  <si>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</si>
  <si>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</si>
  <si>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</si>
  <si>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</si>
  <si>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</si>
  <si>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</si>
  <si>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</si>
  <si>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</si>
  <si>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</si>
  <si>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</si>
  <si>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</si>
  <si>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</si>
  <si>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</si>
  <si>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</si>
  <si>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</si>
  <si>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</si>
  <si>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</si>
  <si>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</si>
  <si>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</si>
  <si>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</si>
  <si>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</si>
  <si>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</si>
  <si>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</si>
  <si>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</si>
  <si>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</si>
  <si>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</si>
  <si>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</si>
  <si>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</si>
  <si>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</si>
  <si>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</si>
  <si>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</si>
  <si>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</si>
  <si>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</si>
  <si>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</si>
  <si>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</si>
  <si>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</si>
  <si>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</si>
  <si>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</si>
  <si>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</si>
  <si>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</si>
  <si>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</si>
  <si>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</si>
  <si>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</si>
  <si>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</si>
  <si>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</si>
  <si>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</si>
  <si>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</si>
  <si>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</si>
  <si>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</si>
  <si>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</si>
  <si>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</si>
  <si>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</si>
  <si>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</si>
  <si>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</si>
  <si>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</si>
  <si>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</si>
  <si>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</si>
  <si>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</si>
  <si>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</si>
  <si>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</si>
  <si>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</si>
  <si>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</si>
  <si>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</si>
  <si>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</si>
  <si>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</si>
  <si>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</si>
  <si>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</si>
  <si>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</si>
  <si>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</si>
  <si>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</si>
  <si>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</si>
  <si>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</si>
  <si>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</si>
  <si>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</si>
  <si>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</si>
  <si>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</si>
  <si>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</si>
  <si>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</si>
  <si>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</si>
  <si>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</si>
  <si>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</si>
  <si>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</si>
  <si>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</si>
  <si>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</si>
  <si>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</si>
  <si>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</si>
  <si>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</si>
  <si>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</si>
  <si>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</si>
  <si>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</si>
  <si>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</si>
  <si>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</si>
  <si>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</si>
  <si>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</si>
  <si>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</si>
  <si>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</si>
  <si>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</si>
  <si>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</si>
  <si>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</si>
  <si>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</si>
  <si>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</si>
  <si>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</si>
  <si>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</si>
  <si>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</si>
  <si>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</si>
  <si>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</si>
  <si>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</si>
  <si>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</si>
  <si>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</si>
  <si>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</si>
  <si>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</si>
  <si>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</si>
  <si>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</si>
  <si>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</si>
  <si>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</si>
  <si>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</si>
  <si>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Axis Sanpada</t>
  </si>
  <si>
    <t>Neelkanth Developers</t>
  </si>
  <si>
    <t>Neelkanth Dham</t>
  </si>
  <si>
    <t>Plot No</t>
  </si>
  <si>
    <t>Kalamboli</t>
  </si>
  <si>
    <t>Raigad</t>
  </si>
  <si>
    <t>Panvel</t>
  </si>
  <si>
    <t>Kalamboli West</t>
  </si>
  <si>
    <t>Roadpali</t>
  </si>
  <si>
    <t>2KM from Kalamboli Railway Station</t>
  </si>
  <si>
    <t>D-Mart Road</t>
  </si>
  <si>
    <t>Millennium Urbania</t>
  </si>
  <si>
    <t>Kalamboli Link Road</t>
  </si>
  <si>
    <t>Internal Road/ Verona CHS</t>
  </si>
  <si>
    <t>https://goo.gl/maps/ebPYgZjbz8pDoZ6JA</t>
  </si>
  <si>
    <t>Panvel Municipal Corporation</t>
  </si>
  <si>
    <t xml:space="preserve">Commencement-CC No
Valid Up to: </t>
  </si>
  <si>
    <t>As per RERA - 31/12/2029</t>
  </si>
  <si>
    <t>P52000047501</t>
  </si>
  <si>
    <t>Shop</t>
  </si>
  <si>
    <t>5th Floor For Amenity Floor (Fitness Center, Swimming Pool, Sitout Area, 
Drivers Room, Kids Play Area &amp; Socity Office/ Fitness Center)</t>
  </si>
  <si>
    <t>6th Floor For Residential</t>
  </si>
  <si>
    <t>We considered Gross carpet area = Net carpet + Balcony + Chajja Area.</t>
  </si>
  <si>
    <t>Shops</t>
  </si>
  <si>
    <t>Flats</t>
  </si>
  <si>
    <t>Advance Maintenance Charges (For 24 months)</t>
  </si>
  <si>
    <t>Water, MSEB, Development Charges</t>
  </si>
  <si>
    <t>Approved Plans, CC, Sale Plans, Cost Sheet</t>
  </si>
  <si>
    <t>The crematorium is about 150m on West side of project.</t>
  </si>
  <si>
    <t>Builder</t>
  </si>
  <si>
    <t>MIS</t>
  </si>
  <si>
    <t>Online</t>
  </si>
  <si>
    <t>17C/1, Sector No.16E</t>
  </si>
  <si>
    <t>8200, 17000</t>
  </si>
  <si>
    <t>91M</t>
  </si>
  <si>
    <t xml:space="preserve">Sai Proviso Icon </t>
  </si>
  <si>
    <t>Grand Total</t>
  </si>
  <si>
    <t>Latitude, Longitude</t>
  </si>
  <si>
    <t>19.043917,73.101694</t>
  </si>
  <si>
    <t>Link Road</t>
  </si>
  <si>
    <t>15.00 M. Wide Road</t>
  </si>
  <si>
    <t>other plot</t>
  </si>
  <si>
    <t>PMP/NRV/16370/J.K.1110/2024</t>
  </si>
  <si>
    <t>PMP/TP/Kalamboli/16E/17C/1/21-24/
16370/1110/2024</t>
  </si>
  <si>
    <t>Gr + 14 Upper Floors (Total Built Up Area = 7942.468 Sqm)
Residential Units = 93 Nos, Commercial Units = 19 Nos</t>
  </si>
  <si>
    <t xml:space="preserve">Gymnasium, Fitness Centre, Swimming Pool, Sun Deck, Kids play Area, Yoga &amp; Meditation Room, Landscaped Garden, Citizen Sitting Area, Party Lawn, etc.
</t>
  </si>
  <si>
    <t>Sale plan online</t>
  </si>
  <si>
    <t>Shop
(Duplex With 1st Floor)</t>
  </si>
  <si>
    <t>1st Floor For Parking &amp; Shops (Duplex With Ground Floor)</t>
  </si>
  <si>
    <t>Ground Floor For Commercial, Entrance Lobby, Meter Room, Fire Room &amp; Pump Room</t>
  </si>
  <si>
    <t>7th, 9th, 11th &amp; 13th Floor (Fire Rescue Balcony at midlanding of Staircase)</t>
  </si>
  <si>
    <t>14th Floor (Part Terrace Area)</t>
  </si>
  <si>
    <t>Terrace Area</t>
  </si>
  <si>
    <t>Flats - 93, Shops - 19</t>
  </si>
  <si>
    <t>We have updated revised approved plans and CC (On 31/05/2024).</t>
  </si>
  <si>
    <t>Ground + 1st to 14th Floor</t>
  </si>
  <si>
    <t>Ground + 1st to 21st Floor</t>
  </si>
  <si>
    <t>Mr.Jitendra 7977584838</t>
  </si>
  <si>
    <t>Mr.Anurag Mishra 9152447788</t>
  </si>
  <si>
    <t>https://housing.com/in/buy/projects/page/287832-neelkanth-dham-by-neelkanth-enterprises-in-kalamboli?gad_source=1&amp;gclid=CjwKCAjwx-CyBhAqEiwAeOcTdZoz6mFT7E5d2pT_Z8SrRqPoOb-SmeMMmvlxCHLHXjVImrEMk-1SsRoC7HcQAvD_BwE</t>
  </si>
  <si>
    <t>2nd to 4th Floor For Parking</t>
  </si>
  <si>
    <t>12th Floor</t>
  </si>
  <si>
    <t>saleable changed</t>
  </si>
  <si>
    <t>by smith &amp; Bhargav Kubal</t>
  </si>
  <si>
    <t>staffcase</t>
  </si>
  <si>
    <t>8th &amp; 10th Floor</t>
  </si>
  <si>
    <t>Rate 7800 smith verbal   23/11/2024</t>
  </si>
  <si>
    <t>Recommended Rates of the Property have been revised on 23/11/2024.</t>
  </si>
  <si>
    <t>CARPC/PO/2024/APL/00019
Approved upto : Gr/St + 1st Floor</t>
  </si>
  <si>
    <t xml:space="preserve">Part O. Certificate No.: </t>
  </si>
  <si>
    <t>60 Years After Completion</t>
  </si>
  <si>
    <t>We have updated part OC (On 30/12/2024).</t>
  </si>
  <si>
    <t>Pranita Mhatre</t>
  </si>
  <si>
    <t>Mayur Ranvare</t>
  </si>
  <si>
    <t>Construction work is in process at the time of Visit. (Slow Speed)
Part OC received upto 1st floor.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</si>
</sst>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68" fontId="16" fillId="0" borderId="0" xfId="1" applyNumberFormat="1" applyFont="1"/>
    <xf numFmtId="0" fontId="7" fillId="0" borderId="0" xfId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1" applyFont="1"/>
    <xf numFmtId="1" fontId="27" fillId="0" borderId="1" xfId="1" applyNumberFormat="1" applyFont="1" applyBorder="1" applyAlignment="1" applyProtection="1">
      <alignment horizontal="center" vertical="center" wrapText="1"/>
      <protection locked="0"/>
    </xf>
    <xf numFmtId="0" fontId="26" fillId="0" borderId="0" xfId="10"/>
    <xf numFmtId="0" fontId="7" fillId="2" borderId="0" xfId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9" fontId="6" fillId="0" borderId="16" xfId="1" applyNumberFormat="1" applyFont="1" applyBorder="1" applyAlignment="1" applyProtection="1">
      <alignment horizontal="center" vertical="center" wrapText="1"/>
      <protection locked="0"/>
    </xf>
    <xf numFmtId="169" fontId="6" fillId="0" borderId="23" xfId="1" applyNumberFormat="1" applyFont="1" applyBorder="1" applyAlignment="1" applyProtection="1">
      <alignment horizontal="center" vertical="center" wrapText="1"/>
      <protection locked="0"/>
    </xf>
    <xf numFmtId="169" fontId="6" fillId="0" borderId="17" xfId="1" applyNumberFormat="1" applyFont="1" applyBorder="1" applyAlignment="1" applyProtection="1">
      <alignment horizontal="center" vertical="center" wrapText="1"/>
      <protection locked="0"/>
    </xf>
    <xf numFmtId="169" fontId="6" fillId="0" borderId="24" xfId="1" applyNumberFormat="1" applyFont="1" applyBorder="1" applyAlignment="1" applyProtection="1">
      <alignment horizontal="center" vertical="center" wrapText="1"/>
      <protection locked="0"/>
    </xf>
    <xf numFmtId="169" fontId="6" fillId="0" borderId="0" xfId="1" applyNumberFormat="1" applyFont="1" applyAlignment="1" applyProtection="1">
      <alignment horizontal="center" vertical="center" wrapText="1"/>
      <protection locked="0"/>
    </xf>
    <xf numFmtId="169" fontId="6" fillId="0" borderId="25" xfId="1" applyNumberFormat="1" applyFont="1" applyBorder="1" applyAlignment="1" applyProtection="1">
      <alignment horizontal="center" vertical="center" wrapText="1"/>
      <protection locked="0"/>
    </xf>
    <xf numFmtId="169" fontId="6" fillId="0" borderId="18" xfId="1" applyNumberFormat="1" applyFont="1" applyBorder="1" applyAlignment="1" applyProtection="1">
      <alignment horizontal="center" vertical="center" wrapText="1"/>
      <protection locked="0"/>
    </xf>
    <xf numFmtId="169" fontId="6" fillId="0" borderId="31" xfId="1" applyNumberFormat="1" applyFont="1" applyBorder="1" applyAlignment="1" applyProtection="1">
      <alignment horizontal="center" vertical="center" wrapText="1"/>
      <protection locked="0"/>
    </xf>
    <xf numFmtId="169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quotePrefix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225135</xdr:colOff>
      <xdr:row>326</xdr:row>
      <xdr:rowOff>164523</xdr:rowOff>
    </xdr:from>
    <xdr:to>
      <xdr:col>7</xdr:col>
      <xdr:colOff>569712</xdr:colOff>
      <xdr:row>343</xdr:row>
      <xdr:rowOff>162425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5" y="56370682"/>
          <a:ext cx="6033600" cy="33836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216477</xdr:colOff>
      <xdr:row>344</xdr:row>
      <xdr:rowOff>55549</xdr:rowOff>
    </xdr:from>
    <xdr:to>
      <xdr:col>7</xdr:col>
      <xdr:colOff>312420</xdr:colOff>
      <xdr:row>366</xdr:row>
      <xdr:rowOff>95865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477" y="66433369"/>
          <a:ext cx="5940483" cy="43989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259774</xdr:colOff>
      <xdr:row>353</xdr:row>
      <xdr:rowOff>155864</xdr:rowOff>
    </xdr:from>
    <xdr:to>
      <xdr:col>4</xdr:col>
      <xdr:colOff>155865</xdr:colOff>
      <xdr:row>357</xdr:row>
      <xdr:rowOff>8660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667001" y="61739319"/>
          <a:ext cx="839932" cy="649432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192002</xdr:colOff>
      <xdr:row>288</xdr:row>
      <xdr:rowOff>17319</xdr:rowOff>
    </xdr:from>
    <xdr:to>
      <xdr:col>7</xdr:col>
      <xdr:colOff>621850</xdr:colOff>
      <xdr:row>304</xdr:row>
      <xdr:rowOff>52044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02" y="52736123"/>
          <a:ext cx="6120000" cy="32152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3</xdr:col>
      <xdr:colOff>606137</xdr:colOff>
      <xdr:row>352</xdr:row>
      <xdr:rowOff>34636</xdr:rowOff>
    </xdr:from>
    <xdr:ext cx="117295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013364" y="58041886"/>
          <a:ext cx="1172950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ysClr val="windowText" lastClr="000000"/>
              </a:solidFill>
            </a:rPr>
            <a:t>Neelkanth Dham</a:t>
          </a:r>
        </a:p>
      </xdr:txBody>
    </xdr:sp>
    <xdr:clientData/>
  </xdr:oneCellAnchor>
  <xdr:oneCellAnchor>
    <xdr:from>
      <xdr:col>0</xdr:col>
      <xdr:colOff>351559</xdr:colOff>
      <xdr:row>352</xdr:row>
      <xdr:rowOff>22513</xdr:rowOff>
    </xdr:from>
    <xdr:ext cx="96494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51559" y="58029763"/>
          <a:ext cx="964944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Crematorium</a:t>
          </a:r>
          <a:endParaRPr lang="en-IN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0</xdr:col>
      <xdr:colOff>389658</xdr:colOff>
      <xdr:row>353</xdr:row>
      <xdr:rowOff>121227</xdr:rowOff>
    </xdr:from>
    <xdr:to>
      <xdr:col>1</xdr:col>
      <xdr:colOff>554181</xdr:colOff>
      <xdr:row>357</xdr:row>
      <xdr:rowOff>60614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89658" y="58327636"/>
          <a:ext cx="926523" cy="73602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795130</xdr:colOff>
      <xdr:row>353</xdr:row>
      <xdr:rowOff>115957</xdr:rowOff>
    </xdr:from>
    <xdr:to>
      <xdr:col>3</xdr:col>
      <xdr:colOff>182218</xdr:colOff>
      <xdr:row>356</xdr:row>
      <xdr:rowOff>115957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57130" y="58210174"/>
          <a:ext cx="1035327" cy="596348"/>
        </a:xfrm>
        <a:prstGeom prst="rect">
          <a:avLst/>
        </a:prstGeom>
        <a:noFill/>
        <a:ln w="38100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oneCellAnchor>
    <xdr:from>
      <xdr:col>1</xdr:col>
      <xdr:colOff>738282</xdr:colOff>
      <xdr:row>351</xdr:row>
      <xdr:rowOff>178659</xdr:rowOff>
    </xdr:from>
    <xdr:ext cx="1358898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500282" y="57875311"/>
          <a:ext cx="1358898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>
              <a:solidFill>
                <a:sysClr val="windowText" lastClr="000000"/>
              </a:solidFill>
            </a:rPr>
            <a:t>Millennium Urbania</a:t>
          </a:r>
        </a:p>
      </xdr:txBody>
    </xdr:sp>
    <xdr:clientData/>
  </xdr:oneCellAnchor>
  <xdr:twoCellAnchor editAs="oneCell">
    <xdr:from>
      <xdr:col>8</xdr:col>
      <xdr:colOff>149089</xdr:colOff>
      <xdr:row>46</xdr:row>
      <xdr:rowOff>414131</xdr:rowOff>
    </xdr:from>
    <xdr:to>
      <xdr:col>13</xdr:col>
      <xdr:colOff>140545</xdr:colOff>
      <xdr:row>51</xdr:row>
      <xdr:rowOff>41451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02" y="10576892"/>
          <a:ext cx="5400000" cy="13086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323021</xdr:colOff>
      <xdr:row>37</xdr:row>
      <xdr:rowOff>33130</xdr:rowOff>
    </xdr:from>
    <xdr:to>
      <xdr:col>10</xdr:col>
      <xdr:colOff>246130</xdr:colOff>
      <xdr:row>46</xdr:row>
      <xdr:rowOff>341021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1434" y="8415130"/>
          <a:ext cx="2880000" cy="209693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419978</xdr:colOff>
      <xdr:row>51</xdr:row>
      <xdr:rowOff>197806</xdr:rowOff>
    </xdr:from>
    <xdr:to>
      <xdr:col>13</xdr:col>
      <xdr:colOff>474683</xdr:colOff>
      <xdr:row>58</xdr:row>
      <xdr:rowOff>36028</xdr:rowOff>
    </xdr:to>
    <xdr:pic>
      <xdr:nvPicPr>
        <xdr:cNvPr id="28" name="Picture 27" descr="https://housing-images.n7net.in/012c1500/ef4c26e00ec455a8839df1e27d440485/v0/fs.jpe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0154" y="12154482"/>
          <a:ext cx="2520000" cy="146307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587578</xdr:colOff>
      <xdr:row>51</xdr:row>
      <xdr:rowOff>140316</xdr:rowOff>
    </xdr:from>
    <xdr:to>
      <xdr:col>10</xdr:col>
      <xdr:colOff>160431</xdr:colOff>
      <xdr:row>59</xdr:row>
      <xdr:rowOff>137455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20607" y="12096992"/>
          <a:ext cx="2520000" cy="1823698"/>
        </a:xfrm>
        <a:prstGeom prst="rect">
          <a:avLst/>
        </a:prstGeom>
      </xdr:spPr>
    </xdr:pic>
    <xdr:clientData/>
  </xdr:twoCellAnchor>
  <xdr:twoCellAnchor editAs="oneCell">
    <xdr:from>
      <xdr:col>9</xdr:col>
      <xdr:colOff>585580</xdr:colOff>
      <xdr:row>104</xdr:row>
      <xdr:rowOff>112642</xdr:rowOff>
    </xdr:from>
    <xdr:to>
      <xdr:col>12</xdr:col>
      <xdr:colOff>68990</xdr:colOff>
      <xdr:row>115</xdr:row>
      <xdr:rowOff>52316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45167" y="22823555"/>
          <a:ext cx="2663932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1184415</xdr:colOff>
      <xdr:row>145</xdr:row>
      <xdr:rowOff>49697</xdr:rowOff>
    </xdr:from>
    <xdr:to>
      <xdr:col>11</xdr:col>
      <xdr:colOff>146741</xdr:colOff>
      <xdr:row>160</xdr:row>
      <xdr:rowOff>119236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02828" y="32260762"/>
          <a:ext cx="2880000" cy="3051278"/>
        </a:xfrm>
        <a:prstGeom prst="rect">
          <a:avLst/>
        </a:prstGeom>
      </xdr:spPr>
    </xdr:pic>
    <xdr:clientData/>
  </xdr:twoCellAnchor>
  <xdr:twoCellAnchor>
    <xdr:from>
      <xdr:col>0</xdr:col>
      <xdr:colOff>198780</xdr:colOff>
      <xdr:row>304</xdr:row>
      <xdr:rowOff>140805</xdr:rowOff>
    </xdr:from>
    <xdr:to>
      <xdr:col>7</xdr:col>
      <xdr:colOff>628628</xdr:colOff>
      <xdr:row>322</xdr:row>
      <xdr:rowOff>124715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198780" y="58593825"/>
          <a:ext cx="6274388" cy="3550070"/>
          <a:chOff x="223629" y="56040131"/>
          <a:chExt cx="6120000" cy="3561997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3629" y="56040131"/>
            <a:ext cx="6120000" cy="3561997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897217" y="58831370"/>
            <a:ext cx="0" cy="381000"/>
          </a:xfrm>
          <a:prstGeom prst="straightConnector1">
            <a:avLst/>
          </a:prstGeom>
          <a:ln w="571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5756413" y="59162674"/>
            <a:ext cx="30290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N</a:t>
            </a:r>
          </a:p>
        </xdr:txBody>
      </xdr:sp>
    </xdr:grpSp>
    <xdr:clientData/>
  </xdr:twoCellAnchor>
  <xdr:twoCellAnchor>
    <xdr:from>
      <xdr:col>8</xdr:col>
      <xdr:colOff>730624</xdr:colOff>
      <xdr:row>243</xdr:row>
      <xdr:rowOff>25998</xdr:rowOff>
    </xdr:from>
    <xdr:to>
      <xdr:col>14</xdr:col>
      <xdr:colOff>292109</xdr:colOff>
      <xdr:row>285</xdr:row>
      <xdr:rowOff>97281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428604" y="46401318"/>
          <a:ext cx="5985145" cy="8384703"/>
          <a:chOff x="235324" y="47378471"/>
          <a:chExt cx="5844399" cy="8531724"/>
        </a:xfrm>
      </xdr:grpSpPr>
      <xdr:pic>
        <xdr:nvPicPr>
          <xdr:cNvPr id="51" name="Picture 50" descr="insp-233831-1525.jpg (719×960)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7824" y="53750195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insp-233831-843.jpg (719×960)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7824" y="47378471"/>
            <a:ext cx="269625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insp-233831-847.jpg (719×960)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5324" y="51104333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insp-233831-851.jpg (719×960)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96923" y="53750195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insp-233831-862.jpg (719×960)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2348" y="51104333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insp-233831-871.jpg (719×960)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13836" y="51104333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insp-233831-874.jpg (719×960)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63069" y="47378471"/>
            <a:ext cx="269625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129540</xdr:colOff>
      <xdr:row>245</xdr:row>
      <xdr:rowOff>121920</xdr:rowOff>
    </xdr:from>
    <xdr:to>
      <xdr:col>7</xdr:col>
      <xdr:colOff>723900</xdr:colOff>
      <xdr:row>281</xdr:row>
      <xdr:rowOff>45720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416B8F3-DD39-D384-BB05-0011D309CFD0}"/>
            </a:ext>
          </a:extLst>
        </xdr:cNvPr>
        <xdr:cNvGrpSpPr/>
      </xdr:nvGrpSpPr>
      <xdr:grpSpPr>
        <a:xfrm>
          <a:off x="129540" y="46893480"/>
          <a:ext cx="6438900" cy="7048500"/>
          <a:chOff x="88277" y="219090"/>
          <a:chExt cx="6769723" cy="7093579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FBE8AA7D-3EEB-1096-F989-F9437469AD1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6962"/>
          <a:stretch>
            <a:fillRect/>
          </a:stretch>
        </xdr:blipFill>
        <xdr:spPr bwMode="auto">
          <a:xfrm>
            <a:off x="5517526" y="5530956"/>
            <a:ext cx="1340474" cy="17739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54193121-EC94-05A5-E2AC-AA737C8E3E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8112" y="231448"/>
            <a:ext cx="4057821" cy="305745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C5AA6177-6FEC-61DA-141D-3F04A14A88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32852" y="3410999"/>
            <a:ext cx="1493795" cy="19855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48EED6A5-88F9-6F39-1E8E-4F2A85A3E3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46266" y="3410999"/>
            <a:ext cx="1493795" cy="19855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A00BF583-EF85-D9C6-C47D-229A39DB99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64436" y="5530955"/>
            <a:ext cx="1340474" cy="17817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B97857E3-0997-507C-07AB-D0F9F6E409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277" y="5530955"/>
            <a:ext cx="2364671" cy="17817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5A60F760-79D0-B067-EAE9-15CDD81FBC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8630" y="3410999"/>
            <a:ext cx="1493795" cy="19855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C3A9231B-D2CB-0C92-466E-848CD2CDEE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39781" y="219090"/>
            <a:ext cx="2300280" cy="305745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883B0E62-7A91-05AD-A3F4-69A5DC276A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5996" y="5530956"/>
            <a:ext cx="1335048" cy="17817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87A4F822-6192-2FA4-63FA-42A77492D7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4310" y="3411000"/>
            <a:ext cx="1493795" cy="19855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87832-neelkanth-dham-by-neelkanth-enterprises-in-kalamboli?gad_source=1&amp;gclid=CjwKCAjwx-CyBhAqEiwAeOcTdZoz6mFT7E5d2pT_Z8SrRqPoOb-SmeMMmvlxCHLHXjVImrEMk-1SsRoC7HcQAvD_BwE" TargetMode="External"/><Relationship Id="rId1" Type="http://schemas.openxmlformats.org/officeDocument/2006/relationships/hyperlink" Target="https://goo.gl/maps/ebPYgZjbz8pDoZ6JA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26"/>
  <sheetViews>
    <sheetView tabSelected="1" view="pageBreakPreview" zoomScaleNormal="100" zoomScaleSheetLayoutView="100" workbookViewId="0">
      <selection activeCell="J9" sqref="J9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21.5546875" style="21" customWidth="1"/>
    <col min="10" max="10" width="22.6640625" style="21" customWidth="1"/>
    <col min="11" max="11" width="14.44140625" style="2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62" t="s">
        <v>174</v>
      </c>
      <c r="B1" s="162"/>
      <c r="C1" s="162"/>
      <c r="D1" s="162"/>
      <c r="E1" s="162"/>
      <c r="F1" s="162"/>
      <c r="G1" s="162"/>
      <c r="H1" s="162"/>
    </row>
    <row r="2" spans="1:8" ht="16.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3">
      <c r="A3" s="118" t="s">
        <v>1</v>
      </c>
      <c r="B3" s="118"/>
      <c r="C3" s="118"/>
      <c r="D3" s="118"/>
      <c r="E3" s="118" t="str">
        <f ca="1">TEXT(TODAY(),"DD/MM/YYYY")</f>
        <v>13/08/2025</v>
      </c>
      <c r="F3" s="118"/>
      <c r="G3" s="118"/>
      <c r="H3" s="118"/>
    </row>
    <row r="4" spans="1:8" ht="15" customHeight="1" x14ac:dyDescent="0.3">
      <c r="A4" s="118" t="s">
        <v>2</v>
      </c>
      <c r="B4" s="118"/>
      <c r="C4" s="118"/>
      <c r="D4" s="118"/>
      <c r="E4" s="118" t="s">
        <v>175</v>
      </c>
      <c r="F4" s="118"/>
      <c r="G4" s="118"/>
      <c r="H4" s="118"/>
    </row>
    <row r="5" spans="1:8" x14ac:dyDescent="0.3">
      <c r="A5" s="118" t="s">
        <v>3</v>
      </c>
      <c r="B5" s="118"/>
      <c r="C5" s="118"/>
      <c r="D5" s="118"/>
      <c r="E5" s="163">
        <v>45880</v>
      </c>
      <c r="F5" s="118"/>
      <c r="G5" s="118"/>
      <c r="H5" s="118"/>
    </row>
    <row r="6" spans="1:8" ht="16.5" customHeight="1" x14ac:dyDescent="0.3">
      <c r="A6" s="118" t="s">
        <v>4</v>
      </c>
      <c r="B6" s="118"/>
      <c r="C6" s="118"/>
      <c r="D6" s="118"/>
      <c r="E6" s="118" t="s">
        <v>176</v>
      </c>
      <c r="F6" s="118"/>
      <c r="G6" s="118"/>
      <c r="H6" s="118"/>
    </row>
    <row r="7" spans="1:8" ht="15" customHeight="1" x14ac:dyDescent="0.3">
      <c r="A7" s="118" t="s">
        <v>5</v>
      </c>
      <c r="B7" s="118"/>
      <c r="C7" s="118"/>
      <c r="D7" s="118"/>
      <c r="E7" s="118" t="str">
        <f>E6</f>
        <v>Neelkanth Developers</v>
      </c>
      <c r="F7" s="118"/>
      <c r="G7" s="118"/>
      <c r="H7" s="118"/>
    </row>
    <row r="8" spans="1:8" x14ac:dyDescent="0.3">
      <c r="A8" s="118" t="s">
        <v>6</v>
      </c>
      <c r="B8" s="118"/>
      <c r="C8" s="118"/>
      <c r="D8" s="118"/>
      <c r="E8" s="153" t="s">
        <v>177</v>
      </c>
      <c r="F8" s="153"/>
      <c r="G8" s="153"/>
      <c r="H8" s="153"/>
    </row>
    <row r="9" spans="1:8" x14ac:dyDescent="0.3">
      <c r="A9" s="118" t="s">
        <v>171</v>
      </c>
      <c r="B9" s="118"/>
      <c r="C9" s="118"/>
      <c r="D9" s="118"/>
      <c r="E9" s="118" t="s">
        <v>232</v>
      </c>
      <c r="F9" s="118"/>
      <c r="G9" s="118"/>
      <c r="H9" s="118"/>
    </row>
    <row r="10" spans="1:8" hidden="1" x14ac:dyDescent="0.3">
      <c r="A10" s="118" t="s">
        <v>172</v>
      </c>
      <c r="B10" s="118"/>
      <c r="C10" s="118"/>
      <c r="D10" s="118"/>
      <c r="E10" s="118" t="s">
        <v>233</v>
      </c>
      <c r="F10" s="118"/>
      <c r="G10" s="118"/>
      <c r="H10" s="118"/>
    </row>
    <row r="11" spans="1:8" x14ac:dyDescent="0.3">
      <c r="A11" s="118" t="s">
        <v>7</v>
      </c>
      <c r="B11" s="118"/>
      <c r="C11" s="118"/>
      <c r="D11" s="118"/>
      <c r="E11" s="118" t="s">
        <v>125</v>
      </c>
      <c r="F11" s="118"/>
      <c r="G11" s="118"/>
      <c r="H11" s="118"/>
    </row>
    <row r="12" spans="1:8" x14ac:dyDescent="0.3">
      <c r="A12" s="94" t="s">
        <v>8</v>
      </c>
      <c r="B12" s="94"/>
      <c r="C12" s="94"/>
      <c r="D12" s="94"/>
      <c r="E12" s="92" t="s">
        <v>202</v>
      </c>
      <c r="F12" s="92"/>
      <c r="G12" s="92"/>
      <c r="H12" s="92"/>
    </row>
    <row r="13" spans="1:8" x14ac:dyDescent="0.3">
      <c r="A13" s="94" t="s">
        <v>9</v>
      </c>
      <c r="B13" s="94"/>
      <c r="C13" s="94"/>
      <c r="D13" s="94"/>
      <c r="E13" s="92" t="s">
        <v>193</v>
      </c>
      <c r="F13" s="118"/>
      <c r="G13" s="118"/>
      <c r="H13" s="118"/>
    </row>
    <row r="14" spans="1:8" ht="48" customHeight="1" x14ac:dyDescent="0.3">
      <c r="A14" s="123" t="s">
        <v>10</v>
      </c>
      <c r="B14" s="123"/>
      <c r="C14" s="12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Neelkanth Dham, Plot No.17C/1, Sector No.16E, near Millennium Urbania, Kalamboli Link Road, Roadpali, Kalamboli, Kalamboli West, Panvel, Raigad - 410208.</v>
      </c>
      <c r="D14" s="123"/>
      <c r="E14" s="123"/>
      <c r="F14" s="123"/>
      <c r="G14" s="123"/>
      <c r="H14" s="123"/>
    </row>
    <row r="15" spans="1:8" x14ac:dyDescent="0.3">
      <c r="A15" s="92" t="s">
        <v>178</v>
      </c>
      <c r="B15" s="92"/>
      <c r="C15" s="92" t="s">
        <v>207</v>
      </c>
      <c r="D15" s="92"/>
      <c r="E15" s="92"/>
      <c r="F15" s="92"/>
      <c r="G15" s="92"/>
      <c r="H15" s="92"/>
    </row>
    <row r="16" spans="1:8" ht="15.75" customHeight="1" x14ac:dyDescent="0.3">
      <c r="A16" s="92" t="s">
        <v>170</v>
      </c>
      <c r="B16" s="92"/>
      <c r="C16" s="92" t="s">
        <v>183</v>
      </c>
      <c r="D16" s="92"/>
      <c r="E16" s="92"/>
      <c r="F16" s="92"/>
      <c r="G16" s="92"/>
      <c r="H16" s="92"/>
    </row>
    <row r="17" spans="1:8" ht="15.75" customHeight="1" x14ac:dyDescent="0.3">
      <c r="A17" s="123" t="s">
        <v>11</v>
      </c>
      <c r="B17" s="123"/>
      <c r="C17" s="118" t="s">
        <v>187</v>
      </c>
      <c r="D17" s="118"/>
      <c r="E17" s="123" t="s">
        <v>74</v>
      </c>
      <c r="F17" s="123"/>
      <c r="G17" s="92" t="s">
        <v>179</v>
      </c>
      <c r="H17" s="92"/>
    </row>
    <row r="18" spans="1:8" x14ac:dyDescent="0.3">
      <c r="A18" s="94" t="s">
        <v>13</v>
      </c>
      <c r="B18" s="94"/>
      <c r="C18" s="92" t="s">
        <v>182</v>
      </c>
      <c r="D18" s="92"/>
      <c r="E18" s="123" t="s">
        <v>12</v>
      </c>
      <c r="F18" s="123"/>
      <c r="G18" s="164" t="s">
        <v>180</v>
      </c>
      <c r="H18" s="164"/>
    </row>
    <row r="19" spans="1:8" x14ac:dyDescent="0.3">
      <c r="A19" s="94" t="s">
        <v>75</v>
      </c>
      <c r="B19" s="94"/>
      <c r="C19" s="92" t="s">
        <v>181</v>
      </c>
      <c r="D19" s="92"/>
      <c r="E19" s="123" t="s">
        <v>14</v>
      </c>
      <c r="F19" s="123"/>
      <c r="G19" s="92">
        <v>410208</v>
      </c>
      <c r="H19" s="92"/>
    </row>
    <row r="20" spans="1:8" ht="32.25" customHeight="1" x14ac:dyDescent="0.3">
      <c r="A20" s="94" t="s">
        <v>126</v>
      </c>
      <c r="B20" s="94"/>
      <c r="C20" s="92" t="s">
        <v>186</v>
      </c>
      <c r="D20" s="92"/>
      <c r="E20" s="123" t="s">
        <v>15</v>
      </c>
      <c r="F20" s="123"/>
      <c r="G20" s="92" t="s">
        <v>184</v>
      </c>
      <c r="H20" s="92"/>
    </row>
    <row r="21" spans="1:8" ht="15" customHeight="1" x14ac:dyDescent="0.3">
      <c r="A21" s="123" t="s">
        <v>78</v>
      </c>
      <c r="B21" s="123"/>
      <c r="C21" s="123"/>
      <c r="D21" s="123"/>
      <c r="E21" s="118" t="s">
        <v>16</v>
      </c>
      <c r="F21" s="118"/>
      <c r="G21" s="118"/>
      <c r="H21" s="118"/>
    </row>
    <row r="22" spans="1:8" ht="18.75" customHeight="1" x14ac:dyDescent="0.3">
      <c r="A22" s="123"/>
      <c r="B22" s="123"/>
      <c r="C22" s="123"/>
      <c r="D22" s="123"/>
      <c r="E22" s="118"/>
      <c r="F22" s="118"/>
      <c r="G22" s="118"/>
      <c r="H22" s="118"/>
    </row>
    <row r="23" spans="1:8" ht="15" customHeight="1" x14ac:dyDescent="0.3">
      <c r="A23" s="123" t="s">
        <v>17</v>
      </c>
      <c r="B23" s="123"/>
      <c r="C23" s="123"/>
      <c r="D23" s="123"/>
      <c r="E23" s="92" t="s">
        <v>18</v>
      </c>
      <c r="F23" s="92"/>
      <c r="G23" s="92"/>
      <c r="H23" s="92"/>
    </row>
    <row r="24" spans="1:8" ht="15" customHeight="1" x14ac:dyDescent="0.3">
      <c r="A24" s="94" t="s">
        <v>19</v>
      </c>
      <c r="B24" s="94"/>
      <c r="C24" s="94"/>
      <c r="D24" s="94"/>
      <c r="E24" s="92" t="str">
        <f>IF(AND(G18="Mumbai"),"Upper Class","Middle Class")</f>
        <v>Middle Class</v>
      </c>
      <c r="F24" s="92"/>
      <c r="G24" s="92"/>
      <c r="H24" s="92"/>
    </row>
    <row r="25" spans="1:8" x14ac:dyDescent="0.3">
      <c r="A25" s="94" t="s">
        <v>20</v>
      </c>
      <c r="B25" s="94"/>
      <c r="C25" s="94"/>
      <c r="D25" s="94"/>
      <c r="E25" s="92" t="s">
        <v>21</v>
      </c>
      <c r="F25" s="92"/>
      <c r="G25" s="92"/>
      <c r="H25" s="92"/>
    </row>
    <row r="26" spans="1:8" ht="15.75" customHeight="1" x14ac:dyDescent="0.3">
      <c r="A26" s="94" t="s">
        <v>22</v>
      </c>
      <c r="B26" s="94"/>
      <c r="C26" s="94"/>
      <c r="D26" s="94"/>
      <c r="E26" s="92" t="str">
        <f>IF(AND(G18="Mumbai"),"Developed","Developing")</f>
        <v>Developing</v>
      </c>
      <c r="F26" s="92"/>
      <c r="G26" s="92"/>
      <c r="H26" s="92"/>
    </row>
    <row r="27" spans="1:8" x14ac:dyDescent="0.3">
      <c r="A27" s="94" t="s">
        <v>23</v>
      </c>
      <c r="B27" s="94"/>
      <c r="C27" s="94"/>
      <c r="D27" s="94"/>
      <c r="E27" s="92" t="s">
        <v>24</v>
      </c>
      <c r="F27" s="92"/>
      <c r="G27" s="92"/>
      <c r="H27" s="92"/>
    </row>
    <row r="28" spans="1:8" ht="15.75" customHeight="1" x14ac:dyDescent="0.3">
      <c r="A28" s="94" t="s">
        <v>83</v>
      </c>
      <c r="B28" s="94"/>
      <c r="C28" s="94"/>
      <c r="D28" s="94"/>
      <c r="E28" s="92" t="s">
        <v>84</v>
      </c>
      <c r="F28" s="92"/>
      <c r="G28" s="92"/>
      <c r="H28" s="92"/>
    </row>
    <row r="29" spans="1:8" ht="15" customHeight="1" x14ac:dyDescent="0.3">
      <c r="A29" s="94" t="s">
        <v>33</v>
      </c>
      <c r="B29" s="94"/>
      <c r="C29" s="94"/>
      <c r="D29" s="94"/>
      <c r="E29" s="9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92"/>
      <c r="G29" s="92"/>
      <c r="H29" s="92"/>
    </row>
    <row r="30" spans="1:8" ht="15.75" customHeight="1" x14ac:dyDescent="0.3">
      <c r="A30" s="94" t="s">
        <v>95</v>
      </c>
      <c r="B30" s="94"/>
      <c r="C30" s="94"/>
      <c r="D30" s="94"/>
      <c r="E30" s="92" t="s">
        <v>34</v>
      </c>
      <c r="F30" s="92"/>
      <c r="G30" s="92"/>
      <c r="H30" s="92"/>
    </row>
    <row r="31" spans="1:8" s="22" customFormat="1" x14ac:dyDescent="0.3">
      <c r="A31" s="168" t="s">
        <v>96</v>
      </c>
      <c r="B31" s="168"/>
      <c r="C31" s="165" t="s">
        <v>29</v>
      </c>
      <c r="D31" s="165"/>
      <c r="E31" s="165"/>
      <c r="F31" s="165" t="s">
        <v>31</v>
      </c>
      <c r="G31" s="165"/>
      <c r="H31" s="165"/>
    </row>
    <row r="32" spans="1:8" s="22" customFormat="1" x14ac:dyDescent="0.3">
      <c r="A32" s="167" t="s">
        <v>25</v>
      </c>
      <c r="B32" s="167" t="s">
        <v>30</v>
      </c>
      <c r="C32" s="166" t="s">
        <v>215</v>
      </c>
      <c r="D32" s="166"/>
      <c r="E32" s="166"/>
      <c r="F32" s="166" t="s">
        <v>185</v>
      </c>
      <c r="G32" s="166"/>
      <c r="H32" s="166"/>
    </row>
    <row r="33" spans="1:8" x14ac:dyDescent="0.3">
      <c r="A33" s="167" t="s">
        <v>26</v>
      </c>
      <c r="B33" s="167" t="s">
        <v>30</v>
      </c>
      <c r="C33" s="166" t="s">
        <v>216</v>
      </c>
      <c r="D33" s="166"/>
      <c r="E33" s="166"/>
      <c r="F33" s="166" t="s">
        <v>186</v>
      </c>
      <c r="G33" s="166"/>
      <c r="H33" s="166"/>
    </row>
    <row r="34" spans="1:8" s="22" customFormat="1" x14ac:dyDescent="0.3">
      <c r="A34" s="167" t="s">
        <v>28</v>
      </c>
      <c r="B34" s="167" t="s">
        <v>30</v>
      </c>
      <c r="C34" s="166" t="s">
        <v>214</v>
      </c>
      <c r="D34" s="166"/>
      <c r="E34" s="166"/>
      <c r="F34" s="166" t="s">
        <v>187</v>
      </c>
      <c r="G34" s="166"/>
      <c r="H34" s="166"/>
    </row>
    <row r="35" spans="1:8" x14ac:dyDescent="0.3">
      <c r="A35" s="167" t="s">
        <v>27</v>
      </c>
      <c r="B35" s="167" t="s">
        <v>30</v>
      </c>
      <c r="C35" s="166" t="s">
        <v>11</v>
      </c>
      <c r="D35" s="166"/>
      <c r="E35" s="166"/>
      <c r="F35" s="166" t="s">
        <v>188</v>
      </c>
      <c r="G35" s="166"/>
      <c r="H35" s="166"/>
    </row>
    <row r="36" spans="1:8" x14ac:dyDescent="0.3">
      <c r="A36" s="94" t="s">
        <v>32</v>
      </c>
      <c r="B36" s="94"/>
      <c r="C36" s="94"/>
      <c r="D36" s="94"/>
      <c r="E36" s="94"/>
      <c r="F36" s="94"/>
      <c r="G36" s="94"/>
      <c r="H36" s="94"/>
    </row>
    <row r="37" spans="1:8" ht="15.75" customHeight="1" x14ac:dyDescent="0.3">
      <c r="A37" s="94" t="s">
        <v>212</v>
      </c>
      <c r="B37" s="94"/>
      <c r="C37" s="188" t="s">
        <v>213</v>
      </c>
      <c r="D37" s="189"/>
      <c r="E37" s="189"/>
      <c r="F37" s="189"/>
      <c r="G37" s="189"/>
      <c r="H37" s="190"/>
    </row>
    <row r="38" spans="1:8" x14ac:dyDescent="0.3">
      <c r="A38" s="94" t="s">
        <v>169</v>
      </c>
      <c r="B38" s="94"/>
      <c r="C38" s="192" t="s">
        <v>189</v>
      </c>
      <c r="D38" s="92"/>
      <c r="E38" s="92"/>
      <c r="F38" s="92"/>
      <c r="G38" s="92"/>
      <c r="H38" s="92"/>
    </row>
    <row r="39" spans="1:8" x14ac:dyDescent="0.3">
      <c r="A39" s="141" t="s">
        <v>35</v>
      </c>
      <c r="B39" s="141"/>
      <c r="C39" s="141"/>
      <c r="D39" s="141"/>
      <c r="E39" s="141"/>
      <c r="F39" s="141"/>
      <c r="G39" s="141"/>
      <c r="H39" s="141"/>
    </row>
    <row r="40" spans="1:8" x14ac:dyDescent="0.3">
      <c r="A40" s="94" t="s">
        <v>36</v>
      </c>
      <c r="B40" s="94"/>
      <c r="C40" s="94"/>
      <c r="D40" s="94"/>
      <c r="E40" s="170">
        <v>2448.12</v>
      </c>
      <c r="F40" s="170"/>
      <c r="G40" s="170"/>
      <c r="H40" s="170"/>
    </row>
    <row r="41" spans="1:8" x14ac:dyDescent="0.3">
      <c r="A41" s="94" t="s">
        <v>37</v>
      </c>
      <c r="B41" s="94"/>
      <c r="C41" s="94"/>
      <c r="D41" s="94"/>
      <c r="E41" s="93">
        <f>2692.932/E40</f>
        <v>1.0999999999999999</v>
      </c>
      <c r="F41" s="93"/>
      <c r="G41" s="93"/>
      <c r="H41" s="93"/>
    </row>
    <row r="42" spans="1:8" x14ac:dyDescent="0.3">
      <c r="A42" s="94" t="s">
        <v>38</v>
      </c>
      <c r="B42" s="94"/>
      <c r="C42" s="94"/>
      <c r="D42" s="94"/>
      <c r="E42" s="93">
        <f>E44/E40-E41</f>
        <v>2.1443131872620622</v>
      </c>
      <c r="F42" s="93"/>
      <c r="G42" s="93"/>
      <c r="H42" s="93"/>
    </row>
    <row r="43" spans="1:8" x14ac:dyDescent="0.3">
      <c r="A43" s="94" t="s">
        <v>39</v>
      </c>
      <c r="B43" s="94"/>
      <c r="C43" s="94"/>
      <c r="D43" s="94"/>
      <c r="E43" s="93">
        <f>E41+E42</f>
        <v>3.2443131872620619</v>
      </c>
      <c r="F43" s="93"/>
      <c r="G43" s="93"/>
      <c r="H43" s="93"/>
    </row>
    <row r="44" spans="1:8" x14ac:dyDescent="0.3">
      <c r="A44" s="94" t="s">
        <v>94</v>
      </c>
      <c r="B44" s="94"/>
      <c r="C44" s="94"/>
      <c r="D44" s="94"/>
      <c r="E44" s="184">
        <v>7942.4679999999998</v>
      </c>
      <c r="F44" s="184"/>
      <c r="G44" s="184"/>
      <c r="H44" s="184"/>
    </row>
    <row r="45" spans="1:8" x14ac:dyDescent="0.3">
      <c r="A45" s="118" t="s">
        <v>40</v>
      </c>
      <c r="B45" s="118"/>
      <c r="C45" s="118"/>
      <c r="D45" s="118"/>
      <c r="E45" s="118" t="s">
        <v>125</v>
      </c>
      <c r="F45" s="118"/>
      <c r="G45" s="118"/>
      <c r="H45" s="118"/>
    </row>
    <row r="46" spans="1:8" x14ac:dyDescent="0.3">
      <c r="A46" s="141" t="s">
        <v>41</v>
      </c>
      <c r="B46" s="141"/>
      <c r="C46" s="141"/>
      <c r="D46" s="141"/>
      <c r="E46" s="141"/>
      <c r="F46" s="141"/>
      <c r="G46" s="141"/>
      <c r="H46" s="141"/>
    </row>
    <row r="47" spans="1:8" ht="33.75" customHeight="1" x14ac:dyDescent="0.3">
      <c r="A47" s="111" t="s">
        <v>157</v>
      </c>
      <c r="B47" s="112"/>
      <c r="C47" s="193" t="s">
        <v>190</v>
      </c>
      <c r="D47" s="194"/>
      <c r="E47" s="194"/>
      <c r="F47" s="194"/>
      <c r="G47" s="194"/>
      <c r="H47" s="195"/>
    </row>
    <row r="48" spans="1:8" ht="15.75" customHeight="1" x14ac:dyDescent="0.3">
      <c r="A48" s="111" t="s">
        <v>42</v>
      </c>
      <c r="B48" s="112"/>
      <c r="C48" s="111" t="s">
        <v>217</v>
      </c>
      <c r="D48" s="113"/>
      <c r="E48" s="112"/>
      <c r="F48" s="18" t="s">
        <v>43</v>
      </c>
      <c r="G48" s="114">
        <v>45378</v>
      </c>
      <c r="H48" s="112"/>
    </row>
    <row r="49" spans="1:14" x14ac:dyDescent="0.3">
      <c r="A49" s="111" t="s">
        <v>44</v>
      </c>
      <c r="B49" s="112"/>
      <c r="C49" s="111" t="str">
        <f>C48</f>
        <v>PMP/NRV/16370/J.K.1110/2024</v>
      </c>
      <c r="D49" s="113"/>
      <c r="E49" s="112"/>
      <c r="F49" s="18" t="s">
        <v>43</v>
      </c>
      <c r="G49" s="114">
        <f>G48</f>
        <v>45378</v>
      </c>
      <c r="H49" s="115"/>
    </row>
    <row r="50" spans="1:14" s="23" customFormat="1" ht="33.75" customHeight="1" x14ac:dyDescent="0.3">
      <c r="A50" s="147" t="s">
        <v>191</v>
      </c>
      <c r="B50" s="148"/>
      <c r="C50" s="111" t="s">
        <v>218</v>
      </c>
      <c r="D50" s="113"/>
      <c r="E50" s="112"/>
      <c r="F50" s="18" t="s">
        <v>43</v>
      </c>
      <c r="G50" s="114">
        <f>G49</f>
        <v>45378</v>
      </c>
      <c r="H50" s="115"/>
    </row>
    <row r="51" spans="1:14" s="23" customFormat="1" ht="33" customHeight="1" x14ac:dyDescent="0.3">
      <c r="A51" s="149"/>
      <c r="B51" s="150"/>
      <c r="C51" s="111" t="s">
        <v>219</v>
      </c>
      <c r="D51" s="113"/>
      <c r="E51" s="113"/>
      <c r="F51" s="113"/>
      <c r="G51" s="113"/>
      <c r="H51" s="112"/>
    </row>
    <row r="52" spans="1:14" ht="30.9" customHeight="1" x14ac:dyDescent="0.3">
      <c r="A52" s="119" t="s">
        <v>244</v>
      </c>
      <c r="B52" s="120"/>
      <c r="C52" s="119" t="s">
        <v>243</v>
      </c>
      <c r="D52" s="121"/>
      <c r="E52" s="120"/>
      <c r="F52" s="46" t="s">
        <v>43</v>
      </c>
      <c r="G52" s="124">
        <v>45603</v>
      </c>
      <c r="H52" s="125"/>
    </row>
    <row r="53" spans="1:14" x14ac:dyDescent="0.3">
      <c r="A53" s="122" t="s">
        <v>46</v>
      </c>
      <c r="B53" s="122"/>
      <c r="C53" s="122"/>
      <c r="D53" s="122"/>
      <c r="E53" s="122"/>
      <c r="F53" s="122"/>
      <c r="G53" s="122"/>
      <c r="H53" s="122"/>
    </row>
    <row r="54" spans="1:14" x14ac:dyDescent="0.3">
      <c r="A54" s="123" t="s">
        <v>93</v>
      </c>
      <c r="B54" s="123"/>
      <c r="C54" s="123"/>
      <c r="D54" s="94">
        <f>E44</f>
        <v>7942.4679999999998</v>
      </c>
      <c r="E54" s="94"/>
      <c r="F54" s="94"/>
      <c r="G54" s="94"/>
      <c r="H54" s="94"/>
    </row>
    <row r="55" spans="1:14" x14ac:dyDescent="0.3">
      <c r="A55" s="92" t="s">
        <v>47</v>
      </c>
      <c r="B55" s="118"/>
      <c r="C55" s="118"/>
      <c r="D55" s="118" t="s">
        <v>228</v>
      </c>
      <c r="E55" s="118"/>
      <c r="F55" s="118"/>
      <c r="G55" s="118"/>
      <c r="H55" s="118"/>
      <c r="I55" s="24"/>
    </row>
    <row r="56" spans="1:14" ht="16.5" customHeight="1" x14ac:dyDescent="0.3">
      <c r="A56" s="116" t="s">
        <v>48</v>
      </c>
      <c r="B56" s="117"/>
      <c r="C56" s="146"/>
      <c r="D56" s="135" t="s">
        <v>230</v>
      </c>
      <c r="E56" s="145"/>
      <c r="F56" s="145"/>
      <c r="G56" s="145"/>
      <c r="H56" s="145"/>
    </row>
    <row r="57" spans="1:14" ht="15.75" customHeight="1" x14ac:dyDescent="0.3">
      <c r="A57" s="116" t="s">
        <v>91</v>
      </c>
      <c r="B57" s="117"/>
      <c r="C57" s="117"/>
      <c r="D57" s="92" t="s">
        <v>231</v>
      </c>
      <c r="E57" s="118"/>
      <c r="F57" s="118"/>
      <c r="G57" s="118"/>
      <c r="H57" s="118"/>
    </row>
    <row r="58" spans="1:14" ht="15.75" customHeight="1" x14ac:dyDescent="0.3">
      <c r="A58" s="94" t="s">
        <v>45</v>
      </c>
      <c r="B58" s="94"/>
      <c r="C58" s="94"/>
      <c r="D58" s="171" t="s">
        <v>192</v>
      </c>
      <c r="E58" s="171"/>
      <c r="F58" s="171"/>
      <c r="G58" s="171"/>
      <c r="H58" s="171"/>
      <c r="J58" s="25"/>
      <c r="K58" s="24"/>
      <c r="N58" s="24"/>
    </row>
    <row r="59" spans="1:14" ht="15.75" customHeight="1" x14ac:dyDescent="0.3">
      <c r="A59" s="94" t="s">
        <v>89</v>
      </c>
      <c r="B59" s="94"/>
      <c r="C59" s="94"/>
      <c r="D59" s="183" t="s">
        <v>245</v>
      </c>
      <c r="E59" s="183"/>
      <c r="F59" s="183"/>
      <c r="G59" s="183"/>
      <c r="H59" s="183"/>
      <c r="N59" s="24"/>
    </row>
    <row r="60" spans="1:14" ht="15.75" customHeight="1" x14ac:dyDescent="0.3">
      <c r="A60" s="94" t="s">
        <v>90</v>
      </c>
      <c r="B60" s="94"/>
      <c r="C60" s="94"/>
      <c r="D60" s="123" t="s">
        <v>24</v>
      </c>
      <c r="E60" s="123"/>
      <c r="F60" s="123"/>
      <c r="G60" s="123"/>
      <c r="H60" s="123"/>
      <c r="J60" s="26"/>
      <c r="K60" s="26"/>
    </row>
    <row r="61" spans="1:14" ht="52.5" customHeight="1" x14ac:dyDescent="0.3">
      <c r="A61" s="94" t="s">
        <v>76</v>
      </c>
      <c r="B61" s="94"/>
      <c r="C61" s="94"/>
      <c r="D61" s="92" t="s">
        <v>220</v>
      </c>
      <c r="E61" s="123"/>
      <c r="F61" s="123"/>
      <c r="G61" s="123"/>
      <c r="H61" s="123"/>
      <c r="I61" s="21" t="s">
        <v>221</v>
      </c>
      <c r="J61" s="63" t="s">
        <v>234</v>
      </c>
    </row>
    <row r="62" spans="1:14" x14ac:dyDescent="0.3">
      <c r="A62" s="123" t="s">
        <v>154</v>
      </c>
      <c r="B62" s="123"/>
      <c r="C62" s="123"/>
      <c r="D62" s="123" t="s">
        <v>30</v>
      </c>
      <c r="E62" s="123"/>
      <c r="F62" s="123"/>
      <c r="G62" s="123"/>
      <c r="H62" s="123"/>
      <c r="I62" s="27"/>
      <c r="J62" s="27"/>
      <c r="K62" s="27"/>
      <c r="L62" s="27"/>
      <c r="M62" s="27"/>
      <c r="N62" s="27"/>
    </row>
    <row r="63" spans="1:14" ht="15.75" customHeight="1" x14ac:dyDescent="0.3">
      <c r="A63" s="130" t="s">
        <v>88</v>
      </c>
      <c r="B63" s="130"/>
      <c r="C63" s="130"/>
      <c r="D63" s="135" t="str">
        <f ca="1">(IF(G69&gt;95%,"Nothing",IF(G69&gt;0%,"Cement, Aggregate, Steel, etc",IF(G69=0%,"Work not yet Started"))))</f>
        <v>Cement, Aggregate, Steel, etc</v>
      </c>
      <c r="E63" s="135"/>
      <c r="F63" s="135"/>
      <c r="G63" s="135"/>
      <c r="H63" s="135"/>
      <c r="J63" s="26"/>
    </row>
    <row r="64" spans="1:14" ht="33.75" customHeight="1" thickBot="1" x14ac:dyDescent="0.35">
      <c r="A64" s="161" t="s">
        <v>118</v>
      </c>
      <c r="B64" s="161"/>
      <c r="C64" s="161"/>
      <c r="D64" s="135" t="str">
        <f ca="1">(IF(D63="Nothing","Yes",IF(D63="Cement, Aggregate, Steel, etc","Under Construction",IF(D63="Work not yet Started","Work not yet Started"))))</f>
        <v>Under Construction</v>
      </c>
      <c r="E64" s="135"/>
      <c r="F64" s="135" t="str">
        <f ca="1">(IF(D63="Nothing","Yes",IF(D63="Cement, Aggregate, Steel, etc","Under Construction",IF(D63="Work not yet Started","Work not yet Started"))))</f>
        <v>Under Construction</v>
      </c>
      <c r="G64" s="135"/>
      <c r="H64" s="135"/>
      <c r="J64"/>
    </row>
    <row r="65" spans="1:13" ht="15.75" customHeight="1" x14ac:dyDescent="0.3">
      <c r="A65" s="154" t="s">
        <v>144</v>
      </c>
      <c r="B65" s="155"/>
      <c r="C65" s="156" t="str">
        <f>D57</f>
        <v>Ground + 1st to 21st Floor</v>
      </c>
      <c r="D65" s="157"/>
      <c r="E65" s="157"/>
      <c r="F65" s="157"/>
      <c r="G65" s="157"/>
      <c r="H65" s="158"/>
      <c r="I65" s="48" t="str">
        <f ca="1">IF(D78=100%,"All work Completed. Possession granted to the Building.",IF(D77=100%,"All work Completed, Waiting for OC",I66&amp;""&amp;I67&amp;""&amp;J66&amp;""&amp;J65&amp;" "&amp;J67))</f>
        <v>Excavation, Plinth Completed, RCC upto 15 Slab, Brickwork upto 14 Floor, Internal Plaster upto 13 Floor, External Plaster upto 10 Floor Completed</v>
      </c>
      <c r="J65" s="49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15 Slab, Brickwork upto 14 Floor, Internal Plaster upto 13 Floor, External Plaster upto 10 Floor</v>
      </c>
    </row>
    <row r="66" spans="1:13" x14ac:dyDescent="0.3">
      <c r="A66" s="16" t="s">
        <v>146</v>
      </c>
      <c r="B66" s="52">
        <v>0</v>
      </c>
      <c r="C66" s="52" t="s">
        <v>73</v>
      </c>
      <c r="D66" s="52">
        <v>1</v>
      </c>
      <c r="E66" s="52" t="s">
        <v>72</v>
      </c>
      <c r="F66" s="52">
        <v>0</v>
      </c>
      <c r="G66" s="52" t="s">
        <v>82</v>
      </c>
      <c r="H66" s="17">
        <f ca="1">--TRIM(RIGHT(SUBSTITUTE(LEFT(C65,_xlfn.AGGREGATE(16,6,FIND({0,1,2,3,4,5,6,7,8,9},C65,ROW(INDIRECT("1:"&amp;LEN(C65)))),1))," ",REPT(" ",LEN(C65))),LEN(C65)))</f>
        <v>21</v>
      </c>
      <c r="I66" s="50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51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47.25" customHeight="1" x14ac:dyDescent="0.3">
      <c r="A67" s="152" t="s">
        <v>92</v>
      </c>
      <c r="B67" s="153"/>
      <c r="C67" s="159" t="str">
        <f ca="1">I65</f>
        <v>Excavation, Plinth Completed, RCC upto 15 Slab, Brickwork upto 14 Floor, Internal Plaster upto 13 Floor, External Plaster upto 10 Floor Completed</v>
      </c>
      <c r="D67" s="159"/>
      <c r="E67" s="159"/>
      <c r="F67" s="159"/>
      <c r="G67" s="159"/>
      <c r="H67" s="160"/>
      <c r="I67" s="50" t="str">
        <f ca="1">IF(I66&lt;&gt;""," Completed","")</f>
        <v xml:space="preserve"> Completed</v>
      </c>
      <c r="J67" s="51" t="str">
        <f ca="1">IF(J65&lt;&gt;"","Completed","")</f>
        <v>Completed</v>
      </c>
    </row>
    <row r="68" spans="1:13" ht="15.75" customHeight="1" x14ac:dyDescent="0.3">
      <c r="A68" s="151" t="s">
        <v>49</v>
      </c>
      <c r="B68" s="136"/>
      <c r="C68" s="54" t="s">
        <v>143</v>
      </c>
      <c r="D68" s="54" t="s">
        <v>85</v>
      </c>
      <c r="E68" s="136" t="s">
        <v>87</v>
      </c>
      <c r="F68" s="136"/>
      <c r="G68" s="136" t="s">
        <v>86</v>
      </c>
      <c r="H68" s="137"/>
      <c r="I68" s="14" t="s">
        <v>145</v>
      </c>
      <c r="J68" s="28">
        <f ca="1">H66*25%</f>
        <v>5.25</v>
      </c>
    </row>
    <row r="69" spans="1:13" x14ac:dyDescent="0.3">
      <c r="A69" s="106" t="s">
        <v>132</v>
      </c>
      <c r="B69" s="107"/>
      <c r="C69" s="44">
        <f ca="1">J70</f>
        <v>21</v>
      </c>
      <c r="D69" s="19">
        <f ca="1">((100/H66)*C69)/100</f>
        <v>1</v>
      </c>
      <c r="E69" s="172">
        <f ca="1">(((C70/H66*10)+(40/(D66+F66+H66)*C71)+(7.5/(H66)*C72)+(7.5/(H66)*C73)+(10/H66*C74)+(10/H66*C75)+(5/H66*C76)+(5/H66*C77)+(5/H66*C78))/100)</f>
        <v>0.51677489177489178</v>
      </c>
      <c r="F69" s="173"/>
      <c r="G69" s="172">
        <f ca="1">((((C69/H66)*20)+((C70/H66)*25)+(30/(H66+F66+D66)*C71)+(5/H66*C72)+(5/H66*C73)+(5/H66*C74)+(5/H66*C75)+(0/H66*C76)+(0/H66*C77)+(5/H66*C78))/100)</f>
        <v>0.74264069264069266</v>
      </c>
      <c r="H69" s="178"/>
      <c r="I69" s="14" t="s">
        <v>101</v>
      </c>
      <c r="J69" s="29">
        <f ca="1">H66*50%</f>
        <v>10.5</v>
      </c>
    </row>
    <row r="70" spans="1:13" x14ac:dyDescent="0.3">
      <c r="A70" s="106" t="s">
        <v>50</v>
      </c>
      <c r="B70" s="107"/>
      <c r="C70" s="44">
        <f ca="1">J78</f>
        <v>21</v>
      </c>
      <c r="D70" s="19">
        <f ca="1">((100/H66)*C70)/100</f>
        <v>1</v>
      </c>
      <c r="E70" s="174"/>
      <c r="F70" s="175"/>
      <c r="G70" s="174"/>
      <c r="H70" s="179"/>
      <c r="I70" s="14" t="s">
        <v>102</v>
      </c>
      <c r="J70" s="29">
        <f ca="1">H66</f>
        <v>21</v>
      </c>
    </row>
    <row r="71" spans="1:13" ht="15.75" customHeight="1" x14ac:dyDescent="0.3">
      <c r="A71" s="106" t="s">
        <v>133</v>
      </c>
      <c r="B71" s="107"/>
      <c r="C71" s="44">
        <v>15</v>
      </c>
      <c r="D71" s="19">
        <f ca="1">((100/(D66+F66+H66))*C71)/100</f>
        <v>0.68181818181818188</v>
      </c>
      <c r="E71" s="174"/>
      <c r="F71" s="175"/>
      <c r="G71" s="174"/>
      <c r="H71" s="179"/>
      <c r="I71" s="14" t="s">
        <v>103</v>
      </c>
      <c r="J71" s="30">
        <f ca="1">(IF(B66&gt;1,(H66/(B66+2)),H66/4))</f>
        <v>5.25</v>
      </c>
      <c r="K71" s="21">
        <f>13-5</f>
        <v>8</v>
      </c>
    </row>
    <row r="72" spans="1:13" ht="15.75" customHeight="1" x14ac:dyDescent="0.3">
      <c r="A72" s="106" t="s">
        <v>140</v>
      </c>
      <c r="B72" s="107" t="s">
        <v>134</v>
      </c>
      <c r="C72" s="44">
        <v>14</v>
      </c>
      <c r="D72" s="19">
        <f ca="1">((100/H66)*C72)/100</f>
        <v>0.66666666666666674</v>
      </c>
      <c r="E72" s="174"/>
      <c r="F72" s="175"/>
      <c r="G72" s="174"/>
      <c r="H72" s="179"/>
      <c r="I72" s="14" t="s">
        <v>104</v>
      </c>
      <c r="J72" s="30">
        <f ca="1">(IF(B66&gt;1,(H66/(B66+2)+J71),H66/4+J71))</f>
        <v>10.5</v>
      </c>
    </row>
    <row r="73" spans="1:13" ht="15.75" customHeight="1" x14ac:dyDescent="0.3">
      <c r="A73" s="106" t="s">
        <v>141</v>
      </c>
      <c r="B73" s="107" t="s">
        <v>134</v>
      </c>
      <c r="C73" s="44">
        <v>13</v>
      </c>
      <c r="D73" s="19">
        <f ca="1">((100/H66)*C73)/100</f>
        <v>0.61904761904761907</v>
      </c>
      <c r="E73" s="174"/>
      <c r="F73" s="175"/>
      <c r="G73" s="174"/>
      <c r="H73" s="179"/>
      <c r="I73" s="14" t="s">
        <v>152</v>
      </c>
      <c r="J73" s="30">
        <f>(IF(B66&gt;1,(H66/(B66+2)+J72),0))</f>
        <v>0</v>
      </c>
    </row>
    <row r="74" spans="1:13" ht="15" customHeight="1" x14ac:dyDescent="0.3">
      <c r="A74" s="106" t="s">
        <v>139</v>
      </c>
      <c r="B74" s="107" t="s">
        <v>136</v>
      </c>
      <c r="C74" s="44">
        <v>10</v>
      </c>
      <c r="D74" s="19">
        <f ca="1">((100/(H66))*C74)/100</f>
        <v>0.47619047619047622</v>
      </c>
      <c r="E74" s="174"/>
      <c r="F74" s="175"/>
      <c r="G74" s="174"/>
      <c r="H74" s="179"/>
      <c r="I74" s="14" t="s">
        <v>147</v>
      </c>
      <c r="J74" s="30">
        <f>(IF(B66&gt;2,(H66/(B66+2)+J73),0))</f>
        <v>0</v>
      </c>
    </row>
    <row r="75" spans="1:13" ht="15.75" customHeight="1" x14ac:dyDescent="0.3">
      <c r="A75" s="106" t="s">
        <v>135</v>
      </c>
      <c r="B75" s="107" t="s">
        <v>135</v>
      </c>
      <c r="C75" s="44">
        <v>0</v>
      </c>
      <c r="D75" s="19">
        <f ca="1">((100/H66)*C75)/100</f>
        <v>0</v>
      </c>
      <c r="E75" s="174"/>
      <c r="F75" s="175"/>
      <c r="G75" s="174"/>
      <c r="H75" s="179"/>
      <c r="I75" s="14" t="s">
        <v>148</v>
      </c>
      <c r="J75" s="31">
        <f>(IF(B66&gt;3,(H66/(B66+2)+J74),0))</f>
        <v>0</v>
      </c>
    </row>
    <row r="76" spans="1:13" ht="15.75" customHeight="1" x14ac:dyDescent="0.3">
      <c r="A76" s="106" t="s">
        <v>142</v>
      </c>
      <c r="B76" s="107"/>
      <c r="C76" s="44">
        <v>0</v>
      </c>
      <c r="D76" s="19">
        <f ca="1">((100/H66)*C76)/100</f>
        <v>0</v>
      </c>
      <c r="E76" s="174"/>
      <c r="F76" s="175"/>
      <c r="G76" s="174"/>
      <c r="H76" s="179"/>
      <c r="I76" s="14" t="s">
        <v>149</v>
      </c>
      <c r="J76" s="30">
        <f>(IF(B66&gt;4,(H66/(B66+2)+J75),0))</f>
        <v>0</v>
      </c>
    </row>
    <row r="77" spans="1:13" ht="15.75" customHeight="1" x14ac:dyDescent="0.3">
      <c r="A77" s="106" t="s">
        <v>137</v>
      </c>
      <c r="B77" s="107" t="s">
        <v>137</v>
      </c>
      <c r="C77" s="44">
        <v>0</v>
      </c>
      <c r="D77" s="19">
        <f ca="1">((100/(H66))*C77)/100</f>
        <v>0</v>
      </c>
      <c r="E77" s="174"/>
      <c r="F77" s="175"/>
      <c r="G77" s="174"/>
      <c r="H77" s="179"/>
      <c r="I77" s="14" t="s">
        <v>153</v>
      </c>
      <c r="J77" s="30">
        <f ca="1">(IF(B66=1,(H66/(B66+3)+J72),IF(B66=0,(H66/4+J72),IF(B66&gt;1,0))))</f>
        <v>15.75</v>
      </c>
    </row>
    <row r="78" spans="1:13" ht="16.2" thickBot="1" x14ac:dyDescent="0.35">
      <c r="A78" s="181" t="s">
        <v>138</v>
      </c>
      <c r="B78" s="182"/>
      <c r="C78" s="45">
        <v>0</v>
      </c>
      <c r="D78" s="20">
        <f ca="1">((100/(H66))*C78)/100</f>
        <v>0</v>
      </c>
      <c r="E78" s="176"/>
      <c r="F78" s="177"/>
      <c r="G78" s="176"/>
      <c r="H78" s="180"/>
      <c r="I78" s="15" t="s">
        <v>105</v>
      </c>
      <c r="J78" s="32">
        <f ca="1">(IF(B66&gt;1.5,(H66/(B66+2)+J72+MAX(0,J73-J72)+MAX(0,J74-J73)+MAX(0,J75-J74)+MAX(0,J76-J75)+MAX(0,J77-J76)),IF(B66=1,(H66/(B66+3)+J77),IF(B66=0,H66/4+J77))))</f>
        <v>21</v>
      </c>
    </row>
    <row r="79" spans="1:13" x14ac:dyDescent="0.3">
      <c r="A79" s="169" t="s">
        <v>162</v>
      </c>
      <c r="B79" s="169"/>
      <c r="C79" s="169"/>
      <c r="D79" s="169"/>
      <c r="E79" s="169"/>
      <c r="F79" s="185" t="s">
        <v>167</v>
      </c>
      <c r="G79" s="185"/>
      <c r="H79" s="185"/>
    </row>
    <row r="80" spans="1:13" x14ac:dyDescent="0.3">
      <c r="A80" s="94" t="s">
        <v>165</v>
      </c>
      <c r="B80" s="94"/>
      <c r="C80" s="94"/>
      <c r="D80" s="94"/>
      <c r="E80" s="94"/>
      <c r="F80" s="108">
        <v>7800</v>
      </c>
      <c r="G80" s="108"/>
      <c r="H80" s="108"/>
      <c r="I80" s="21" t="s">
        <v>241</v>
      </c>
      <c r="K80" s="58" t="s">
        <v>204</v>
      </c>
      <c r="L80" s="58" t="s">
        <v>205</v>
      </c>
      <c r="M80" s="58" t="s">
        <v>206</v>
      </c>
    </row>
    <row r="81" spans="1:14" x14ac:dyDescent="0.3">
      <c r="A81" s="94" t="s">
        <v>164</v>
      </c>
      <c r="B81" s="94"/>
      <c r="C81" s="94"/>
      <c r="D81" s="94"/>
      <c r="E81" s="94"/>
      <c r="F81" s="108">
        <v>15000</v>
      </c>
      <c r="G81" s="108"/>
      <c r="H81" s="108"/>
      <c r="I81" s="61" t="s">
        <v>210</v>
      </c>
      <c r="K81" s="21">
        <v>8900</v>
      </c>
      <c r="L81" s="21">
        <v>8200</v>
      </c>
      <c r="M81" s="24">
        <f>3000000/636</f>
        <v>4716.9811320754716</v>
      </c>
      <c r="N81" s="24">
        <f>4500000/F131</f>
        <v>7151.4179463603314</v>
      </c>
    </row>
    <row r="82" spans="1:14" hidden="1" x14ac:dyDescent="0.3">
      <c r="A82" s="94" t="s">
        <v>166</v>
      </c>
      <c r="B82" s="94"/>
      <c r="C82" s="94"/>
      <c r="D82" s="94"/>
      <c r="E82" s="94"/>
      <c r="F82" s="108"/>
      <c r="G82" s="108"/>
      <c r="H82" s="108"/>
    </row>
    <row r="83" spans="1:14" s="33" customFormat="1" hidden="1" x14ac:dyDescent="0.25">
      <c r="A83" s="94" t="s">
        <v>163</v>
      </c>
      <c r="B83" s="94"/>
      <c r="C83" s="94"/>
      <c r="D83" s="94"/>
      <c r="E83" s="94"/>
      <c r="F83" s="108"/>
      <c r="G83" s="108"/>
      <c r="H83" s="108"/>
    </row>
    <row r="84" spans="1:14" s="33" customFormat="1" x14ac:dyDescent="0.25">
      <c r="A84" s="94" t="s">
        <v>201</v>
      </c>
      <c r="B84" s="94"/>
      <c r="C84" s="94"/>
      <c r="D84" s="94"/>
      <c r="E84" s="94"/>
      <c r="F84" s="108">
        <v>350000</v>
      </c>
      <c r="G84" s="108"/>
      <c r="H84" s="108"/>
      <c r="J84" s="57"/>
      <c r="L84" s="33">
        <v>6800</v>
      </c>
    </row>
    <row r="85" spans="1:14" s="33" customFormat="1" x14ac:dyDescent="0.25">
      <c r="A85" s="94" t="s">
        <v>97</v>
      </c>
      <c r="B85" s="94"/>
      <c r="C85" s="94"/>
      <c r="D85" s="94"/>
      <c r="E85" s="94"/>
      <c r="F85" s="108">
        <v>200000</v>
      </c>
      <c r="G85" s="108"/>
      <c r="H85" s="108"/>
    </row>
    <row r="86" spans="1:14" s="33" customFormat="1" hidden="1" x14ac:dyDescent="0.25">
      <c r="A86" s="94" t="s">
        <v>168</v>
      </c>
      <c r="B86" s="94"/>
      <c r="C86" s="94"/>
      <c r="D86" s="94"/>
      <c r="E86" s="94"/>
      <c r="F86" s="108"/>
      <c r="G86" s="108"/>
      <c r="H86" s="108"/>
    </row>
    <row r="87" spans="1:14" s="33" customFormat="1" hidden="1" x14ac:dyDescent="0.25">
      <c r="A87" s="94" t="s">
        <v>98</v>
      </c>
      <c r="B87" s="94"/>
      <c r="C87" s="94"/>
      <c r="D87" s="94"/>
      <c r="E87" s="94"/>
      <c r="F87" s="108"/>
      <c r="G87" s="108"/>
      <c r="H87" s="108"/>
    </row>
    <row r="88" spans="1:14" s="33" customFormat="1" hidden="1" x14ac:dyDescent="0.25">
      <c r="A88" s="94" t="s">
        <v>99</v>
      </c>
      <c r="B88" s="94"/>
      <c r="C88" s="94"/>
      <c r="D88" s="94"/>
      <c r="E88" s="94"/>
      <c r="F88" s="108"/>
      <c r="G88" s="108"/>
      <c r="H88" s="108"/>
    </row>
    <row r="89" spans="1:14" s="33" customFormat="1" x14ac:dyDescent="0.25">
      <c r="A89" s="94" t="s">
        <v>100</v>
      </c>
      <c r="B89" s="94"/>
      <c r="C89" s="94"/>
      <c r="D89" s="94"/>
      <c r="E89" s="94"/>
      <c r="F89" s="108">
        <v>50000</v>
      </c>
      <c r="G89" s="108"/>
      <c r="H89" s="108"/>
    </row>
    <row r="90" spans="1:14" s="33" customFormat="1" x14ac:dyDescent="0.25">
      <c r="A90" s="94" t="s">
        <v>200</v>
      </c>
      <c r="B90" s="94"/>
      <c r="C90" s="94"/>
      <c r="D90" s="94"/>
      <c r="E90" s="94"/>
      <c r="F90" s="108">
        <v>100000</v>
      </c>
      <c r="G90" s="108"/>
      <c r="H90" s="108"/>
    </row>
    <row r="91" spans="1:14" x14ac:dyDescent="0.3">
      <c r="A91" s="94" t="s">
        <v>51</v>
      </c>
      <c r="B91" s="94"/>
      <c r="C91" s="94"/>
      <c r="D91" s="94"/>
      <c r="E91" s="94"/>
      <c r="F91" s="108">
        <v>400000</v>
      </c>
      <c r="G91" s="108"/>
      <c r="H91" s="108"/>
    </row>
    <row r="92" spans="1:14" s="34" customFormat="1" x14ac:dyDescent="0.3">
      <c r="A92" s="141" t="s">
        <v>52</v>
      </c>
      <c r="B92" s="141"/>
      <c r="C92" s="141"/>
      <c r="D92" s="141"/>
      <c r="E92" s="141"/>
      <c r="F92" s="108">
        <f>F80*0.8</f>
        <v>6240</v>
      </c>
      <c r="G92" s="108"/>
      <c r="H92" s="108"/>
    </row>
    <row r="93" spans="1:14" s="35" customFormat="1" ht="15.75" customHeight="1" x14ac:dyDescent="0.3">
      <c r="A93" s="140" t="s">
        <v>77</v>
      </c>
      <c r="B93" s="140"/>
      <c r="C93" s="140"/>
      <c r="D93" s="140"/>
      <c r="E93" s="140"/>
      <c r="F93" s="140"/>
      <c r="G93" s="140"/>
      <c r="H93" s="140"/>
      <c r="I93" s="59"/>
      <c r="J93" s="60" t="s">
        <v>186</v>
      </c>
      <c r="K93" s="60" t="s">
        <v>208</v>
      </c>
      <c r="L93" s="60" t="s">
        <v>209</v>
      </c>
    </row>
    <row r="94" spans="1:14" s="35" customFormat="1" ht="15.75" customHeight="1" x14ac:dyDescent="0.3">
      <c r="A94" s="97" t="s">
        <v>53</v>
      </c>
      <c r="B94" s="97"/>
      <c r="C94" s="126" t="s">
        <v>80</v>
      </c>
      <c r="D94" s="126"/>
      <c r="E94" s="131" t="s">
        <v>54</v>
      </c>
      <c r="F94" s="131"/>
      <c r="G94" s="97" t="s">
        <v>55</v>
      </c>
      <c r="H94" s="97"/>
    </row>
    <row r="95" spans="1:14" s="35" customFormat="1" x14ac:dyDescent="0.3">
      <c r="A95" s="143" t="s">
        <v>198</v>
      </c>
      <c r="B95" s="143"/>
      <c r="C95" s="128">
        <f>COUNT(D105:D123)</f>
        <v>19</v>
      </c>
      <c r="D95" s="129"/>
      <c r="E95" s="109">
        <f>SUM(D105:D123)</f>
        <v>15060.622823999996</v>
      </c>
      <c r="F95" s="110"/>
      <c r="G95" s="109">
        <f>SUM(F105:F123)</f>
        <v>23343.965377199998</v>
      </c>
      <c r="H95" s="110"/>
    </row>
    <row r="96" spans="1:14" s="35" customFormat="1" x14ac:dyDescent="0.3">
      <c r="A96" s="140" t="s">
        <v>71</v>
      </c>
      <c r="B96" s="140"/>
      <c r="C96" s="140"/>
      <c r="D96" s="140"/>
      <c r="E96" s="140"/>
      <c r="F96" s="140"/>
      <c r="G96" s="140"/>
      <c r="H96" s="140"/>
    </row>
    <row r="97" spans="1:14" s="35" customFormat="1" ht="15.75" customHeight="1" x14ac:dyDescent="0.3">
      <c r="A97" s="97" t="s">
        <v>53</v>
      </c>
      <c r="B97" s="97"/>
      <c r="C97" s="126" t="s">
        <v>80</v>
      </c>
      <c r="D97" s="126"/>
      <c r="E97" s="131" t="s">
        <v>54</v>
      </c>
      <c r="F97" s="131"/>
      <c r="G97" s="97" t="s">
        <v>55</v>
      </c>
      <c r="H97" s="97"/>
    </row>
    <row r="98" spans="1:14" s="35" customFormat="1" x14ac:dyDescent="0.3">
      <c r="A98" s="143" t="s">
        <v>199</v>
      </c>
      <c r="B98" s="143"/>
      <c r="C98" s="128">
        <f>COUNT(D131:D141)+COUNT(D143:D153)*4+COUNT(D155:D165)*3+COUNT(D182:D186)</f>
        <v>93</v>
      </c>
      <c r="D98" s="128"/>
      <c r="E98" s="109">
        <f>SUM(D131:D141)+SUM(D143:D153)*4+SUM(D155:D165)*3+SUM(D182:D186)</f>
        <v>52406.81596800001</v>
      </c>
      <c r="F98" s="109"/>
      <c r="G98" s="109">
        <f>SUM(F131:F141)+SUM(F143:F153)*4+SUM(F155:F165)*3+SUM(F182:F186)</f>
        <v>78721.812029000008</v>
      </c>
      <c r="H98" s="109"/>
    </row>
    <row r="99" spans="1:14" s="60" customFormat="1" x14ac:dyDescent="0.3">
      <c r="A99" s="140" t="s">
        <v>211</v>
      </c>
      <c r="B99" s="140"/>
      <c r="C99" s="186">
        <f>C98+C95</f>
        <v>112</v>
      </c>
      <c r="D99" s="186"/>
      <c r="E99" s="187">
        <f>E98+E95</f>
        <v>67467.438792000001</v>
      </c>
      <c r="F99" s="187"/>
      <c r="G99" s="187">
        <f>G98+G95</f>
        <v>102065.77740620001</v>
      </c>
      <c r="H99" s="187"/>
    </row>
    <row r="100" spans="1:14" s="34" customFormat="1" x14ac:dyDescent="0.3">
      <c r="A100" s="127" t="s">
        <v>56</v>
      </c>
      <c r="B100" s="127"/>
      <c r="C100" s="127"/>
      <c r="D100" s="127"/>
      <c r="E100" s="127"/>
      <c r="F100" s="127"/>
      <c r="G100" s="127"/>
      <c r="H100" s="127"/>
    </row>
    <row r="101" spans="1:14" x14ac:dyDescent="0.3">
      <c r="A101" s="127" t="s">
        <v>57</v>
      </c>
      <c r="B101" s="127"/>
      <c r="C101" s="127"/>
      <c r="D101" s="127"/>
      <c r="E101" s="127"/>
      <c r="F101" s="127"/>
      <c r="G101" s="127"/>
      <c r="H101" s="127"/>
    </row>
    <row r="102" spans="1:14" ht="47.25" customHeight="1" x14ac:dyDescent="0.3">
      <c r="A102" s="98" t="s">
        <v>122</v>
      </c>
      <c r="B102" s="98" t="s">
        <v>121</v>
      </c>
      <c r="C102" s="98" t="s">
        <v>58</v>
      </c>
      <c r="D102" s="98" t="s">
        <v>59</v>
      </c>
      <c r="E102" s="100" t="s">
        <v>161</v>
      </c>
      <c r="F102" s="43" t="s">
        <v>155</v>
      </c>
      <c r="G102" s="102" t="s">
        <v>61</v>
      </c>
      <c r="H102" s="103"/>
    </row>
    <row r="103" spans="1:14" s="37" customFormat="1" x14ac:dyDescent="0.3">
      <c r="A103" s="99"/>
      <c r="B103" s="99"/>
      <c r="C103" s="99"/>
      <c r="D103" s="99"/>
      <c r="E103" s="101"/>
      <c r="F103" s="13">
        <v>0.55000000000000004</v>
      </c>
      <c r="G103" s="104"/>
      <c r="H103" s="105"/>
    </row>
    <row r="104" spans="1:14" s="37" customFormat="1" x14ac:dyDescent="0.3">
      <c r="A104" s="82" t="s">
        <v>224</v>
      </c>
      <c r="B104" s="83"/>
      <c r="C104" s="83"/>
      <c r="D104" s="83"/>
      <c r="E104" s="83"/>
      <c r="F104" s="83"/>
      <c r="G104" s="83"/>
      <c r="H104" s="84"/>
      <c r="J104" s="55">
        <f>10.764</f>
        <v>10.763999999999999</v>
      </c>
    </row>
    <row r="105" spans="1:14" s="37" customFormat="1" ht="15.75" customHeight="1" x14ac:dyDescent="0.3">
      <c r="A105" s="69">
        <v>1</v>
      </c>
      <c r="B105" s="70"/>
      <c r="C105" s="42" t="s">
        <v>194</v>
      </c>
      <c r="D105" s="55">
        <f>(32.611)*(10.764)</f>
        <v>351.02480399999996</v>
      </c>
      <c r="E105" s="42">
        <v>0</v>
      </c>
      <c r="F105" s="42">
        <f t="shared" ref="F105:F107" si="0">(D105+E105)*(($F$103)+1)</f>
        <v>544.08844619999991</v>
      </c>
      <c r="G105" s="86" t="str">
        <f>A104</f>
        <v>Ground Floor For Commercial, Entrance Lobby, Meter Room, Fire Room &amp; Pump Room</v>
      </c>
      <c r="H105" s="87"/>
      <c r="I105" s="36"/>
      <c r="L105" s="71"/>
      <c r="M105" s="71"/>
      <c r="N105" s="36"/>
    </row>
    <row r="106" spans="1:14" s="37" customFormat="1" ht="15.75" customHeight="1" x14ac:dyDescent="0.3">
      <c r="A106" s="69">
        <f>A105+1</f>
        <v>2</v>
      </c>
      <c r="B106" s="70"/>
      <c r="C106" s="42" t="s">
        <v>194</v>
      </c>
      <c r="D106" s="55">
        <f>(34.313)*(10.764)</f>
        <v>369.34513199999998</v>
      </c>
      <c r="E106" s="42">
        <v>0</v>
      </c>
      <c r="F106" s="42">
        <f t="shared" si="0"/>
        <v>572.48495460000004</v>
      </c>
      <c r="G106" s="88"/>
      <c r="H106" s="89"/>
      <c r="I106" s="36">
        <f>3.015*10.77</f>
        <v>32.471550000000001</v>
      </c>
      <c r="L106" s="71"/>
      <c r="M106" s="71"/>
      <c r="N106" s="36"/>
    </row>
    <row r="107" spans="1:14" s="37" customFormat="1" ht="15.75" customHeight="1" x14ac:dyDescent="0.3">
      <c r="A107" s="69">
        <f t="shared" ref="A107:A123" si="1">A106+1</f>
        <v>3</v>
      </c>
      <c r="B107" s="70"/>
      <c r="C107" s="42" t="s">
        <v>194</v>
      </c>
      <c r="D107" s="55">
        <f>(32.472)*(10.764)</f>
        <v>349.52860800000002</v>
      </c>
      <c r="E107" s="42">
        <v>0</v>
      </c>
      <c r="F107" s="42">
        <f t="shared" si="0"/>
        <v>541.76934240000003</v>
      </c>
      <c r="G107" s="88"/>
      <c r="H107" s="89"/>
      <c r="I107" s="36"/>
      <c r="L107" s="71"/>
      <c r="M107" s="71"/>
      <c r="N107" s="36"/>
    </row>
    <row r="108" spans="1:14" s="37" customFormat="1" ht="15.75" customHeight="1" x14ac:dyDescent="0.3">
      <c r="A108" s="69">
        <f t="shared" si="1"/>
        <v>4</v>
      </c>
      <c r="B108" s="70"/>
      <c r="C108" s="42" t="s">
        <v>194</v>
      </c>
      <c r="D108" s="55">
        <f>(30.59)*(10.764)</f>
        <v>329.27076</v>
      </c>
      <c r="E108" s="42">
        <v>0</v>
      </c>
      <c r="F108" s="42">
        <f>(D108+E108)*(($F$103)+1)</f>
        <v>510.36967800000002</v>
      </c>
      <c r="G108" s="88"/>
      <c r="H108" s="89"/>
      <c r="I108" s="36"/>
      <c r="L108" s="71"/>
      <c r="M108" s="71"/>
      <c r="N108" s="36"/>
    </row>
    <row r="109" spans="1:14" s="37" customFormat="1" ht="15.75" customHeight="1" x14ac:dyDescent="0.3">
      <c r="A109" s="69">
        <f t="shared" si="1"/>
        <v>5</v>
      </c>
      <c r="B109" s="70"/>
      <c r="C109" s="42" t="s">
        <v>194</v>
      </c>
      <c r="D109" s="55">
        <f>(32.092)*(10.764)</f>
        <v>345.43828799999994</v>
      </c>
      <c r="E109" s="42">
        <v>0</v>
      </c>
      <c r="F109" s="42">
        <f t="shared" ref="F109:F111" si="2">(D109+E109)*(($F$103)+1)</f>
        <v>535.42934639999987</v>
      </c>
      <c r="G109" s="88"/>
      <c r="H109" s="89"/>
      <c r="I109" s="36"/>
      <c r="L109" s="71"/>
      <c r="M109" s="71"/>
      <c r="N109" s="36"/>
    </row>
    <row r="110" spans="1:14" s="37" customFormat="1" ht="15.75" customHeight="1" x14ac:dyDescent="0.3">
      <c r="A110" s="69">
        <f t="shared" si="1"/>
        <v>6</v>
      </c>
      <c r="B110" s="70"/>
      <c r="C110" s="42" t="s">
        <v>194</v>
      </c>
      <c r="D110" s="55">
        <f>(32.092)*(10.764)</f>
        <v>345.43828799999994</v>
      </c>
      <c r="E110" s="42">
        <v>0</v>
      </c>
      <c r="F110" s="42">
        <f t="shared" si="2"/>
        <v>535.42934639999987</v>
      </c>
      <c r="G110" s="88"/>
      <c r="H110" s="89"/>
      <c r="I110" s="36"/>
      <c r="L110" s="71"/>
      <c r="M110" s="71"/>
      <c r="N110" s="36"/>
    </row>
    <row r="111" spans="1:14" s="37" customFormat="1" ht="15.75" customHeight="1" x14ac:dyDescent="0.3">
      <c r="A111" s="69">
        <f t="shared" si="1"/>
        <v>7</v>
      </c>
      <c r="B111" s="70"/>
      <c r="C111" s="42" t="s">
        <v>194</v>
      </c>
      <c r="D111" s="55">
        <f>(36.235)*(10.764)</f>
        <v>390.03353999999996</v>
      </c>
      <c r="E111" s="42">
        <v>0</v>
      </c>
      <c r="F111" s="42">
        <f t="shared" si="2"/>
        <v>604.55198699999994</v>
      </c>
      <c r="G111" s="88"/>
      <c r="H111" s="89"/>
      <c r="I111" s="36"/>
      <c r="L111" s="71"/>
      <c r="M111" s="71"/>
      <c r="N111" s="36"/>
    </row>
    <row r="112" spans="1:14" s="37" customFormat="1" ht="15.75" customHeight="1" x14ac:dyDescent="0.3">
      <c r="A112" s="69">
        <f t="shared" si="1"/>
        <v>8</v>
      </c>
      <c r="B112" s="70"/>
      <c r="C112" s="42" t="s">
        <v>194</v>
      </c>
      <c r="D112" s="55">
        <f>(36.235)*(10.764)</f>
        <v>390.03353999999996</v>
      </c>
      <c r="E112" s="42">
        <v>0</v>
      </c>
      <c r="F112" s="42">
        <f t="shared" ref="F112:F117" si="3">(D112+E112)*(($F$103)+1)</f>
        <v>604.55198699999994</v>
      </c>
      <c r="G112" s="88"/>
      <c r="H112" s="89"/>
      <c r="I112" s="36"/>
      <c r="L112" s="71"/>
      <c r="M112" s="71"/>
      <c r="N112" s="36"/>
    </row>
    <row r="113" spans="1:14" s="37" customFormat="1" ht="44.25" customHeight="1" x14ac:dyDescent="0.3">
      <c r="A113" s="69">
        <f t="shared" si="1"/>
        <v>9</v>
      </c>
      <c r="B113" s="70"/>
      <c r="C113" s="62" t="s">
        <v>222</v>
      </c>
      <c r="D113" s="55">
        <f>(268.403)*(10.764)</f>
        <v>2889.089892</v>
      </c>
      <c r="E113" s="42">
        <v>0</v>
      </c>
      <c r="F113" s="42">
        <f t="shared" si="3"/>
        <v>4478.0893326000005</v>
      </c>
      <c r="G113" s="88"/>
      <c r="H113" s="89"/>
      <c r="I113" s="36"/>
      <c r="L113" s="71"/>
      <c r="M113" s="71"/>
      <c r="N113" s="36"/>
    </row>
    <row r="114" spans="1:14" s="37" customFormat="1" ht="46.5" customHeight="1" x14ac:dyDescent="0.3">
      <c r="A114" s="69">
        <f t="shared" si="1"/>
        <v>10</v>
      </c>
      <c r="B114" s="70"/>
      <c r="C114" s="62" t="s">
        <v>222</v>
      </c>
      <c r="D114" s="55">
        <f>(285.349)*(10.764)</f>
        <v>3071.4966359999999</v>
      </c>
      <c r="E114" s="42">
        <v>0</v>
      </c>
      <c r="F114" s="42">
        <f t="shared" si="3"/>
        <v>4760.8197858000003</v>
      </c>
      <c r="G114" s="88"/>
      <c r="H114" s="89"/>
      <c r="I114" s="36">
        <f>(13.98*3+4.4*11.78+((3.14*(8*8))/4))*2</f>
        <v>288.024</v>
      </c>
      <c r="L114" s="71"/>
      <c r="M114" s="71"/>
      <c r="N114" s="36"/>
    </row>
    <row r="115" spans="1:14" s="37" customFormat="1" ht="15.75" customHeight="1" x14ac:dyDescent="0.3">
      <c r="A115" s="69">
        <f t="shared" si="1"/>
        <v>11</v>
      </c>
      <c r="B115" s="70"/>
      <c r="C115" s="42" t="s">
        <v>194</v>
      </c>
      <c r="D115" s="55">
        <f>(69.616)*(10.764)</f>
        <v>749.34662399999991</v>
      </c>
      <c r="E115" s="42">
        <v>0</v>
      </c>
      <c r="F115" s="42">
        <f t="shared" si="3"/>
        <v>1161.4872671999999</v>
      </c>
      <c r="G115" s="88"/>
      <c r="H115" s="89"/>
      <c r="I115" s="36"/>
      <c r="L115" s="71"/>
      <c r="M115" s="71"/>
      <c r="N115" s="36"/>
    </row>
    <row r="116" spans="1:14" s="37" customFormat="1" ht="15.75" customHeight="1" x14ac:dyDescent="0.3">
      <c r="A116" s="69">
        <f t="shared" si="1"/>
        <v>12</v>
      </c>
      <c r="B116" s="70"/>
      <c r="C116" s="42" t="s">
        <v>194</v>
      </c>
      <c r="D116" s="55">
        <f>(81.855)*(10.764)</f>
        <v>881.08722</v>
      </c>
      <c r="E116" s="42">
        <v>0</v>
      </c>
      <c r="F116" s="42">
        <f t="shared" si="3"/>
        <v>1365.685191</v>
      </c>
      <c r="G116" s="88"/>
      <c r="H116" s="89"/>
      <c r="I116" s="36"/>
      <c r="L116" s="71"/>
      <c r="M116" s="71"/>
      <c r="N116" s="36"/>
    </row>
    <row r="117" spans="1:14" s="37" customFormat="1" ht="15.75" customHeight="1" x14ac:dyDescent="0.3">
      <c r="A117" s="69">
        <f t="shared" si="1"/>
        <v>13</v>
      </c>
      <c r="B117" s="70"/>
      <c r="C117" s="42" t="s">
        <v>194</v>
      </c>
      <c r="D117" s="55">
        <f>(54.482)*(10.764)</f>
        <v>586.4442479999999</v>
      </c>
      <c r="E117" s="42">
        <v>0</v>
      </c>
      <c r="F117" s="42">
        <f t="shared" si="3"/>
        <v>908.98858439999992</v>
      </c>
      <c r="G117" s="88"/>
      <c r="H117" s="89"/>
      <c r="I117" s="36"/>
      <c r="L117" s="71"/>
      <c r="M117" s="71"/>
      <c r="N117" s="36"/>
    </row>
    <row r="118" spans="1:14" s="37" customFormat="1" ht="15.75" customHeight="1" x14ac:dyDescent="0.3">
      <c r="A118" s="69">
        <f t="shared" si="1"/>
        <v>14</v>
      </c>
      <c r="B118" s="70"/>
      <c r="C118" s="42" t="s">
        <v>194</v>
      </c>
      <c r="D118" s="55">
        <f>(53.561)*(10.764)</f>
        <v>576.53060399999993</v>
      </c>
      <c r="E118" s="42">
        <v>0</v>
      </c>
      <c r="F118" s="42">
        <f t="shared" ref="F118:F121" si="4">(D118+E118)*(($F$103)+1)</f>
        <v>893.62243619999992</v>
      </c>
      <c r="G118" s="88"/>
      <c r="H118" s="89"/>
      <c r="I118" s="36"/>
      <c r="K118" s="36">
        <f>11500000/F120</f>
        <v>8488.9205613910599</v>
      </c>
      <c r="L118" s="71"/>
      <c r="M118" s="71"/>
      <c r="N118" s="36"/>
    </row>
    <row r="119" spans="1:14" s="37" customFormat="1" ht="15.75" customHeight="1" x14ac:dyDescent="0.3">
      <c r="A119" s="69">
        <f t="shared" si="1"/>
        <v>15</v>
      </c>
      <c r="B119" s="70"/>
      <c r="C119" s="42" t="s">
        <v>194</v>
      </c>
      <c r="D119" s="55">
        <f>(39.743)*(10.764)</f>
        <v>427.79365200000001</v>
      </c>
      <c r="E119" s="42">
        <v>0</v>
      </c>
      <c r="F119" s="42">
        <f t="shared" si="4"/>
        <v>663.0801606</v>
      </c>
      <c r="G119" s="88"/>
      <c r="H119" s="89"/>
      <c r="I119" s="36"/>
      <c r="J119" s="37">
        <f>4.07*13.16</f>
        <v>53.561200000000007</v>
      </c>
      <c r="L119" s="71"/>
      <c r="M119" s="71"/>
      <c r="N119" s="36"/>
    </row>
    <row r="120" spans="1:14" s="37" customFormat="1" ht="15.75" customHeight="1" x14ac:dyDescent="0.3">
      <c r="A120" s="69">
        <f t="shared" si="1"/>
        <v>16</v>
      </c>
      <c r="B120" s="70"/>
      <c r="C120" s="42" t="s">
        <v>194</v>
      </c>
      <c r="D120" s="55">
        <f>(81.197)*(10.764)</f>
        <v>874.00450799999999</v>
      </c>
      <c r="E120" s="42">
        <v>0</v>
      </c>
      <c r="F120" s="42">
        <f t="shared" si="4"/>
        <v>1354.7069874000001</v>
      </c>
      <c r="G120" s="88"/>
      <c r="H120" s="89"/>
      <c r="I120" s="36">
        <f>6.17*13.16</f>
        <v>81.197199999999995</v>
      </c>
      <c r="L120" s="71"/>
      <c r="M120" s="71"/>
      <c r="N120" s="36"/>
    </row>
    <row r="121" spans="1:14" s="37" customFormat="1" ht="15.75" customHeight="1" x14ac:dyDescent="0.3">
      <c r="A121" s="69">
        <f t="shared" si="1"/>
        <v>17</v>
      </c>
      <c r="B121" s="70"/>
      <c r="C121" s="42" t="s">
        <v>194</v>
      </c>
      <c r="D121" s="55">
        <f>(67.642)*(10.764)</f>
        <v>728.09848799999986</v>
      </c>
      <c r="E121" s="42">
        <v>0</v>
      </c>
      <c r="F121" s="42">
        <f t="shared" si="4"/>
        <v>1128.5526563999997</v>
      </c>
      <c r="G121" s="88"/>
      <c r="H121" s="89"/>
      <c r="I121" s="36"/>
      <c r="L121" s="71"/>
      <c r="M121" s="71"/>
      <c r="N121" s="36"/>
    </row>
    <row r="122" spans="1:14" s="37" customFormat="1" ht="15.75" customHeight="1" x14ac:dyDescent="0.3">
      <c r="A122" s="69">
        <f t="shared" si="1"/>
        <v>18</v>
      </c>
      <c r="B122" s="70"/>
      <c r="C122" s="42" t="s">
        <v>194</v>
      </c>
      <c r="D122" s="55">
        <f>(65.668)*(10.764)</f>
        <v>706.85035200000004</v>
      </c>
      <c r="E122" s="42">
        <v>0</v>
      </c>
      <c r="F122" s="42">
        <f t="shared" ref="F122:F123" si="5">(D122+E122)*(($F$103)+1)</f>
        <v>1095.6180456000002</v>
      </c>
      <c r="G122" s="88"/>
      <c r="H122" s="89"/>
      <c r="I122" s="36">
        <f>4.99*13.16</f>
        <v>65.668400000000005</v>
      </c>
      <c r="L122" s="71"/>
      <c r="M122" s="71"/>
      <c r="N122" s="36"/>
    </row>
    <row r="123" spans="1:14" s="37" customFormat="1" ht="15.75" customHeight="1" x14ac:dyDescent="0.3">
      <c r="A123" s="69">
        <f t="shared" si="1"/>
        <v>19</v>
      </c>
      <c r="B123" s="70"/>
      <c r="C123" s="42" t="s">
        <v>194</v>
      </c>
      <c r="D123" s="55">
        <f>(65.01)*(10.764)</f>
        <v>699.76764000000003</v>
      </c>
      <c r="E123" s="42">
        <v>0</v>
      </c>
      <c r="F123" s="42">
        <f t="shared" si="5"/>
        <v>1084.639842</v>
      </c>
      <c r="G123" s="90"/>
      <c r="H123" s="91"/>
      <c r="I123" s="36"/>
      <c r="L123" s="71"/>
      <c r="M123" s="71"/>
      <c r="N123" s="36"/>
    </row>
    <row r="124" spans="1:14" s="37" customFormat="1" x14ac:dyDescent="0.3">
      <c r="A124" s="82" t="s">
        <v>223</v>
      </c>
      <c r="B124" s="83"/>
      <c r="C124" s="83"/>
      <c r="D124" s="83"/>
      <c r="E124" s="83"/>
      <c r="F124" s="83"/>
      <c r="G124" s="83"/>
      <c r="H124" s="84"/>
      <c r="I124" s="36"/>
      <c r="N124" s="36"/>
    </row>
    <row r="125" spans="1:14" s="37" customFormat="1" x14ac:dyDescent="0.3">
      <c r="A125" s="69"/>
      <c r="B125" s="191"/>
      <c r="C125" s="191"/>
      <c r="D125" s="191"/>
      <c r="E125" s="191"/>
      <c r="F125" s="191"/>
      <c r="G125" s="191"/>
      <c r="H125" s="70"/>
      <c r="I125" s="36"/>
      <c r="N125" s="36"/>
    </row>
    <row r="126" spans="1:14" ht="47.25" customHeight="1" x14ac:dyDescent="0.3">
      <c r="A126" s="102" t="s">
        <v>123</v>
      </c>
      <c r="B126" s="102" t="s">
        <v>124</v>
      </c>
      <c r="C126" s="98" t="s">
        <v>58</v>
      </c>
      <c r="D126" s="98" t="s">
        <v>59</v>
      </c>
      <c r="E126" s="100" t="s">
        <v>60</v>
      </c>
      <c r="F126" s="43" t="s">
        <v>155</v>
      </c>
      <c r="G126" s="102" t="s">
        <v>61</v>
      </c>
      <c r="H126" s="103"/>
      <c r="I126" s="36"/>
    </row>
    <row r="127" spans="1:14" s="37" customFormat="1" x14ac:dyDescent="0.3">
      <c r="A127" s="104"/>
      <c r="B127" s="104"/>
      <c r="C127" s="99"/>
      <c r="D127" s="99"/>
      <c r="E127" s="101"/>
      <c r="F127" s="13">
        <v>0.5</v>
      </c>
      <c r="G127" s="104"/>
      <c r="H127" s="105"/>
      <c r="I127" s="36"/>
    </row>
    <row r="128" spans="1:14" s="37" customFormat="1" x14ac:dyDescent="0.3">
      <c r="A128" s="82" t="s">
        <v>235</v>
      </c>
      <c r="B128" s="83"/>
      <c r="C128" s="83"/>
      <c r="D128" s="83"/>
      <c r="E128" s="83"/>
      <c r="F128" s="83"/>
      <c r="G128" s="83"/>
      <c r="H128" s="84"/>
      <c r="I128" s="56"/>
      <c r="J128" s="36"/>
    </row>
    <row r="129" spans="1:14" s="37" customFormat="1" ht="32.25" customHeight="1" x14ac:dyDescent="0.3">
      <c r="A129" s="82" t="s">
        <v>195</v>
      </c>
      <c r="B129" s="83"/>
      <c r="C129" s="83"/>
      <c r="D129" s="83"/>
      <c r="E129" s="83"/>
      <c r="F129" s="83"/>
      <c r="G129" s="83"/>
      <c r="H129" s="84"/>
      <c r="J129" s="36"/>
    </row>
    <row r="130" spans="1:14" s="37" customFormat="1" ht="15.75" customHeight="1" x14ac:dyDescent="0.3">
      <c r="A130" s="82" t="s">
        <v>196</v>
      </c>
      <c r="B130" s="83"/>
      <c r="C130" s="83"/>
      <c r="D130" s="83"/>
      <c r="E130" s="83"/>
      <c r="F130" s="83"/>
      <c r="G130" s="83"/>
      <c r="H130" s="84"/>
      <c r="I130" s="36"/>
      <c r="L130" s="71"/>
      <c r="M130" s="71"/>
    </row>
    <row r="131" spans="1:14" s="37" customFormat="1" ht="15.75" customHeight="1" x14ac:dyDescent="0.3">
      <c r="A131" s="69">
        <v>1</v>
      </c>
      <c r="B131" s="70"/>
      <c r="C131" s="53">
        <v>1</v>
      </c>
      <c r="D131" s="55">
        <f>(31.791+2.75+0.75*(2.14+2.75))*(10.764)</f>
        <v>411.27629400000001</v>
      </c>
      <c r="E131" s="42">
        <f>3.54*2.3+3.54*0.75+1.37*1.12</f>
        <v>12.3314</v>
      </c>
      <c r="F131" s="42">
        <f t="shared" ref="F131:F132" si="6">D131*(($F$127)+1)+(IF(E131&lt;101,E131,IF(E131&lt;201,E131/2,IF(E131&lt;=301,E131/3,E131/4))))</f>
        <v>629.24584100000004</v>
      </c>
      <c r="G131" s="86" t="str">
        <f>A130</f>
        <v>6th Floor For Residential</v>
      </c>
      <c r="H131" s="87"/>
      <c r="I131" s="36"/>
      <c r="J131" s="37">
        <f>2.75*4.27+2.14*3.05+2.75*3.05+1.83*1.22+1.22*1.83</f>
        <v>31.122200000000003</v>
      </c>
      <c r="N131" s="36"/>
    </row>
    <row r="132" spans="1:14" s="37" customFormat="1" ht="15.75" customHeight="1" x14ac:dyDescent="0.3">
      <c r="A132" s="69">
        <f>A131+1</f>
        <v>2</v>
      </c>
      <c r="B132" s="70"/>
      <c r="C132" s="53">
        <v>1</v>
      </c>
      <c r="D132" s="55">
        <f>(32.126+2.75+0.75*(2.14+2.75))*(10.764)</f>
        <v>414.88223399999993</v>
      </c>
      <c r="E132" s="42">
        <v>0</v>
      </c>
      <c r="F132" s="42">
        <f t="shared" si="6"/>
        <v>622.32335099999989</v>
      </c>
      <c r="G132" s="88"/>
      <c r="H132" s="89"/>
      <c r="I132" s="36"/>
      <c r="J132" s="37">
        <f>8500000/F133</f>
        <v>8941.5331859076505</v>
      </c>
      <c r="N132" s="36"/>
    </row>
    <row r="133" spans="1:14" s="37" customFormat="1" ht="15.75" customHeight="1" x14ac:dyDescent="0.3">
      <c r="A133" s="69">
        <f t="shared" ref="A133:A140" si="7">A132+1</f>
        <v>3</v>
      </c>
      <c r="B133" s="70"/>
      <c r="C133" s="53">
        <v>2</v>
      </c>
      <c r="D133" s="55">
        <f>(50.959+2.9+0.75*(2.14+2.75+1.8))*(10.764)</f>
        <v>633.74664599999994</v>
      </c>
      <c r="E133" s="42">
        <v>0</v>
      </c>
      <c r="F133" s="42">
        <f>D133*(($F$127)+1)+(IF(E133&lt;101,E133,IF(E133&lt;201,E133/2,IF(E133&lt;=301,E133/3,E133/4))))</f>
        <v>950.61996899999986</v>
      </c>
      <c r="G133" s="88"/>
      <c r="H133" s="89"/>
      <c r="I133" s="36"/>
      <c r="N133" s="36"/>
    </row>
    <row r="134" spans="1:14" s="37" customFormat="1" ht="15.75" customHeight="1" x14ac:dyDescent="0.3">
      <c r="A134" s="69">
        <f t="shared" si="7"/>
        <v>4</v>
      </c>
      <c r="B134" s="70"/>
      <c r="C134" s="53">
        <v>2</v>
      </c>
      <c r="D134" s="55">
        <f>(50.959+2.75+0.75*(2.14+2.75+2))*(10.764)</f>
        <v>633.74664600000006</v>
      </c>
      <c r="E134" s="42">
        <v>0</v>
      </c>
      <c r="F134" s="42">
        <f>D134*(($F$127)+1)+(IF(E134&lt;101,E134,IF(E134&lt;201,E134/2,IF(E134&lt;=301,E134/3,E134/4))))</f>
        <v>950.61996900000008</v>
      </c>
      <c r="G134" s="88"/>
      <c r="H134" s="89"/>
      <c r="I134" s="36"/>
      <c r="N134" s="36"/>
    </row>
    <row r="135" spans="1:14" s="37" customFormat="1" ht="15.75" customHeight="1" x14ac:dyDescent="0.3">
      <c r="A135" s="69">
        <f t="shared" si="7"/>
        <v>5</v>
      </c>
      <c r="B135" s="70"/>
      <c r="C135" s="53">
        <v>2</v>
      </c>
      <c r="D135" s="55">
        <f>(44.271+1.85+0.75*(2.14+2.75+1.4))*(10.764)</f>
        <v>547.22561399999995</v>
      </c>
      <c r="E135" s="42">
        <v>0</v>
      </c>
      <c r="F135" s="42">
        <f>D135*(($F$127)+1)+(IF(E135&lt;101,E135,IF(E135&lt;201,E135/2,IF(E135&lt;=301,E135/3,E135/4))))</f>
        <v>820.83842099999993</v>
      </c>
      <c r="G135" s="88"/>
      <c r="H135" s="89"/>
      <c r="I135" s="36"/>
      <c r="N135" s="36"/>
    </row>
    <row r="136" spans="1:14" s="37" customFormat="1" ht="15.75" customHeight="1" x14ac:dyDescent="0.3">
      <c r="A136" s="69">
        <f t="shared" si="7"/>
        <v>6</v>
      </c>
      <c r="B136" s="70"/>
      <c r="C136" s="53">
        <v>2</v>
      </c>
      <c r="D136" s="55">
        <f>(44.271+1.85+0.75*(2.14+2.75+1.4))*(10.764)</f>
        <v>547.22561399999995</v>
      </c>
      <c r="E136" s="42">
        <v>0</v>
      </c>
      <c r="F136" s="42">
        <f t="shared" ref="F136" si="8">D136*(($F$127)+1)+(IF(E136&lt;101,E136,IF(E136&lt;201,E136/2,IF(E136&lt;=301,E136/3,E136/4))))</f>
        <v>820.83842099999993</v>
      </c>
      <c r="G136" s="88"/>
      <c r="H136" s="89"/>
      <c r="I136" s="36"/>
      <c r="N136" s="36"/>
    </row>
    <row r="137" spans="1:14" s="37" customFormat="1" ht="15.75" customHeight="1" x14ac:dyDescent="0.3">
      <c r="A137" s="69">
        <f t="shared" si="7"/>
        <v>7</v>
      </c>
      <c r="B137" s="70"/>
      <c r="C137" s="53">
        <v>2</v>
      </c>
      <c r="D137" s="55">
        <f>(50.959+2.9+0.75*(2.14+2.75+1.8))*(10.764)</f>
        <v>633.74664599999994</v>
      </c>
      <c r="E137" s="42">
        <v>0</v>
      </c>
      <c r="F137" s="42">
        <f>D137*(($F$127)+1)+(IF(E137&lt;101,E137,IF(E137&lt;201,E137/2,IF(E137&lt;=301,E137/3,E137/4))))</f>
        <v>950.61996899999986</v>
      </c>
      <c r="G137" s="88"/>
      <c r="H137" s="89"/>
      <c r="I137" s="36"/>
      <c r="N137" s="36"/>
    </row>
    <row r="138" spans="1:14" s="37" customFormat="1" ht="15.75" customHeight="1" x14ac:dyDescent="0.3">
      <c r="A138" s="69">
        <f t="shared" si="7"/>
        <v>8</v>
      </c>
      <c r="B138" s="70"/>
      <c r="C138" s="53">
        <v>3</v>
      </c>
      <c r="D138" s="55">
        <f>(69.741+3.05+0.75*(2.75+3.05+3.05+2.45))*(10.764)</f>
        <v>874.74722399999985</v>
      </c>
      <c r="E138" s="42">
        <v>0</v>
      </c>
      <c r="F138" s="42">
        <f>D138*(($F$127)+1)+(IF(E138&lt;101,E138,IF(E138&lt;201,E138/2,IF(E138&lt;=301,E138/3,E138/4))))</f>
        <v>1312.1208359999998</v>
      </c>
      <c r="G138" s="88"/>
      <c r="H138" s="89"/>
      <c r="I138" s="36"/>
      <c r="J138" s="37">
        <f>1+3.05*4.58+3.05*1.53+2.75*2.45+2*(1.22*2.1)+3.66*3.05+1.22*2.1+3.05*3.36+2.75*3.36+2.5*0.9</f>
        <v>66.959999999999994</v>
      </c>
      <c r="K138" s="37">
        <f>350*F138</f>
        <v>459242.29259999993</v>
      </c>
      <c r="N138" s="36"/>
    </row>
    <row r="139" spans="1:14" s="37" customFormat="1" ht="15.75" customHeight="1" x14ac:dyDescent="0.3">
      <c r="A139" s="69">
        <f t="shared" si="7"/>
        <v>9</v>
      </c>
      <c r="B139" s="70"/>
      <c r="C139" s="53">
        <v>2</v>
      </c>
      <c r="D139" s="55">
        <f>(50.043+2.9+0.75*(2.14+2.75+2.2))*(10.764)</f>
        <v>627.11602199999993</v>
      </c>
      <c r="E139" s="42">
        <v>0</v>
      </c>
      <c r="F139" s="42">
        <f>D139*(($F$127)+1)+(IF(E139&lt;101,E139,IF(E139&lt;201,E139/2,IF(E139&lt;=301,E139/3,E139/4))))</f>
        <v>940.67403299999989</v>
      </c>
      <c r="G139" s="88"/>
      <c r="H139" s="89"/>
      <c r="I139" s="36"/>
      <c r="K139" s="37">
        <f>350*F139</f>
        <v>329235.91154999996</v>
      </c>
      <c r="N139" s="36"/>
    </row>
    <row r="140" spans="1:14" s="37" customFormat="1" ht="15.75" customHeight="1" x14ac:dyDescent="0.3">
      <c r="A140" s="69">
        <f t="shared" si="7"/>
        <v>10</v>
      </c>
      <c r="B140" s="70"/>
      <c r="C140" s="53">
        <v>1</v>
      </c>
      <c r="D140" s="55">
        <f>(31.791+2.75+0.75*(2.14+2.75))*(10.764)</f>
        <v>411.27629400000001</v>
      </c>
      <c r="E140" s="42">
        <v>0</v>
      </c>
      <c r="F140" s="42">
        <f>D140*(($F$127)+1)+(IF(E140&lt;101,E140,IF(E140&lt;201,E140/2,IF(E140&lt;=301,E140/3,E140/4))))</f>
        <v>616.91444100000001</v>
      </c>
      <c r="G140" s="88"/>
      <c r="H140" s="89"/>
      <c r="I140" s="36"/>
      <c r="N140" s="36"/>
    </row>
    <row r="141" spans="1:14" s="37" customFormat="1" ht="15.75" customHeight="1" x14ac:dyDescent="0.3">
      <c r="A141" s="69">
        <f>A140+1</f>
        <v>11</v>
      </c>
      <c r="B141" s="70"/>
      <c r="C141" s="53">
        <v>1</v>
      </c>
      <c r="D141" s="55">
        <f>(31.791+2.75+0.75*(2.14+2.75))*(10.764)</f>
        <v>411.27629400000001</v>
      </c>
      <c r="E141" s="42">
        <v>0</v>
      </c>
      <c r="F141" s="42">
        <f>D141*(($F$127)+1)+(IF(E141&lt;101,E141,IF(E141&lt;201,E141/2,IF(E141&lt;=301,E141/3,E141/4))))</f>
        <v>616.91444100000001</v>
      </c>
      <c r="G141" s="90"/>
      <c r="H141" s="91"/>
      <c r="I141" s="36"/>
      <c r="N141" s="36"/>
    </row>
    <row r="142" spans="1:14" s="37" customFormat="1" x14ac:dyDescent="0.3">
      <c r="A142" s="82" t="s">
        <v>225</v>
      </c>
      <c r="B142" s="83"/>
      <c r="C142" s="83"/>
      <c r="D142" s="83"/>
      <c r="E142" s="83"/>
      <c r="F142" s="83"/>
      <c r="G142" s="83"/>
      <c r="H142" s="84"/>
      <c r="I142" s="36"/>
      <c r="K142" s="36">
        <f>4500000/F152</f>
        <v>7294.3664484586116</v>
      </c>
    </row>
    <row r="143" spans="1:14" s="37" customFormat="1" ht="15.75" customHeight="1" x14ac:dyDescent="0.3">
      <c r="A143" s="69">
        <v>1</v>
      </c>
      <c r="B143" s="70"/>
      <c r="C143" s="53">
        <v>1</v>
      </c>
      <c r="D143" s="55">
        <f>(31.791+2.75+0.75*(2.14+2.75))*(10.764)</f>
        <v>411.27629400000001</v>
      </c>
      <c r="E143" s="42">
        <v>0</v>
      </c>
      <c r="F143" s="42">
        <f t="shared" ref="F143:F153" si="9">D143*(($F$127)+1)+(IF(E143&lt;101,E143,IF(E143&lt;201,E143/2,IF(E143&lt;=301,E143/3,E143/4))))</f>
        <v>616.91444100000001</v>
      </c>
      <c r="G143" s="86" t="str">
        <f>A142</f>
        <v>7th, 9th, 11th &amp; 13th Floor (Fire Rescue Balcony at midlanding of Staircase)</v>
      </c>
      <c r="H143" s="87"/>
      <c r="I143" s="36"/>
      <c r="J143" s="37">
        <f>8200*F143</f>
        <v>5058698.4161999999</v>
      </c>
      <c r="L143" s="71"/>
      <c r="M143" s="71"/>
    </row>
    <row r="144" spans="1:14" s="37" customFormat="1" ht="15.75" customHeight="1" x14ac:dyDescent="0.3">
      <c r="A144" s="69">
        <f>A143+1</f>
        <v>2</v>
      </c>
      <c r="B144" s="70"/>
      <c r="C144" s="53">
        <v>1</v>
      </c>
      <c r="D144" s="55">
        <f>(32.126+2.75+0.75*(2.14+2.75))*(10.764)</f>
        <v>414.88223399999993</v>
      </c>
      <c r="E144" s="42">
        <v>0</v>
      </c>
      <c r="F144" s="42">
        <f t="shared" si="9"/>
        <v>622.32335099999989</v>
      </c>
      <c r="G144" s="88" t="str">
        <f t="shared" ref="G144:G153" si="10">G143</f>
        <v>7th, 9th, 11th &amp; 13th Floor (Fire Rescue Balcony at midlanding of Staircase)</v>
      </c>
      <c r="H144" s="89"/>
      <c r="I144" s="36"/>
      <c r="L144" s="71"/>
      <c r="M144" s="71"/>
    </row>
    <row r="145" spans="1:13" s="37" customFormat="1" ht="15.75" customHeight="1" x14ac:dyDescent="0.3">
      <c r="A145" s="69">
        <f t="shared" ref="A145:A152" si="11">A144+1</f>
        <v>3</v>
      </c>
      <c r="B145" s="70"/>
      <c r="C145" s="53">
        <v>2</v>
      </c>
      <c r="D145" s="55">
        <f>(50.959+2.9+0.75*(2.14+2.75+1.8))*(10.764)</f>
        <v>633.74664599999994</v>
      </c>
      <c r="E145" s="42">
        <v>0</v>
      </c>
      <c r="F145" s="42">
        <f t="shared" si="9"/>
        <v>950.61996899999986</v>
      </c>
      <c r="G145" s="88" t="str">
        <f t="shared" si="10"/>
        <v>7th, 9th, 11th &amp; 13th Floor (Fire Rescue Balcony at midlanding of Staircase)</v>
      </c>
      <c r="H145" s="89"/>
      <c r="I145" s="36"/>
      <c r="L145" s="71"/>
      <c r="M145" s="71"/>
    </row>
    <row r="146" spans="1:13" s="37" customFormat="1" ht="15.75" customHeight="1" x14ac:dyDescent="0.3">
      <c r="A146" s="69">
        <f t="shared" si="11"/>
        <v>4</v>
      </c>
      <c r="B146" s="70"/>
      <c r="C146" s="53">
        <v>2</v>
      </c>
      <c r="D146" s="55">
        <f>(50.959+2.75+0.75*(2.14+2.75+2))*(10.764)</f>
        <v>633.74664600000006</v>
      </c>
      <c r="E146" s="42">
        <v>0</v>
      </c>
      <c r="F146" s="42">
        <f t="shared" si="9"/>
        <v>950.61996900000008</v>
      </c>
      <c r="G146" s="88" t="str">
        <f t="shared" si="10"/>
        <v>7th, 9th, 11th &amp; 13th Floor (Fire Rescue Balcony at midlanding of Staircase)</v>
      </c>
      <c r="H146" s="89"/>
      <c r="I146" s="36"/>
      <c r="L146" s="71"/>
      <c r="M146" s="71"/>
    </row>
    <row r="147" spans="1:13" s="37" customFormat="1" ht="15.75" customHeight="1" x14ac:dyDescent="0.3">
      <c r="A147" s="69">
        <f t="shared" si="11"/>
        <v>5</v>
      </c>
      <c r="B147" s="70"/>
      <c r="C147" s="53">
        <v>2</v>
      </c>
      <c r="D147" s="55">
        <f>(44.271+1.85+0.75*(2.14+2.75+1.4))*(10.764)</f>
        <v>547.22561399999995</v>
      </c>
      <c r="E147" s="42">
        <v>0</v>
      </c>
      <c r="F147" s="42">
        <f t="shared" si="9"/>
        <v>820.83842099999993</v>
      </c>
      <c r="G147" s="88" t="str">
        <f t="shared" si="10"/>
        <v>7th, 9th, 11th &amp; 13th Floor (Fire Rescue Balcony at midlanding of Staircase)</v>
      </c>
      <c r="H147" s="89"/>
      <c r="I147" s="36"/>
      <c r="L147" s="71"/>
      <c r="M147" s="71"/>
    </row>
    <row r="148" spans="1:13" s="37" customFormat="1" ht="15.75" customHeight="1" x14ac:dyDescent="0.3">
      <c r="A148" s="69">
        <f t="shared" si="11"/>
        <v>6</v>
      </c>
      <c r="B148" s="70"/>
      <c r="C148" s="53">
        <v>2</v>
      </c>
      <c r="D148" s="55">
        <f>(44.271+1.85+0.75*(2.14+2.75+1.4))*(10.764)</f>
        <v>547.22561399999995</v>
      </c>
      <c r="E148" s="42">
        <v>0</v>
      </c>
      <c r="F148" s="42">
        <f t="shared" si="9"/>
        <v>820.83842099999993</v>
      </c>
      <c r="G148" s="88" t="str">
        <f t="shared" si="10"/>
        <v>7th, 9th, 11th &amp; 13th Floor (Fire Rescue Balcony at midlanding of Staircase)</v>
      </c>
      <c r="H148" s="89"/>
      <c r="I148" s="36"/>
      <c r="L148" s="71"/>
      <c r="M148" s="71"/>
    </row>
    <row r="149" spans="1:13" s="37" customFormat="1" ht="15.75" customHeight="1" x14ac:dyDescent="0.3">
      <c r="A149" s="69">
        <f t="shared" si="11"/>
        <v>7</v>
      </c>
      <c r="B149" s="70"/>
      <c r="C149" s="53">
        <v>2</v>
      </c>
      <c r="D149" s="55">
        <f>(50.959+2.9+0.75*(2.14+2.75+1.8))*(10.764)</f>
        <v>633.74664599999994</v>
      </c>
      <c r="E149" s="42">
        <v>0</v>
      </c>
      <c r="F149" s="42">
        <f t="shared" si="9"/>
        <v>950.61996899999986</v>
      </c>
      <c r="G149" s="88" t="str">
        <f t="shared" si="10"/>
        <v>7th, 9th, 11th &amp; 13th Floor (Fire Rescue Balcony at midlanding of Staircase)</v>
      </c>
      <c r="H149" s="89"/>
      <c r="I149" s="36"/>
      <c r="L149" s="71"/>
      <c r="M149" s="71"/>
    </row>
    <row r="150" spans="1:13" s="37" customFormat="1" ht="15.75" customHeight="1" x14ac:dyDescent="0.3">
      <c r="A150" s="69">
        <f t="shared" si="11"/>
        <v>8</v>
      </c>
      <c r="B150" s="70"/>
      <c r="C150" s="53">
        <v>3</v>
      </c>
      <c r="D150" s="55">
        <f>(69.741+3.05+0.75*(2.75+3.05+3.05+2.45))*(10.764)</f>
        <v>874.74722399999985</v>
      </c>
      <c r="E150" s="42">
        <v>0</v>
      </c>
      <c r="F150" s="42">
        <f t="shared" si="9"/>
        <v>1312.1208359999998</v>
      </c>
      <c r="G150" s="88" t="str">
        <f t="shared" si="10"/>
        <v>7th, 9th, 11th &amp; 13th Floor (Fire Rescue Balcony at midlanding of Staircase)</v>
      </c>
      <c r="H150" s="89"/>
      <c r="I150" s="36"/>
      <c r="L150" s="71"/>
      <c r="M150" s="71"/>
    </row>
    <row r="151" spans="1:13" s="37" customFormat="1" ht="15.75" customHeight="1" x14ac:dyDescent="0.3">
      <c r="A151" s="69">
        <f t="shared" si="11"/>
        <v>9</v>
      </c>
      <c r="B151" s="70"/>
      <c r="C151" s="53">
        <v>2</v>
      </c>
      <c r="D151" s="55">
        <f>(50.043+2.9+0.75*(2.14+2.75+2.2))*(10.764)</f>
        <v>627.11602199999993</v>
      </c>
      <c r="E151" s="42">
        <v>0</v>
      </c>
      <c r="F151" s="42">
        <f t="shared" si="9"/>
        <v>940.67403299999989</v>
      </c>
      <c r="G151" s="88" t="str">
        <f t="shared" si="10"/>
        <v>7th, 9th, 11th &amp; 13th Floor (Fire Rescue Balcony at midlanding of Staircase)</v>
      </c>
      <c r="H151" s="89"/>
      <c r="I151" s="36"/>
      <c r="L151" s="71"/>
      <c r="M151" s="71"/>
    </row>
    <row r="152" spans="1:13" s="37" customFormat="1" ht="15.75" customHeight="1" x14ac:dyDescent="0.3">
      <c r="A152" s="69">
        <f t="shared" si="11"/>
        <v>10</v>
      </c>
      <c r="B152" s="70"/>
      <c r="C152" s="53">
        <v>1</v>
      </c>
      <c r="D152" s="55">
        <f>(31.791+2.75+0.75*(2.14+2.75))*(10.764)</f>
        <v>411.27629400000001</v>
      </c>
      <c r="E152" s="42">
        <v>0</v>
      </c>
      <c r="F152" s="42">
        <f t="shared" si="9"/>
        <v>616.91444100000001</v>
      </c>
      <c r="G152" s="88" t="str">
        <f t="shared" si="10"/>
        <v>7th, 9th, 11th &amp; 13th Floor (Fire Rescue Balcony at midlanding of Staircase)</v>
      </c>
      <c r="H152" s="89"/>
      <c r="I152" s="36"/>
      <c r="L152" s="71"/>
      <c r="M152" s="71"/>
    </row>
    <row r="153" spans="1:13" s="37" customFormat="1" ht="15.75" customHeight="1" x14ac:dyDescent="0.3">
      <c r="A153" s="69">
        <f>A152+1</f>
        <v>11</v>
      </c>
      <c r="B153" s="70"/>
      <c r="C153" s="53">
        <v>1</v>
      </c>
      <c r="D153" s="55">
        <f>(31.791+2.75+0.75*(2.14+2.75))*(10.764)</f>
        <v>411.27629400000001</v>
      </c>
      <c r="E153" s="42">
        <v>0</v>
      </c>
      <c r="F153" s="42">
        <f t="shared" si="9"/>
        <v>616.91444100000001</v>
      </c>
      <c r="G153" s="90" t="str">
        <f t="shared" si="10"/>
        <v>7th, 9th, 11th &amp; 13th Floor (Fire Rescue Balcony at midlanding of Staircase)</v>
      </c>
      <c r="H153" s="91"/>
      <c r="I153" s="36"/>
      <c r="L153" s="71"/>
      <c r="M153" s="71"/>
    </row>
    <row r="154" spans="1:13" s="37" customFormat="1" x14ac:dyDescent="0.3">
      <c r="A154" s="82" t="s">
        <v>236</v>
      </c>
      <c r="B154" s="83"/>
      <c r="C154" s="83"/>
      <c r="D154" s="83"/>
      <c r="E154" s="83"/>
      <c r="F154" s="83"/>
      <c r="G154" s="83"/>
      <c r="H154" s="84"/>
      <c r="I154" s="36"/>
      <c r="K154" s="36">
        <f>4500000/F164</f>
        <v>6923.0769230769229</v>
      </c>
    </row>
    <row r="155" spans="1:13" s="37" customFormat="1" ht="15.75" customHeight="1" x14ac:dyDescent="0.3">
      <c r="A155" s="69">
        <v>1</v>
      </c>
      <c r="B155" s="70"/>
      <c r="C155" s="53">
        <v>1</v>
      </c>
      <c r="D155" s="55">
        <f>(31.791+2.75+0.75*(2.14+2.75))*(10.764)</f>
        <v>411.27629400000001</v>
      </c>
      <c r="E155" s="42">
        <v>0</v>
      </c>
      <c r="F155" s="42">
        <f t="shared" ref="F155:F165" si="12">D155*(($F$127)+1)+(IF(E155&lt;101,E155,IF(E155&lt;201,E155/2,IF(E155&lt;=301,E155/3,E155/4))))</f>
        <v>616.91444100000001</v>
      </c>
      <c r="G155" s="86" t="str">
        <f>A154</f>
        <v>12th Floor</v>
      </c>
      <c r="H155" s="87"/>
      <c r="I155" s="36"/>
      <c r="J155" s="37">
        <f>8200*F155</f>
        <v>5058698.4161999999</v>
      </c>
      <c r="L155" s="71"/>
      <c r="M155" s="71"/>
    </row>
    <row r="156" spans="1:13" s="37" customFormat="1" ht="15.75" customHeight="1" x14ac:dyDescent="0.3">
      <c r="A156" s="69">
        <f>A155+1</f>
        <v>2</v>
      </c>
      <c r="B156" s="70"/>
      <c r="C156" s="53">
        <v>1</v>
      </c>
      <c r="D156" s="55">
        <f>(32.126+2.75+0.75*(2.14+2.75))*(10.764)</f>
        <v>414.88223399999993</v>
      </c>
      <c r="E156" s="42">
        <v>0</v>
      </c>
      <c r="F156" s="42">
        <f t="shared" si="12"/>
        <v>622.32335099999989</v>
      </c>
      <c r="G156" s="88" t="str">
        <f t="shared" ref="G156:G165" si="13">G155</f>
        <v>12th Floor</v>
      </c>
      <c r="H156" s="89"/>
      <c r="I156" s="36"/>
      <c r="L156" s="71"/>
      <c r="M156" s="71"/>
    </row>
    <row r="157" spans="1:13" s="37" customFormat="1" ht="15.75" customHeight="1" x14ac:dyDescent="0.3">
      <c r="A157" s="69">
        <f t="shared" ref="A157:A164" si="14">A156+1</f>
        <v>3</v>
      </c>
      <c r="B157" s="70"/>
      <c r="C157" s="53">
        <v>2</v>
      </c>
      <c r="D157" s="55">
        <f>(50.959+2.9+0.75*(2.14+2.75+1.8))*(10.764)</f>
        <v>633.74664599999994</v>
      </c>
      <c r="E157" s="42">
        <v>0</v>
      </c>
      <c r="F157" s="42">
        <f t="shared" si="12"/>
        <v>950.61996899999986</v>
      </c>
      <c r="G157" s="88" t="str">
        <f t="shared" si="13"/>
        <v>12th Floor</v>
      </c>
      <c r="H157" s="89"/>
      <c r="I157" s="36"/>
      <c r="L157" s="71"/>
      <c r="M157" s="71"/>
    </row>
    <row r="158" spans="1:13" s="37" customFormat="1" ht="15.75" customHeight="1" x14ac:dyDescent="0.3">
      <c r="A158" s="69">
        <f t="shared" si="14"/>
        <v>4</v>
      </c>
      <c r="B158" s="70"/>
      <c r="C158" s="53">
        <v>2</v>
      </c>
      <c r="D158" s="55">
        <f>(50.959+2.75+0.75*(2.14+2.75+2))*(10.764)</f>
        <v>633.74664600000006</v>
      </c>
      <c r="E158" s="42">
        <v>0</v>
      </c>
      <c r="F158" s="42">
        <f t="shared" si="12"/>
        <v>950.61996900000008</v>
      </c>
      <c r="G158" s="88" t="str">
        <f t="shared" si="13"/>
        <v>12th Floor</v>
      </c>
      <c r="H158" s="89"/>
      <c r="I158" s="36"/>
      <c r="L158" s="71"/>
      <c r="M158" s="71"/>
    </row>
    <row r="159" spans="1:13" s="37" customFormat="1" ht="15.75" customHeight="1" x14ac:dyDescent="0.3">
      <c r="A159" s="69">
        <f t="shared" si="14"/>
        <v>5</v>
      </c>
      <c r="B159" s="70"/>
      <c r="C159" s="53">
        <v>2</v>
      </c>
      <c r="D159" s="55">
        <f>(44.271+1.85+0.75*(2.14+2.75+1.4))*(10.764)</f>
        <v>547.22561399999995</v>
      </c>
      <c r="E159" s="42">
        <v>0</v>
      </c>
      <c r="F159" s="42">
        <f t="shared" si="12"/>
        <v>820.83842099999993</v>
      </c>
      <c r="G159" s="88" t="str">
        <f t="shared" si="13"/>
        <v>12th Floor</v>
      </c>
      <c r="H159" s="89"/>
      <c r="I159" s="36"/>
      <c r="L159" s="71"/>
      <c r="M159" s="71"/>
    </row>
    <row r="160" spans="1:13" s="37" customFormat="1" ht="15.75" customHeight="1" x14ac:dyDescent="0.3">
      <c r="A160" s="69">
        <f t="shared" si="14"/>
        <v>6</v>
      </c>
      <c r="B160" s="70"/>
      <c r="C160" s="53">
        <v>2</v>
      </c>
      <c r="D160" s="55">
        <f>(44.271+1.85+0.75*(2.14+2.75+1.4))*(10.764)</f>
        <v>547.22561399999995</v>
      </c>
      <c r="E160" s="42">
        <v>0</v>
      </c>
      <c r="F160" s="42">
        <f t="shared" si="12"/>
        <v>820.83842099999993</v>
      </c>
      <c r="G160" s="88" t="str">
        <f t="shared" si="13"/>
        <v>12th Floor</v>
      </c>
      <c r="H160" s="89"/>
      <c r="I160" s="36"/>
      <c r="L160" s="71"/>
      <c r="M160" s="71"/>
    </row>
    <row r="161" spans="1:13" s="37" customFormat="1" ht="15.75" customHeight="1" x14ac:dyDescent="0.3">
      <c r="A161" s="69">
        <f t="shared" si="14"/>
        <v>7</v>
      </c>
      <c r="B161" s="70"/>
      <c r="C161" s="53">
        <v>2</v>
      </c>
      <c r="D161" s="55">
        <f>(50.959+2.9+0.75*(2.14+2.75+1.8))*(10.764)</f>
        <v>633.74664599999994</v>
      </c>
      <c r="E161" s="42">
        <v>0</v>
      </c>
      <c r="F161" s="42">
        <f t="shared" si="12"/>
        <v>950.61996899999986</v>
      </c>
      <c r="G161" s="88" t="str">
        <f t="shared" si="13"/>
        <v>12th Floor</v>
      </c>
      <c r="H161" s="89"/>
      <c r="I161" s="36"/>
      <c r="L161" s="71"/>
      <c r="M161" s="71"/>
    </row>
    <row r="162" spans="1:13" s="37" customFormat="1" ht="15.75" customHeight="1" x14ac:dyDescent="0.3">
      <c r="A162" s="69">
        <f t="shared" si="14"/>
        <v>8</v>
      </c>
      <c r="B162" s="70"/>
      <c r="C162" s="53">
        <v>3</v>
      </c>
      <c r="D162" s="55">
        <f>(69.741+3.05+0.75*(2.75+3.05+3.05+2.45))*(10.764)</f>
        <v>874.74722399999985</v>
      </c>
      <c r="E162" s="42">
        <v>0</v>
      </c>
      <c r="F162" s="42">
        <f t="shared" si="12"/>
        <v>1312.1208359999998</v>
      </c>
      <c r="G162" s="88" t="str">
        <f t="shared" si="13"/>
        <v>12th Floor</v>
      </c>
      <c r="H162" s="89"/>
      <c r="I162" s="36"/>
      <c r="L162" s="71"/>
      <c r="M162" s="71"/>
    </row>
    <row r="163" spans="1:13" s="37" customFormat="1" ht="15.75" customHeight="1" x14ac:dyDescent="0.3">
      <c r="A163" s="69">
        <f t="shared" si="14"/>
        <v>9</v>
      </c>
      <c r="B163" s="70"/>
      <c r="C163" s="53">
        <v>2</v>
      </c>
      <c r="D163" s="55">
        <f>(50.043+2.9+0.75*(2.14+2.75+2.2))*(10.764)</f>
        <v>627.11602199999993</v>
      </c>
      <c r="E163" s="42">
        <v>0</v>
      </c>
      <c r="F163" s="42">
        <f t="shared" si="12"/>
        <v>940.67403299999989</v>
      </c>
      <c r="G163" s="88" t="str">
        <f t="shared" si="13"/>
        <v>12th Floor</v>
      </c>
      <c r="H163" s="89"/>
      <c r="I163" s="36"/>
      <c r="L163" s="71"/>
      <c r="M163" s="71"/>
    </row>
    <row r="164" spans="1:13" s="37" customFormat="1" ht="15.75" customHeight="1" x14ac:dyDescent="0.3">
      <c r="A164" s="69">
        <f t="shared" si="14"/>
        <v>10</v>
      </c>
      <c r="B164" s="70"/>
      <c r="C164" s="53">
        <v>1</v>
      </c>
      <c r="D164" s="55">
        <f>(31.791+2.75+0.75*(2.14+2.75))*(10.764)</f>
        <v>411.27629400000001</v>
      </c>
      <c r="E164" s="42">
        <v>0</v>
      </c>
      <c r="F164" s="42">
        <v>650</v>
      </c>
      <c r="G164" s="88" t="str">
        <f t="shared" si="13"/>
        <v>12th Floor</v>
      </c>
      <c r="H164" s="89"/>
      <c r="I164" s="36"/>
      <c r="J164" s="37">
        <f>F164*7500+1100000</f>
        <v>5975000</v>
      </c>
      <c r="L164" s="71"/>
      <c r="M164" s="71"/>
    </row>
    <row r="165" spans="1:13" s="37" customFormat="1" ht="15.75" customHeight="1" x14ac:dyDescent="0.3">
      <c r="A165" s="69">
        <f>A164+1</f>
        <v>11</v>
      </c>
      <c r="B165" s="70"/>
      <c r="C165" s="53">
        <v>1</v>
      </c>
      <c r="D165" s="55">
        <f>(31.791+2.75+0.75*(2.14+2.75))*(10.764)</f>
        <v>411.27629400000001</v>
      </c>
      <c r="E165" s="42">
        <v>0</v>
      </c>
      <c r="F165" s="42">
        <f t="shared" si="12"/>
        <v>616.91444100000001</v>
      </c>
      <c r="G165" s="90" t="str">
        <f t="shared" si="13"/>
        <v>12th Floor</v>
      </c>
      <c r="H165" s="91"/>
      <c r="I165" s="36"/>
      <c r="J165" s="64" t="s">
        <v>237</v>
      </c>
      <c r="K165" s="64" t="s">
        <v>238</v>
      </c>
      <c r="L165" s="81" t="s">
        <v>239</v>
      </c>
      <c r="M165" s="81"/>
    </row>
    <row r="166" spans="1:13" s="37" customFormat="1" x14ac:dyDescent="0.3">
      <c r="A166" s="82" t="s">
        <v>240</v>
      </c>
      <c r="B166" s="83"/>
      <c r="C166" s="83"/>
      <c r="D166" s="83"/>
      <c r="E166" s="83"/>
      <c r="F166" s="83"/>
      <c r="G166" s="83"/>
      <c r="H166" s="84"/>
      <c r="I166" s="36"/>
      <c r="J166" s="64"/>
      <c r="K166" s="65">
        <f>4500000/F176</f>
        <v>7294.3664484586116</v>
      </c>
      <c r="L166" s="64"/>
      <c r="M166" s="64"/>
    </row>
    <row r="167" spans="1:13" s="37" customFormat="1" ht="15.75" customHeight="1" x14ac:dyDescent="0.3">
      <c r="A167" s="69">
        <v>1</v>
      </c>
      <c r="B167" s="70"/>
      <c r="C167" s="53">
        <v>1</v>
      </c>
      <c r="D167" s="55">
        <f>(31.791+2.75+0.75*(2.14+2.75))*(10.764)</f>
        <v>411.27629400000001</v>
      </c>
      <c r="E167" s="42">
        <v>0</v>
      </c>
      <c r="F167" s="42">
        <f t="shared" ref="F167:F177" si="15">D167*(($F$127)+1)+(IF(E167&lt;101,E167,IF(E167&lt;201,E167/2,IF(E167&lt;=301,E167/3,E167/4))))</f>
        <v>616.91444100000001</v>
      </c>
      <c r="G167" s="86" t="str">
        <f>A166</f>
        <v>8th &amp; 10th Floor</v>
      </c>
      <c r="H167" s="87"/>
      <c r="I167" s="36"/>
      <c r="J167" s="37">
        <f>8200*F167</f>
        <v>5058698.4161999999</v>
      </c>
      <c r="L167" s="71"/>
      <c r="M167" s="71"/>
    </row>
    <row r="168" spans="1:13" s="37" customFormat="1" ht="15.75" customHeight="1" x14ac:dyDescent="0.3">
      <c r="A168" s="69">
        <f>A167+1</f>
        <v>2</v>
      </c>
      <c r="B168" s="70"/>
      <c r="C168" s="53">
        <v>1</v>
      </c>
      <c r="D168" s="55">
        <f>(32.126+2.75+0.75*(2.14+2.75))*(10.764)</f>
        <v>414.88223399999993</v>
      </c>
      <c r="E168" s="42">
        <v>0</v>
      </c>
      <c r="F168" s="42">
        <f t="shared" si="15"/>
        <v>622.32335099999989</v>
      </c>
      <c r="G168" s="88" t="str">
        <f t="shared" ref="G168:G177" si="16">G167</f>
        <v>8th &amp; 10th Floor</v>
      </c>
      <c r="H168" s="89"/>
      <c r="I168" s="36"/>
      <c r="L168" s="71"/>
      <c r="M168" s="71"/>
    </row>
    <row r="169" spans="1:13" s="37" customFormat="1" ht="15.75" customHeight="1" x14ac:dyDescent="0.3">
      <c r="A169" s="69">
        <f t="shared" ref="A169:A176" si="17">A168+1</f>
        <v>3</v>
      </c>
      <c r="B169" s="70"/>
      <c r="C169" s="53">
        <v>2</v>
      </c>
      <c r="D169" s="55">
        <f>(50.959+2.9+0.75*(2.14+2.75+1.8))*(10.764)</f>
        <v>633.74664599999994</v>
      </c>
      <c r="E169" s="42">
        <v>0</v>
      </c>
      <c r="F169" s="42">
        <f t="shared" si="15"/>
        <v>950.61996899999986</v>
      </c>
      <c r="G169" s="88" t="str">
        <f t="shared" si="16"/>
        <v>8th &amp; 10th Floor</v>
      </c>
      <c r="H169" s="89"/>
      <c r="I169" s="36"/>
      <c r="L169" s="71"/>
      <c r="M169" s="71"/>
    </row>
    <row r="170" spans="1:13" s="37" customFormat="1" ht="15.75" customHeight="1" x14ac:dyDescent="0.3">
      <c r="A170" s="69">
        <f t="shared" si="17"/>
        <v>4</v>
      </c>
      <c r="B170" s="70"/>
      <c r="C170" s="53">
        <v>2</v>
      </c>
      <c r="D170" s="55">
        <f>(50.959+2.75+0.75*(2.14+2.75+2))*(10.764)</f>
        <v>633.74664600000006</v>
      </c>
      <c r="E170" s="42">
        <v>0</v>
      </c>
      <c r="F170" s="42">
        <f t="shared" si="15"/>
        <v>950.61996900000008</v>
      </c>
      <c r="G170" s="88" t="str">
        <f t="shared" si="16"/>
        <v>8th &amp; 10th Floor</v>
      </c>
      <c r="H170" s="89"/>
      <c r="I170" s="36"/>
      <c r="L170" s="71"/>
      <c r="M170" s="71"/>
    </row>
    <row r="171" spans="1:13" s="37" customFormat="1" ht="15.75" customHeight="1" x14ac:dyDescent="0.3">
      <c r="A171" s="69">
        <f t="shared" si="17"/>
        <v>5</v>
      </c>
      <c r="B171" s="70"/>
      <c r="C171" s="53">
        <v>2</v>
      </c>
      <c r="D171" s="55">
        <f>(44.271+1.85+0.75*(2.14+2.75+1.4))*(10.764)</f>
        <v>547.22561399999995</v>
      </c>
      <c r="E171" s="42">
        <v>0</v>
      </c>
      <c r="F171" s="42">
        <f t="shared" si="15"/>
        <v>820.83842099999993</v>
      </c>
      <c r="G171" s="88" t="str">
        <f t="shared" si="16"/>
        <v>8th &amp; 10th Floor</v>
      </c>
      <c r="H171" s="89"/>
      <c r="I171" s="36"/>
      <c r="L171" s="71"/>
      <c r="M171" s="71"/>
    </row>
    <row r="172" spans="1:13" s="37" customFormat="1" ht="15.75" customHeight="1" x14ac:dyDescent="0.3">
      <c r="A172" s="69">
        <f t="shared" si="17"/>
        <v>6</v>
      </c>
      <c r="B172" s="70"/>
      <c r="C172" s="53">
        <v>2</v>
      </c>
      <c r="D172" s="55">
        <f>(44.271+1.85+0.75*(2.14+2.75+1.4))*(10.764)</f>
        <v>547.22561399999995</v>
      </c>
      <c r="E172" s="42">
        <v>0</v>
      </c>
      <c r="F172" s="42">
        <f t="shared" si="15"/>
        <v>820.83842099999993</v>
      </c>
      <c r="G172" s="88" t="str">
        <f t="shared" si="16"/>
        <v>8th &amp; 10th Floor</v>
      </c>
      <c r="H172" s="89"/>
      <c r="I172" s="36"/>
      <c r="L172" s="71"/>
      <c r="M172" s="71"/>
    </row>
    <row r="173" spans="1:13" s="37" customFormat="1" ht="15.75" customHeight="1" x14ac:dyDescent="0.3">
      <c r="A173" s="69">
        <f t="shared" si="17"/>
        <v>7</v>
      </c>
      <c r="B173" s="70"/>
      <c r="C173" s="53">
        <v>2</v>
      </c>
      <c r="D173" s="55">
        <f>(50.959+2.9+0.75*(2.14+2.75+1.8))*(10.764)</f>
        <v>633.74664599999994</v>
      </c>
      <c r="E173" s="42">
        <v>0</v>
      </c>
      <c r="F173" s="42">
        <f t="shared" si="15"/>
        <v>950.61996899999986</v>
      </c>
      <c r="G173" s="88" t="str">
        <f t="shared" si="16"/>
        <v>8th &amp; 10th Floor</v>
      </c>
      <c r="H173" s="89"/>
      <c r="I173" s="36"/>
      <c r="L173" s="71"/>
      <c r="M173" s="71"/>
    </row>
    <row r="174" spans="1:13" s="37" customFormat="1" ht="15.75" customHeight="1" x14ac:dyDescent="0.3">
      <c r="A174" s="69">
        <f t="shared" si="17"/>
        <v>8</v>
      </c>
      <c r="B174" s="70"/>
      <c r="C174" s="53">
        <v>3</v>
      </c>
      <c r="D174" s="55">
        <f>(69.741+3.05+0.75*(2.75+3.05+3.05+2.45))*(10.764)</f>
        <v>874.74722399999985</v>
      </c>
      <c r="E174" s="42">
        <v>0</v>
      </c>
      <c r="F174" s="42">
        <f t="shared" si="15"/>
        <v>1312.1208359999998</v>
      </c>
      <c r="G174" s="88" t="str">
        <f t="shared" si="16"/>
        <v>8th &amp; 10th Floor</v>
      </c>
      <c r="H174" s="89"/>
      <c r="I174" s="36"/>
      <c r="L174" s="71"/>
      <c r="M174" s="71"/>
    </row>
    <row r="175" spans="1:13" s="37" customFormat="1" ht="15.75" customHeight="1" x14ac:dyDescent="0.3">
      <c r="A175" s="69">
        <f t="shared" si="17"/>
        <v>9</v>
      </c>
      <c r="B175" s="70"/>
      <c r="C175" s="53">
        <v>2</v>
      </c>
      <c r="D175" s="55">
        <f>(50.043+2.9+0.75*(2.14+2.75+2.2))*(10.764)</f>
        <v>627.11602199999993</v>
      </c>
      <c r="E175" s="42">
        <v>0</v>
      </c>
      <c r="F175" s="42">
        <f t="shared" si="15"/>
        <v>940.67403299999989</v>
      </c>
      <c r="G175" s="88" t="str">
        <f t="shared" si="16"/>
        <v>8th &amp; 10th Floor</v>
      </c>
      <c r="H175" s="89"/>
      <c r="I175" s="36"/>
      <c r="L175" s="71"/>
      <c r="M175" s="71"/>
    </row>
    <row r="176" spans="1:13" s="37" customFormat="1" ht="15.75" customHeight="1" x14ac:dyDescent="0.3">
      <c r="A176" s="69">
        <f t="shared" si="17"/>
        <v>10</v>
      </c>
      <c r="B176" s="70"/>
      <c r="C176" s="53">
        <v>1</v>
      </c>
      <c r="D176" s="55">
        <f>(31.791+2.75+0.75*(2.14+2.75))*(10.764)</f>
        <v>411.27629400000001</v>
      </c>
      <c r="E176" s="42">
        <v>0</v>
      </c>
      <c r="F176" s="42">
        <f t="shared" si="15"/>
        <v>616.91444100000001</v>
      </c>
      <c r="G176" s="88" t="str">
        <f t="shared" si="16"/>
        <v>8th &amp; 10th Floor</v>
      </c>
      <c r="H176" s="89"/>
      <c r="I176" s="36"/>
      <c r="L176" s="71"/>
      <c r="M176" s="71"/>
    </row>
    <row r="177" spans="1:14" s="37" customFormat="1" ht="15.75" customHeight="1" x14ac:dyDescent="0.3">
      <c r="A177" s="69">
        <f>A176+1</f>
        <v>11</v>
      </c>
      <c r="B177" s="70"/>
      <c r="C177" s="53">
        <v>1</v>
      </c>
      <c r="D177" s="55">
        <f>(31.791+2.75+0.75*(2.14+2.75))*(10.764)</f>
        <v>411.27629400000001</v>
      </c>
      <c r="E177" s="42">
        <v>0</v>
      </c>
      <c r="F177" s="42">
        <f t="shared" si="15"/>
        <v>616.91444100000001</v>
      </c>
      <c r="G177" s="90" t="str">
        <f t="shared" si="16"/>
        <v>8th &amp; 10th Floor</v>
      </c>
      <c r="H177" s="91"/>
      <c r="I177" s="36"/>
      <c r="L177" s="71"/>
      <c r="M177" s="71"/>
    </row>
    <row r="178" spans="1:14" s="37" customFormat="1" x14ac:dyDescent="0.3">
      <c r="A178" s="82" t="s">
        <v>226</v>
      </c>
      <c r="B178" s="83"/>
      <c r="C178" s="83"/>
      <c r="D178" s="83"/>
      <c r="E178" s="83"/>
      <c r="F178" s="83"/>
      <c r="G178" s="83"/>
      <c r="H178" s="84"/>
      <c r="I178" s="36"/>
      <c r="K178" s="36" t="e">
        <f>4500000/F188</f>
        <v>#DIV/0!</v>
      </c>
    </row>
    <row r="179" spans="1:14" s="37" customFormat="1" ht="15.75" customHeight="1" x14ac:dyDescent="0.3">
      <c r="A179" s="85">
        <v>1</v>
      </c>
      <c r="B179" s="70"/>
      <c r="C179" s="72" t="s">
        <v>227</v>
      </c>
      <c r="D179" s="73"/>
      <c r="E179" s="73"/>
      <c r="F179" s="74"/>
      <c r="G179" s="86" t="str">
        <f>A178</f>
        <v>14th Floor (Part Terrace Area)</v>
      </c>
      <c r="H179" s="87"/>
      <c r="I179" s="36"/>
      <c r="J179" s="37">
        <f>8200*F179</f>
        <v>0</v>
      </c>
      <c r="L179" s="71"/>
      <c r="M179" s="71"/>
    </row>
    <row r="180" spans="1:14" s="37" customFormat="1" ht="15.75" customHeight="1" x14ac:dyDescent="0.3">
      <c r="A180" s="69">
        <v>2</v>
      </c>
      <c r="B180" s="70"/>
      <c r="C180" s="75"/>
      <c r="D180" s="76"/>
      <c r="E180" s="76"/>
      <c r="F180" s="77"/>
      <c r="G180" s="88" t="str">
        <f t="shared" ref="G180:G189" si="18">G179</f>
        <v>14th Floor (Part Terrace Area)</v>
      </c>
      <c r="H180" s="89"/>
      <c r="I180" s="36"/>
      <c r="L180" s="71"/>
      <c r="M180" s="71"/>
    </row>
    <row r="181" spans="1:14" s="37" customFormat="1" ht="15.75" customHeight="1" x14ac:dyDescent="0.3">
      <c r="A181" s="69">
        <v>3</v>
      </c>
      <c r="B181" s="70"/>
      <c r="C181" s="78"/>
      <c r="D181" s="79"/>
      <c r="E181" s="79"/>
      <c r="F181" s="80"/>
      <c r="G181" s="88" t="str">
        <f t="shared" si="18"/>
        <v>14th Floor (Part Terrace Area)</v>
      </c>
      <c r="H181" s="89"/>
      <c r="I181" s="36"/>
      <c r="L181" s="71"/>
      <c r="M181" s="71"/>
    </row>
    <row r="182" spans="1:14" s="37" customFormat="1" ht="15.75" customHeight="1" x14ac:dyDescent="0.3">
      <c r="A182" s="69">
        <v>4</v>
      </c>
      <c r="B182" s="70"/>
      <c r="C182" s="53">
        <v>2</v>
      </c>
      <c r="D182" s="55">
        <f>(50.959+2.75+0.75*(2.14+2.75+2))*(10.764)</f>
        <v>633.74664600000006</v>
      </c>
      <c r="E182" s="42">
        <v>0</v>
      </c>
      <c r="F182" s="42">
        <f t="shared" ref="F182:F186" si="19">D182*(($F$127)+1)+(IF(E182&lt;101,E182,IF(E182&lt;201,E182/2,IF(E182&lt;=301,E182/3,E182/4))))</f>
        <v>950.61996900000008</v>
      </c>
      <c r="G182" s="88" t="str">
        <f t="shared" si="18"/>
        <v>14th Floor (Part Terrace Area)</v>
      </c>
      <c r="H182" s="89"/>
      <c r="I182" s="36"/>
      <c r="L182" s="71"/>
      <c r="M182" s="71"/>
    </row>
    <row r="183" spans="1:14" s="37" customFormat="1" ht="15.75" customHeight="1" x14ac:dyDescent="0.3">
      <c r="A183" s="69">
        <v>5</v>
      </c>
      <c r="B183" s="70"/>
      <c r="C183" s="53">
        <v>2</v>
      </c>
      <c r="D183" s="55">
        <f>(44.271+1.85+0.75*(2.14+2.75+1.4))*(10.764)</f>
        <v>547.22561399999995</v>
      </c>
      <c r="E183" s="42">
        <v>0</v>
      </c>
      <c r="F183" s="42">
        <f t="shared" si="19"/>
        <v>820.83842099999993</v>
      </c>
      <c r="G183" s="88" t="str">
        <f t="shared" si="18"/>
        <v>14th Floor (Part Terrace Area)</v>
      </c>
      <c r="H183" s="89"/>
      <c r="I183" s="36"/>
      <c r="L183" s="71"/>
      <c r="M183" s="71"/>
    </row>
    <row r="184" spans="1:14" s="37" customFormat="1" ht="15.75" customHeight="1" x14ac:dyDescent="0.3">
      <c r="A184" s="69">
        <v>6</v>
      </c>
      <c r="B184" s="70"/>
      <c r="C184" s="53">
        <v>2</v>
      </c>
      <c r="D184" s="55">
        <f>(44.271+1.85+0.75*(2.14+2.75+1.4))*(10.764)</f>
        <v>547.22561399999995</v>
      </c>
      <c r="E184" s="42">
        <v>0</v>
      </c>
      <c r="F184" s="42">
        <f t="shared" si="19"/>
        <v>820.83842099999993</v>
      </c>
      <c r="G184" s="88" t="str">
        <f t="shared" si="18"/>
        <v>14th Floor (Part Terrace Area)</v>
      </c>
      <c r="H184" s="89"/>
      <c r="I184" s="36"/>
      <c r="L184" s="71"/>
      <c r="M184" s="71"/>
    </row>
    <row r="185" spans="1:14" s="37" customFormat="1" ht="15.75" customHeight="1" x14ac:dyDescent="0.3">
      <c r="A185" s="69">
        <v>7</v>
      </c>
      <c r="B185" s="70"/>
      <c r="C185" s="53">
        <v>2</v>
      </c>
      <c r="D185" s="55">
        <f>(50.959+2.9+0.75*(2.14+2.75+1.8))*(10.764)</f>
        <v>633.74664599999994</v>
      </c>
      <c r="E185" s="42">
        <v>0</v>
      </c>
      <c r="F185" s="42">
        <f t="shared" si="19"/>
        <v>950.61996899999986</v>
      </c>
      <c r="G185" s="88" t="str">
        <f t="shared" si="18"/>
        <v>14th Floor (Part Terrace Area)</v>
      </c>
      <c r="H185" s="89"/>
      <c r="I185" s="36"/>
      <c r="L185" s="71"/>
      <c r="M185" s="71"/>
    </row>
    <row r="186" spans="1:14" s="37" customFormat="1" ht="15.75" customHeight="1" x14ac:dyDescent="0.3">
      <c r="A186" s="69">
        <v>8</v>
      </c>
      <c r="B186" s="70"/>
      <c r="C186" s="53">
        <v>3</v>
      </c>
      <c r="D186" s="55">
        <f>(69.741+3.05+0.75*(2.75+3.05+3.05+2.45))*(10.764)</f>
        <v>874.74722399999985</v>
      </c>
      <c r="E186" s="42">
        <v>0</v>
      </c>
      <c r="F186" s="42">
        <f t="shared" si="19"/>
        <v>1312.1208359999998</v>
      </c>
      <c r="G186" s="88" t="str">
        <f t="shared" si="18"/>
        <v>14th Floor (Part Terrace Area)</v>
      </c>
      <c r="H186" s="89"/>
      <c r="I186" s="36"/>
      <c r="L186" s="71"/>
      <c r="M186" s="71"/>
    </row>
    <row r="187" spans="1:14" s="37" customFormat="1" ht="15.75" customHeight="1" x14ac:dyDescent="0.3">
      <c r="A187" s="69">
        <v>9</v>
      </c>
      <c r="B187" s="70"/>
      <c r="C187" s="72" t="s">
        <v>227</v>
      </c>
      <c r="D187" s="73"/>
      <c r="E187" s="73"/>
      <c r="F187" s="74"/>
      <c r="G187" s="88" t="str">
        <f t="shared" si="18"/>
        <v>14th Floor (Part Terrace Area)</v>
      </c>
      <c r="H187" s="89"/>
      <c r="I187" s="36"/>
      <c r="L187" s="71"/>
      <c r="M187" s="71"/>
    </row>
    <row r="188" spans="1:14" s="37" customFormat="1" ht="15.75" customHeight="1" x14ac:dyDescent="0.3">
      <c r="A188" s="69">
        <v>10</v>
      </c>
      <c r="B188" s="70"/>
      <c r="C188" s="75"/>
      <c r="D188" s="76"/>
      <c r="E188" s="76"/>
      <c r="F188" s="77"/>
      <c r="G188" s="88" t="str">
        <f t="shared" si="18"/>
        <v>14th Floor (Part Terrace Area)</v>
      </c>
      <c r="H188" s="89"/>
      <c r="I188" s="36"/>
      <c r="L188" s="71"/>
      <c r="M188" s="71"/>
    </row>
    <row r="189" spans="1:14" s="37" customFormat="1" ht="15.75" customHeight="1" x14ac:dyDescent="0.3">
      <c r="A189" s="69">
        <v>11</v>
      </c>
      <c r="B189" s="70"/>
      <c r="C189" s="78"/>
      <c r="D189" s="79"/>
      <c r="E189" s="79"/>
      <c r="F189" s="80"/>
      <c r="G189" s="90" t="str">
        <f t="shared" si="18"/>
        <v>14th Floor (Part Terrace Area)</v>
      </c>
      <c r="H189" s="91"/>
      <c r="I189" s="36"/>
      <c r="L189" s="71"/>
      <c r="M189" s="71"/>
    </row>
    <row r="190" spans="1:14" s="37" customFormat="1" hidden="1" x14ac:dyDescent="0.3">
      <c r="A190" s="82" t="s">
        <v>119</v>
      </c>
      <c r="B190" s="83"/>
      <c r="C190" s="83"/>
      <c r="D190" s="83"/>
      <c r="E190" s="83"/>
      <c r="F190" s="83"/>
      <c r="G190" s="83"/>
      <c r="H190" s="84"/>
      <c r="J190" s="36"/>
    </row>
    <row r="191" spans="1:14" s="37" customFormat="1" hidden="1" x14ac:dyDescent="0.3">
      <c r="A191" s="69">
        <v>1</v>
      </c>
      <c r="B191" s="70"/>
      <c r="C191" s="53"/>
      <c r="D191" s="42"/>
      <c r="E191" s="42">
        <v>0</v>
      </c>
      <c r="F191" s="42">
        <f>D191*(($F$127)+1)+(IF(E191&lt;101,E191,IF(E191&lt;201,E191/2,IF(E191&lt;=301,E191/3,E191/4))))</f>
        <v>0</v>
      </c>
      <c r="G191" s="69" t="str">
        <f>A190</f>
        <v>Ground Floor</v>
      </c>
      <c r="H191" s="70"/>
      <c r="I191" s="36"/>
      <c r="L191" s="71"/>
      <c r="M191" s="71"/>
      <c r="N191" s="36"/>
    </row>
    <row r="192" spans="1:14" s="37" customFormat="1" hidden="1" x14ac:dyDescent="0.3">
      <c r="A192" s="69">
        <f t="shared" ref="A192:A194" si="20">A191+1</f>
        <v>2</v>
      </c>
      <c r="B192" s="70"/>
      <c r="C192" s="53"/>
      <c r="D192" s="42"/>
      <c r="E192" s="42">
        <v>0</v>
      </c>
      <c r="F192" s="42">
        <f>D192*(($F$127)+1)+(IF(E192&lt;101,E192,IF(E192&lt;201,E192/2,IF(E192&lt;=301,E192/3,E192/4))))</f>
        <v>0</v>
      </c>
      <c r="G192" s="69" t="str">
        <f t="shared" ref="G192:G194" si="21">G191</f>
        <v>Ground Floor</v>
      </c>
      <c r="H192" s="70"/>
      <c r="I192" s="36"/>
      <c r="L192" s="71"/>
      <c r="M192" s="71"/>
      <c r="N192" s="36"/>
    </row>
    <row r="193" spans="1:14" s="37" customFormat="1" hidden="1" x14ac:dyDescent="0.3">
      <c r="A193" s="69">
        <f t="shared" si="20"/>
        <v>3</v>
      </c>
      <c r="B193" s="70"/>
      <c r="C193" s="53"/>
      <c r="D193" s="42"/>
      <c r="E193" s="42">
        <v>0</v>
      </c>
      <c r="F193" s="42">
        <f>D193*(($F$127)+1)+(IF(E193&lt;101,E193,IF(E193&lt;201,E193/2,IF(E193&lt;=301,E193/3,E193/4))))</f>
        <v>0</v>
      </c>
      <c r="G193" s="69" t="str">
        <f t="shared" si="21"/>
        <v>Ground Floor</v>
      </c>
      <c r="H193" s="70"/>
      <c r="I193" s="36"/>
      <c r="L193" s="71"/>
      <c r="M193" s="71"/>
      <c r="N193" s="36"/>
    </row>
    <row r="194" spans="1:14" s="37" customFormat="1" hidden="1" x14ac:dyDescent="0.3">
      <c r="A194" s="69">
        <f t="shared" si="20"/>
        <v>4</v>
      </c>
      <c r="B194" s="70"/>
      <c r="C194" s="53"/>
      <c r="D194" s="42"/>
      <c r="E194" s="42">
        <v>0</v>
      </c>
      <c r="F194" s="42">
        <f>D194*(($F$127)+1)+(IF(E194&lt;101,E194,IF(E194&lt;201,E194/2,IF(E194&lt;=301,E194/3,E194/4))))</f>
        <v>0</v>
      </c>
      <c r="G194" s="69" t="str">
        <f t="shared" si="21"/>
        <v>Ground Floor</v>
      </c>
      <c r="H194" s="70"/>
      <c r="I194" s="36"/>
      <c r="L194" s="71"/>
      <c r="M194" s="71"/>
      <c r="N194" s="36"/>
    </row>
    <row r="195" spans="1:14" s="37" customFormat="1" hidden="1" x14ac:dyDescent="0.3">
      <c r="A195" s="142" t="s">
        <v>120</v>
      </c>
      <c r="B195" s="142"/>
      <c r="C195" s="142"/>
      <c r="D195" s="142"/>
      <c r="E195" s="142"/>
      <c r="F195" s="142"/>
      <c r="G195" s="142"/>
      <c r="H195" s="142"/>
      <c r="I195" s="36"/>
      <c r="L195" s="71"/>
      <c r="M195" s="71"/>
    </row>
    <row r="196" spans="1:14" s="37" customFormat="1" hidden="1" x14ac:dyDescent="0.3">
      <c r="A196" s="96">
        <f>LEFT(A195,SUM(LEN(A195)-LEN(SUBSTITUTE(A195,{"0","1","2","3","4","5","6","7","8","9"},""))))*100+1</f>
        <v>201</v>
      </c>
      <c r="B196" s="96"/>
      <c r="C196" s="53"/>
      <c r="D196" s="42"/>
      <c r="E196" s="42">
        <v>0</v>
      </c>
      <c r="F196" s="42">
        <f t="shared" ref="F196:F197" si="22">D196*(($F$127)+1)+(IF(E196&lt;101,E196,IF(E196&lt;201,E196/2,IF(E196&lt;=301,E196/3,E196/4))))</f>
        <v>0</v>
      </c>
      <c r="G196" s="96" t="str">
        <f>A195</f>
        <v>2nd Floor</v>
      </c>
      <c r="H196" s="96"/>
      <c r="I196" s="36"/>
      <c r="N196" s="36"/>
    </row>
    <row r="197" spans="1:14" s="37" customFormat="1" hidden="1" x14ac:dyDescent="0.3">
      <c r="A197" s="96">
        <f>A196+1</f>
        <v>202</v>
      </c>
      <c r="B197" s="96"/>
      <c r="C197" s="53"/>
      <c r="D197" s="42"/>
      <c r="E197" s="42">
        <v>0</v>
      </c>
      <c r="F197" s="42">
        <f t="shared" si="22"/>
        <v>0</v>
      </c>
      <c r="G197" s="96" t="str">
        <f>G196</f>
        <v>2nd Floor</v>
      </c>
      <c r="H197" s="96"/>
      <c r="I197" s="36"/>
      <c r="N197" s="36"/>
    </row>
    <row r="198" spans="1:14" s="37" customFormat="1" hidden="1" x14ac:dyDescent="0.3">
      <c r="A198" s="96">
        <f>A197+1</f>
        <v>203</v>
      </c>
      <c r="B198" s="96"/>
      <c r="C198" s="53"/>
      <c r="D198" s="42"/>
      <c r="E198" s="42">
        <v>0</v>
      </c>
      <c r="F198" s="42">
        <f>D198*(($F$127)+1)+(IF(E198&lt;101,E198,IF(E198&lt;201,E198/2,IF(E198&lt;=301,E198/3,E198/4))))</f>
        <v>0</v>
      </c>
      <c r="G198" s="96" t="str">
        <f>G197</f>
        <v>2nd Floor</v>
      </c>
      <c r="H198" s="96"/>
      <c r="I198" s="36"/>
      <c r="N198" s="36"/>
    </row>
    <row r="199" spans="1:14" s="37" customFormat="1" hidden="1" x14ac:dyDescent="0.3">
      <c r="A199" s="96">
        <f>A198+1</f>
        <v>204</v>
      </c>
      <c r="B199" s="96"/>
      <c r="C199" s="53"/>
      <c r="D199" s="42"/>
      <c r="E199" s="42">
        <v>0</v>
      </c>
      <c r="F199" s="42">
        <f>D199*(($F$127)+1)+(IF(E199&lt;101,E199,IF(E199&lt;201,E199/2,IF(E199&lt;=301,E199/3,E199/4))))</f>
        <v>0</v>
      </c>
      <c r="G199" s="96" t="str">
        <f>G198</f>
        <v>2nd Floor</v>
      </c>
      <c r="H199" s="96"/>
      <c r="I199" s="36"/>
      <c r="N199" s="36"/>
    </row>
    <row r="200" spans="1:14" s="37" customFormat="1" hidden="1" x14ac:dyDescent="0.3">
      <c r="A200" s="96">
        <f>A199+1</f>
        <v>205</v>
      </c>
      <c r="B200" s="96"/>
      <c r="C200" s="53"/>
      <c r="D200" s="42"/>
      <c r="E200" s="42">
        <v>0</v>
      </c>
      <c r="F200" s="42">
        <f>D200*(($F$127)+1)+(IF(E200&lt;101,E200,IF(E200&lt;201,E200/2,IF(E200&lt;=301,E200/3,E200/4))))</f>
        <v>0</v>
      </c>
      <c r="G200" s="96" t="str">
        <f>G199</f>
        <v>2nd Floor</v>
      </c>
      <c r="H200" s="96"/>
      <c r="I200" s="36"/>
      <c r="N200" s="36"/>
    </row>
    <row r="201" spans="1:14" s="37" customFormat="1" ht="15.75" hidden="1" customHeight="1" x14ac:dyDescent="0.3">
      <c r="A201" s="82" t="s">
        <v>156</v>
      </c>
      <c r="B201" s="83"/>
      <c r="C201" s="83"/>
      <c r="D201" s="83"/>
      <c r="E201" s="83"/>
      <c r="F201" s="83"/>
      <c r="G201" s="83"/>
      <c r="H201" s="84"/>
      <c r="I201" s="36"/>
    </row>
    <row r="202" spans="1:14" s="37" customFormat="1" hidden="1" x14ac:dyDescent="0.3">
      <c r="A202" s="69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10^ROW(INDIRECT("1:"&amp;LEN((LEFT(A201,SUM(LEN(A201)-LEN(SUBSTITUTE(A201,{"0","1","2"},""))))))))/10))*100+1&amp;""&amp;" ,..,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",LEN(A201))),LEN(A201)))))))/10))*100+1</f>
        <v>301 ,.., 1501</v>
      </c>
      <c r="B202" s="70"/>
      <c r="C202" s="53"/>
      <c r="D202" s="42"/>
      <c r="E202" s="42">
        <v>0</v>
      </c>
      <c r="F202" s="42">
        <f>D202*(($F$127)+1)+(IF(E202&lt;101,E202,IF(E202&lt;201,E202/2,IF(E202&lt;=301,E202/3,E202/4))))</f>
        <v>0</v>
      </c>
      <c r="G202" s="69" t="str">
        <f>A201</f>
        <v>3rd, 5th, 7th, 9th, 11th, 13th, 15th Floor</v>
      </c>
      <c r="H202" s="70"/>
      <c r="I202" s="36"/>
    </row>
    <row r="203" spans="1:14" s="37" customFormat="1" hidden="1" x14ac:dyDescent="0.3">
      <c r="A203" s="69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,..,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302 ,.., 1502</v>
      </c>
      <c r="B203" s="70"/>
      <c r="C203" s="53"/>
      <c r="D203" s="42"/>
      <c r="E203" s="42">
        <v>0</v>
      </c>
      <c r="F203" s="42">
        <f>D203*(($F$127)+1)+(IF(E203&lt;101,E203,IF(E203&lt;201,E203/2,IF(E203&lt;=301,E203/3,E203/4))))</f>
        <v>0</v>
      </c>
      <c r="G203" s="69" t="str">
        <f>G202</f>
        <v>3rd, 5th, 7th, 9th, 11th, 13th, 15th Floor</v>
      </c>
      <c r="H203" s="70"/>
      <c r="I203" s="36"/>
    </row>
    <row r="204" spans="1:14" s="37" customFormat="1" ht="15.75" hidden="1" customHeight="1" x14ac:dyDescent="0.3">
      <c r="A204" s="69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,..,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303 ,.., 1503</v>
      </c>
      <c r="B204" s="70"/>
      <c r="C204" s="53"/>
      <c r="D204" s="42"/>
      <c r="E204" s="42">
        <v>0</v>
      </c>
      <c r="F204" s="42">
        <f>D204*(($F$127)+1)+(IF(E204&lt;101,E204,IF(E204&lt;201,E204/2,IF(E204&lt;=301,E204/3,E204/4))))</f>
        <v>0</v>
      </c>
      <c r="G204" s="69" t="str">
        <f>G203</f>
        <v>3rd, 5th, 7th, 9th, 11th, 13th, 15th Floor</v>
      </c>
      <c r="H204" s="70"/>
      <c r="I204" s="36"/>
    </row>
    <row r="205" spans="1:14" s="37" customFormat="1" ht="15.75" hidden="1" customHeight="1" x14ac:dyDescent="0.3">
      <c r="A205" s="69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,..,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304 ,.., 1504</v>
      </c>
      <c r="B205" s="70"/>
      <c r="C205" s="53"/>
      <c r="D205" s="42"/>
      <c r="E205" s="42">
        <v>0</v>
      </c>
      <c r="F205" s="42">
        <f>D205*(($F$127)+1)+(IF(E205&lt;101,E205,IF(E205&lt;201,E205/2,IF(E205&lt;=301,E205/3,E205/4))))</f>
        <v>0</v>
      </c>
      <c r="G205" s="69" t="str">
        <f>G204</f>
        <v>3rd, 5th, 7th, 9th, 11th, 13th, 15th Floor</v>
      </c>
      <c r="H205" s="70"/>
      <c r="I205" s="36"/>
    </row>
    <row r="206" spans="1:14" s="37" customFormat="1" ht="15.75" hidden="1" customHeight="1" x14ac:dyDescent="0.3">
      <c r="A206" s="69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,..,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305 ,.., 1505</v>
      </c>
      <c r="B206" s="70"/>
      <c r="C206" s="53"/>
      <c r="D206" s="42"/>
      <c r="E206" s="42">
        <v>0</v>
      </c>
      <c r="F206" s="42">
        <f>D206*(($F$127)+1)+(IF(E206&lt;101,E206,IF(E206&lt;201,E206/2,IF(E206&lt;=301,E206/3,E206/4))))</f>
        <v>0</v>
      </c>
      <c r="G206" s="69" t="str">
        <f>G205</f>
        <v>3rd, 5th, 7th, 9th, 11th, 13th, 15th Floor</v>
      </c>
      <c r="H206" s="70"/>
      <c r="I206" s="36"/>
    </row>
    <row r="207" spans="1:14" s="37" customFormat="1" hidden="1" x14ac:dyDescent="0.3">
      <c r="A207" s="82" t="s">
        <v>150</v>
      </c>
      <c r="B207" s="83"/>
      <c r="C207" s="83"/>
      <c r="D207" s="83"/>
      <c r="E207" s="83"/>
      <c r="F207" s="83"/>
      <c r="G207" s="83"/>
      <c r="H207" s="84"/>
      <c r="I207" s="36"/>
    </row>
    <row r="208" spans="1:14" s="37" customFormat="1" hidden="1" x14ac:dyDescent="0.3">
      <c r="A208" s="69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10^ROW(INDIRECT("1:"&amp;LEN((LEFT(A207,SUM(LEN(A207)-LEN(SUBSTITUTE(A207,{"0","1","2"},""))))))))/10))*100+1&amp;""&amp;" to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",LEN(A207))),LEN(A207)))))))/10))*100+1</f>
        <v>201 to 501</v>
      </c>
      <c r="B208" s="70"/>
      <c r="C208" s="53"/>
      <c r="D208" s="42"/>
      <c r="E208" s="42">
        <v>0</v>
      </c>
      <c r="F208" s="42">
        <f>D208*(($F$127)+1)+(IF(E208&lt;101,E208,IF(E208&lt;201,E208/2,IF(E208&lt;=301,E208/3,E208/4))))</f>
        <v>0</v>
      </c>
      <c r="G208" s="69" t="str">
        <f>A207</f>
        <v>2nd to 5th Floor</v>
      </c>
      <c r="H208" s="70"/>
      <c r="I208" s="36"/>
    </row>
    <row r="209" spans="1:9" s="37" customFormat="1" hidden="1" x14ac:dyDescent="0.3">
      <c r="A209" s="69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to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202 to 502</v>
      </c>
      <c r="B209" s="70"/>
      <c r="C209" s="53"/>
      <c r="D209" s="42"/>
      <c r="E209" s="42">
        <v>0</v>
      </c>
      <c r="F209" s="42">
        <f>D209*(($F$127)+1)+(IF(E209&lt;101,E209,IF(E209&lt;201,E209/2,IF(E209&lt;=301,E209/3,E209/4))))</f>
        <v>0</v>
      </c>
      <c r="G209" s="69" t="str">
        <f>G208</f>
        <v>2nd to 5th Floor</v>
      </c>
      <c r="H209" s="70"/>
      <c r="I209" s="36"/>
    </row>
    <row r="210" spans="1:9" s="37" customFormat="1" hidden="1" x14ac:dyDescent="0.3">
      <c r="A210" s="69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to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203 to 503</v>
      </c>
      <c r="B210" s="70"/>
      <c r="C210" s="53"/>
      <c r="D210" s="42"/>
      <c r="E210" s="42">
        <v>0</v>
      </c>
      <c r="F210" s="42">
        <f>D210*(($F$127)+1)+(IF(E210&lt;101,E210,IF(E210&lt;201,E210/2,IF(E210&lt;=301,E210/3,E210/4))))</f>
        <v>0</v>
      </c>
      <c r="G210" s="69" t="str">
        <f>G209</f>
        <v>2nd to 5th Floor</v>
      </c>
      <c r="H210" s="70"/>
      <c r="I210" s="36"/>
    </row>
    <row r="211" spans="1:9" s="37" customFormat="1" hidden="1" x14ac:dyDescent="0.3">
      <c r="A211" s="69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to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204 to 504</v>
      </c>
      <c r="B211" s="70"/>
      <c r="C211" s="53"/>
      <c r="D211" s="42"/>
      <c r="E211" s="42">
        <v>0</v>
      </c>
      <c r="F211" s="42">
        <f>D211*(($F$127)+1)+(IF(E211&lt;101,E211,IF(E211&lt;201,E211/2,IF(E211&lt;=301,E211/3,E211/4))))</f>
        <v>0</v>
      </c>
      <c r="G211" s="69" t="str">
        <f>G210</f>
        <v>2nd to 5th Floor</v>
      </c>
      <c r="H211" s="70"/>
      <c r="I211" s="36"/>
    </row>
    <row r="212" spans="1:9" s="37" customFormat="1" hidden="1" x14ac:dyDescent="0.3">
      <c r="A212" s="69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to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205 to 505</v>
      </c>
      <c r="B212" s="70"/>
      <c r="C212" s="53"/>
      <c r="D212" s="42"/>
      <c r="E212" s="42">
        <v>0</v>
      </c>
      <c r="F212" s="42">
        <f>D212*(($F$127)+1)+(IF(E212&lt;101,E212,IF(E212&lt;201,E212/2,IF(E212&lt;=301,E212/3,E212/4))))</f>
        <v>0</v>
      </c>
      <c r="G212" s="69" t="str">
        <f>G211</f>
        <v>2nd to 5th Floor</v>
      </c>
      <c r="H212" s="70"/>
      <c r="I212" s="36"/>
    </row>
    <row r="213" spans="1:9" s="37" customFormat="1" hidden="1" x14ac:dyDescent="0.3">
      <c r="A213" s="82" t="s">
        <v>151</v>
      </c>
      <c r="B213" s="83"/>
      <c r="C213" s="83"/>
      <c r="D213" s="83"/>
      <c r="E213" s="83"/>
      <c r="F213" s="83"/>
      <c r="G213" s="83"/>
      <c r="H213" s="84"/>
      <c r="I213" s="36"/>
    </row>
    <row r="214" spans="1:9" s="37" customFormat="1" hidden="1" x14ac:dyDescent="0.3">
      <c r="A214" s="69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10^ROW(INDIRECT("1:"&amp;LEN((LEFT(A213,SUM(LEN(A213)-LEN(SUBSTITUTE(A213,{"0","1","2"},""))))))))/10))*100+1&amp;""&amp;" &amp;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",LEN(A213))),LEN(A213)))))))/10))*100+1</f>
        <v>201 &amp; 501</v>
      </c>
      <c r="B214" s="70"/>
      <c r="C214" s="53"/>
      <c r="D214" s="42"/>
      <c r="E214" s="42">
        <v>0</v>
      </c>
      <c r="F214" s="42">
        <f>D214*(($F$127)+1)+(IF(E214&lt;101,E214,IF(E214&lt;201,E214/2,IF(E214&lt;=301,E214/3,E214/4))))</f>
        <v>0</v>
      </c>
      <c r="G214" s="69" t="str">
        <f>A213</f>
        <v>2nd &amp; 5th Floor</v>
      </c>
      <c r="H214" s="70"/>
      <c r="I214" s="36"/>
    </row>
    <row r="215" spans="1:9" s="37" customFormat="1" hidden="1" x14ac:dyDescent="0.3">
      <c r="A215" s="69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&amp;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202 &amp; 502</v>
      </c>
      <c r="B215" s="70"/>
      <c r="C215" s="53"/>
      <c r="D215" s="42"/>
      <c r="E215" s="42">
        <v>0</v>
      </c>
      <c r="F215" s="42">
        <f>D215*(($F$127)+1)+(IF(E215&lt;101,E215,IF(E215&lt;201,E215/2,IF(E215&lt;=301,E215/3,E215/4))))</f>
        <v>0</v>
      </c>
      <c r="G215" s="69" t="str">
        <f t="shared" ref="G215:G218" si="23">G214</f>
        <v>2nd &amp; 5th Floor</v>
      </c>
      <c r="H215" s="70"/>
      <c r="I215" s="36"/>
    </row>
    <row r="216" spans="1:9" s="37" customFormat="1" hidden="1" x14ac:dyDescent="0.3">
      <c r="A216" s="69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&amp;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203 &amp; 503</v>
      </c>
      <c r="B216" s="70"/>
      <c r="C216" s="53"/>
      <c r="D216" s="42"/>
      <c r="E216" s="42">
        <v>0</v>
      </c>
      <c r="F216" s="42">
        <f>D216*(($F$127)+1)+(IF(E216&lt;101,E216,IF(E216&lt;201,E216/2,IF(E216&lt;=301,E216/3,E216/4))))</f>
        <v>0</v>
      </c>
      <c r="G216" s="69" t="str">
        <f t="shared" si="23"/>
        <v>2nd &amp; 5th Floor</v>
      </c>
      <c r="H216" s="70"/>
      <c r="I216" s="36"/>
    </row>
    <row r="217" spans="1:9" s="37" customFormat="1" hidden="1" x14ac:dyDescent="0.3">
      <c r="A217" s="69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&amp;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204 &amp; 504</v>
      </c>
      <c r="B217" s="70"/>
      <c r="C217" s="53"/>
      <c r="D217" s="42"/>
      <c r="E217" s="42">
        <v>0</v>
      </c>
      <c r="F217" s="42">
        <f>D217*(($F$127)+1)+(IF(E217&lt;101,E217,IF(E217&lt;201,E217/2,IF(E217&lt;=301,E217/3,E217/4))))</f>
        <v>0</v>
      </c>
      <c r="G217" s="69" t="str">
        <f t="shared" si="23"/>
        <v>2nd &amp; 5th Floor</v>
      </c>
      <c r="H217" s="70"/>
      <c r="I217" s="36"/>
    </row>
    <row r="218" spans="1:9" s="37" customFormat="1" hidden="1" x14ac:dyDescent="0.3">
      <c r="A218" s="69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&amp;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205 &amp; 505</v>
      </c>
      <c r="B218" s="70"/>
      <c r="C218" s="53"/>
      <c r="D218" s="42"/>
      <c r="E218" s="42">
        <v>0</v>
      </c>
      <c r="F218" s="42">
        <f>D218*(($F$127)+1)+(IF(E218&lt;101,E218,IF(E218&lt;201,E218/2,IF(E218&lt;=301,E218/3,E218/4))))</f>
        <v>0</v>
      </c>
      <c r="G218" s="69" t="str">
        <f t="shared" si="23"/>
        <v>2nd &amp; 5th Floor</v>
      </c>
      <c r="H218" s="70"/>
      <c r="I218" s="36"/>
    </row>
    <row r="219" spans="1:9" s="35" customFormat="1" x14ac:dyDescent="0.3">
      <c r="A219" s="144" t="s">
        <v>69</v>
      </c>
      <c r="B219" s="144"/>
      <c r="C219" s="144"/>
      <c r="D219" s="144"/>
      <c r="E219" s="144"/>
      <c r="F219" s="144"/>
      <c r="G219" s="144"/>
      <c r="H219" s="144"/>
    </row>
    <row r="220" spans="1:9" s="35" customFormat="1" ht="32.25" customHeight="1" x14ac:dyDescent="0.3">
      <c r="A220" s="47" t="s">
        <v>159</v>
      </c>
      <c r="B220" s="132" t="s">
        <v>249</v>
      </c>
      <c r="C220" s="133"/>
      <c r="D220" s="133"/>
      <c r="E220" s="133"/>
      <c r="F220" s="133"/>
      <c r="G220" s="133"/>
      <c r="H220" s="134"/>
    </row>
    <row r="221" spans="1:9" s="35" customFormat="1" x14ac:dyDescent="0.3">
      <c r="A221" s="47" t="s">
        <v>159</v>
      </c>
      <c r="B221" s="132" t="str">
        <f>(IF(F126="Saleable area Loading :","We have considered Saleable area of Flats as per our Calculation.","We considered Saleable area of Flat as per Builder area Sheet."))</f>
        <v>We have considered Saleable area of Flats as per our Calculation.</v>
      </c>
      <c r="C221" s="133"/>
      <c r="D221" s="133"/>
      <c r="E221" s="133"/>
      <c r="F221" s="133"/>
      <c r="G221" s="133"/>
      <c r="H221" s="134"/>
    </row>
    <row r="222" spans="1:9" s="35" customFormat="1" x14ac:dyDescent="0.3">
      <c r="A222" s="47" t="s">
        <v>159</v>
      </c>
      <c r="B222" s="132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2" s="133"/>
      <c r="D222" s="133"/>
      <c r="E222" s="133"/>
      <c r="F222" s="133"/>
      <c r="G222" s="133"/>
      <c r="H222" s="134"/>
    </row>
    <row r="223" spans="1:9" s="35" customFormat="1" x14ac:dyDescent="0.3">
      <c r="A223" s="47" t="s">
        <v>159</v>
      </c>
      <c r="B223" s="66" t="s">
        <v>127</v>
      </c>
      <c r="C223" s="67"/>
      <c r="D223" s="67"/>
      <c r="E223" s="67"/>
      <c r="F223" s="67"/>
      <c r="G223" s="67"/>
      <c r="H223" s="68"/>
    </row>
    <row r="224" spans="1:9" s="35" customFormat="1" x14ac:dyDescent="0.3">
      <c r="A224" s="47" t="s">
        <v>159</v>
      </c>
      <c r="B224" s="66" t="s">
        <v>197</v>
      </c>
      <c r="C224" s="67"/>
      <c r="D224" s="67"/>
      <c r="E224" s="67"/>
      <c r="F224" s="67"/>
      <c r="G224" s="67"/>
      <c r="H224" s="68"/>
    </row>
    <row r="225" spans="1:8" s="35" customFormat="1" x14ac:dyDescent="0.3">
      <c r="A225" s="47" t="s">
        <v>159</v>
      </c>
      <c r="B225" s="66" t="s">
        <v>158</v>
      </c>
      <c r="C225" s="67"/>
      <c r="D225" s="67"/>
      <c r="E225" s="67"/>
      <c r="F225" s="67"/>
      <c r="G225" s="67"/>
      <c r="H225" s="68"/>
    </row>
    <row r="226" spans="1:8" s="35" customFormat="1" x14ac:dyDescent="0.3">
      <c r="A226" s="47" t="s">
        <v>159</v>
      </c>
      <c r="B226" s="66" t="s">
        <v>128</v>
      </c>
      <c r="C226" s="67"/>
      <c r="D226" s="67"/>
      <c r="E226" s="67"/>
      <c r="F226" s="67"/>
      <c r="G226" s="67"/>
      <c r="H226" s="68"/>
    </row>
    <row r="227" spans="1:8" s="35" customFormat="1" ht="34.5" customHeight="1" x14ac:dyDescent="0.3">
      <c r="A227" s="47" t="s">
        <v>159</v>
      </c>
      <c r="B227" s="66" t="s">
        <v>160</v>
      </c>
      <c r="C227" s="67"/>
      <c r="D227" s="67"/>
      <c r="E227" s="67"/>
      <c r="F227" s="67"/>
      <c r="G227" s="67"/>
      <c r="H227" s="68"/>
    </row>
    <row r="228" spans="1:8" s="35" customFormat="1" x14ac:dyDescent="0.3">
      <c r="A228" s="47" t="s">
        <v>159</v>
      </c>
      <c r="B228" s="66" t="s">
        <v>129</v>
      </c>
      <c r="C228" s="67"/>
      <c r="D228" s="67"/>
      <c r="E228" s="67"/>
      <c r="F228" s="67"/>
      <c r="G228" s="67"/>
      <c r="H228" s="68"/>
    </row>
    <row r="229" spans="1:8" s="35" customFormat="1" x14ac:dyDescent="0.3">
      <c r="A229" s="47" t="s">
        <v>159</v>
      </c>
      <c r="B229" s="66" t="s">
        <v>203</v>
      </c>
      <c r="C229" s="67"/>
      <c r="D229" s="67"/>
      <c r="E229" s="67"/>
      <c r="F229" s="67"/>
      <c r="G229" s="67"/>
      <c r="H229" s="68"/>
    </row>
    <row r="230" spans="1:8" s="35" customFormat="1" x14ac:dyDescent="0.3">
      <c r="A230" s="47" t="s">
        <v>159</v>
      </c>
      <c r="B230" s="66" t="s">
        <v>229</v>
      </c>
      <c r="C230" s="67"/>
      <c r="D230" s="67"/>
      <c r="E230" s="67"/>
      <c r="F230" s="67"/>
      <c r="G230" s="67"/>
      <c r="H230" s="68"/>
    </row>
    <row r="231" spans="1:8" s="35" customFormat="1" x14ac:dyDescent="0.3">
      <c r="A231" s="47" t="s">
        <v>159</v>
      </c>
      <c r="B231" s="66" t="s">
        <v>242</v>
      </c>
      <c r="C231" s="67"/>
      <c r="D231" s="67"/>
      <c r="E231" s="67"/>
      <c r="F231" s="67"/>
      <c r="G231" s="67"/>
      <c r="H231" s="68"/>
    </row>
    <row r="232" spans="1:8" s="35" customFormat="1" x14ac:dyDescent="0.3">
      <c r="A232" s="47" t="s">
        <v>159</v>
      </c>
      <c r="B232" s="66" t="s">
        <v>246</v>
      </c>
      <c r="C232" s="67"/>
      <c r="D232" s="67"/>
      <c r="E232" s="67"/>
      <c r="F232" s="67"/>
      <c r="G232" s="67"/>
      <c r="H232" s="68"/>
    </row>
    <row r="233" spans="1:8" x14ac:dyDescent="0.3">
      <c r="A233" s="122" t="s">
        <v>62</v>
      </c>
      <c r="B233" s="122"/>
      <c r="C233" s="122"/>
      <c r="D233" s="122"/>
      <c r="E233" s="122"/>
      <c r="F233" s="122"/>
      <c r="G233" s="122"/>
      <c r="H233" s="122"/>
    </row>
    <row r="234" spans="1:8" x14ac:dyDescent="0.3">
      <c r="A234" s="94" t="s">
        <v>63</v>
      </c>
      <c r="B234" s="94"/>
      <c r="C234" s="94"/>
      <c r="D234" s="94"/>
      <c r="E234" s="94"/>
      <c r="F234" s="94"/>
      <c r="G234" s="94"/>
      <c r="H234" s="94"/>
    </row>
    <row r="235" spans="1:8" ht="15.75" customHeight="1" x14ac:dyDescent="0.3">
      <c r="A235" s="95" t="s">
        <v>64</v>
      </c>
      <c r="B235" s="95"/>
      <c r="C235" s="95"/>
      <c r="D235" s="95"/>
      <c r="E235" s="95"/>
      <c r="F235" s="95"/>
      <c r="G235" s="95"/>
      <c r="H235" s="95"/>
    </row>
    <row r="236" spans="1:8" x14ac:dyDescent="0.3">
      <c r="A236" s="94" t="s">
        <v>65</v>
      </c>
      <c r="B236" s="94"/>
      <c r="C236" s="94"/>
      <c r="D236" s="94"/>
      <c r="E236" s="94"/>
      <c r="F236" s="94"/>
      <c r="G236" s="94"/>
      <c r="H236" s="94"/>
    </row>
    <row r="237" spans="1:8" x14ac:dyDescent="0.3">
      <c r="A237" s="94" t="s">
        <v>66</v>
      </c>
      <c r="B237" s="94"/>
      <c r="C237" s="94"/>
      <c r="D237" s="94"/>
      <c r="E237" s="94"/>
      <c r="F237" s="94"/>
      <c r="G237" s="94"/>
      <c r="H237" s="94"/>
    </row>
    <row r="238" spans="1:8" x14ac:dyDescent="0.3">
      <c r="A238" s="94" t="s">
        <v>130</v>
      </c>
      <c r="B238" s="94"/>
      <c r="C238" s="94"/>
      <c r="D238" s="94"/>
      <c r="E238" s="94"/>
      <c r="F238" s="94"/>
      <c r="G238" s="94"/>
      <c r="H238" s="94"/>
    </row>
    <row r="239" spans="1:8" x14ac:dyDescent="0.3">
      <c r="A239" s="123" t="s">
        <v>131</v>
      </c>
      <c r="B239" s="123"/>
      <c r="C239" s="123"/>
      <c r="D239" s="123"/>
      <c r="E239" s="123"/>
      <c r="F239" s="123"/>
      <c r="G239" s="123"/>
      <c r="H239" s="123"/>
    </row>
    <row r="240" spans="1:8" x14ac:dyDescent="0.3">
      <c r="A240" s="139" t="s">
        <v>79</v>
      </c>
      <c r="B240" s="139"/>
      <c r="C240" s="139" t="s">
        <v>248</v>
      </c>
      <c r="D240" s="139"/>
      <c r="E240" s="139" t="s">
        <v>106</v>
      </c>
      <c r="F240" s="139"/>
      <c r="G240" s="139" t="s">
        <v>247</v>
      </c>
      <c r="H240" s="139"/>
    </row>
    <row r="241" spans="1:8" x14ac:dyDescent="0.3">
      <c r="A241" s="138" t="s">
        <v>81</v>
      </c>
      <c r="B241" s="138"/>
      <c r="C241" s="138"/>
      <c r="D241" s="138"/>
      <c r="E241" s="138"/>
      <c r="F241" s="138"/>
      <c r="G241" s="138"/>
      <c r="H241" s="138"/>
    </row>
    <row r="242" spans="1:8" x14ac:dyDescent="0.3">
      <c r="A242" s="138"/>
      <c r="B242" s="138"/>
      <c r="C242" s="138"/>
      <c r="D242" s="138"/>
      <c r="E242" s="138"/>
      <c r="F242" s="138"/>
      <c r="G242" s="138"/>
      <c r="H242" s="138"/>
    </row>
    <row r="243" spans="1:8" x14ac:dyDescent="0.3">
      <c r="A243" s="138"/>
      <c r="B243" s="138"/>
      <c r="C243" s="138"/>
      <c r="D243" s="138"/>
      <c r="E243" s="138"/>
      <c r="F243" s="138"/>
      <c r="G243" s="138"/>
      <c r="H243" s="138"/>
    </row>
    <row r="244" spans="1:8" x14ac:dyDescent="0.3">
      <c r="A244" s="138"/>
      <c r="B244" s="138"/>
      <c r="C244" s="138"/>
      <c r="D244" s="138"/>
      <c r="E244" s="138"/>
      <c r="F244" s="138"/>
      <c r="G244" s="138"/>
      <c r="H244" s="138"/>
    </row>
    <row r="245" spans="1:8" x14ac:dyDescent="0.3">
      <c r="A245" s="38" t="s">
        <v>67</v>
      </c>
      <c r="B245" s="39"/>
      <c r="C245" s="39"/>
      <c r="D245" s="38" t="str">
        <f>E8</f>
        <v>Neelkanth Dham</v>
      </c>
      <c r="F245" s="39"/>
      <c r="G245" s="39"/>
      <c r="H245" s="39"/>
    </row>
    <row r="246" spans="1:8" x14ac:dyDescent="0.3">
      <c r="A246" s="39"/>
      <c r="B246" s="39"/>
      <c r="C246" s="39"/>
      <c r="D246" s="39"/>
      <c r="E246" s="39"/>
      <c r="F246" s="39"/>
      <c r="G246" s="39"/>
      <c r="H246" s="39"/>
    </row>
    <row r="247" spans="1:8" x14ac:dyDescent="0.3">
      <c r="A247" s="39"/>
      <c r="B247" s="39"/>
      <c r="C247" s="39"/>
      <c r="D247" s="39"/>
      <c r="E247" s="39"/>
      <c r="F247" s="39"/>
      <c r="G247" s="39"/>
      <c r="H247" s="39"/>
    </row>
    <row r="248" spans="1:8" ht="15" customHeight="1" x14ac:dyDescent="0.3"/>
    <row r="287" spans="1:1" x14ac:dyDescent="0.3">
      <c r="A287" s="41" t="s">
        <v>173</v>
      </c>
    </row>
    <row r="326" spans="1:1" x14ac:dyDescent="0.3">
      <c r="A326" s="41" t="s">
        <v>68</v>
      </c>
    </row>
  </sheetData>
  <mergeCells count="459">
    <mergeCell ref="B231:H231"/>
    <mergeCell ref="A175:B175"/>
    <mergeCell ref="L175:M175"/>
    <mergeCell ref="A176:B176"/>
    <mergeCell ref="L176:M176"/>
    <mergeCell ref="A177:B177"/>
    <mergeCell ref="L177:M177"/>
    <mergeCell ref="L170:M170"/>
    <mergeCell ref="A171:B171"/>
    <mergeCell ref="L171:M171"/>
    <mergeCell ref="A172:B172"/>
    <mergeCell ref="L172:M172"/>
    <mergeCell ref="A173:B173"/>
    <mergeCell ref="L173:M173"/>
    <mergeCell ref="A174:B174"/>
    <mergeCell ref="L174:M174"/>
    <mergeCell ref="L192:M192"/>
    <mergeCell ref="L191:M191"/>
    <mergeCell ref="B227:H227"/>
    <mergeCell ref="B225:H225"/>
    <mergeCell ref="A209:B209"/>
    <mergeCell ref="A210:B210"/>
    <mergeCell ref="G206:H206"/>
    <mergeCell ref="G205:H205"/>
    <mergeCell ref="A99:B99"/>
    <mergeCell ref="C99:D99"/>
    <mergeCell ref="E99:F99"/>
    <mergeCell ref="G99:H99"/>
    <mergeCell ref="C37:H37"/>
    <mergeCell ref="G143:H153"/>
    <mergeCell ref="C97:D97"/>
    <mergeCell ref="G97:H97"/>
    <mergeCell ref="L130:M130"/>
    <mergeCell ref="A131:B131"/>
    <mergeCell ref="A132:B132"/>
    <mergeCell ref="A133:B133"/>
    <mergeCell ref="A134:B134"/>
    <mergeCell ref="G131:H141"/>
    <mergeCell ref="A125:H125"/>
    <mergeCell ref="C38:H38"/>
    <mergeCell ref="A128:H128"/>
    <mergeCell ref="A129:H129"/>
    <mergeCell ref="A142:H142"/>
    <mergeCell ref="A143:B143"/>
    <mergeCell ref="A144:B144"/>
    <mergeCell ref="A145:B145"/>
    <mergeCell ref="A47:B47"/>
    <mergeCell ref="C47:H47"/>
    <mergeCell ref="B229:H229"/>
    <mergeCell ref="A152:B152"/>
    <mergeCell ref="A153:B153"/>
    <mergeCell ref="L143:M143"/>
    <mergeCell ref="L144:M144"/>
    <mergeCell ref="L145:M145"/>
    <mergeCell ref="L146:M146"/>
    <mergeCell ref="L147:M147"/>
    <mergeCell ref="L148:M148"/>
    <mergeCell ref="L149:M149"/>
    <mergeCell ref="L150:M150"/>
    <mergeCell ref="L151:M151"/>
    <mergeCell ref="L152:M152"/>
    <mergeCell ref="L153:M153"/>
    <mergeCell ref="A147:B147"/>
    <mergeCell ref="A148:B148"/>
    <mergeCell ref="A149:B149"/>
    <mergeCell ref="A150:B150"/>
    <mergeCell ref="A151:B151"/>
    <mergeCell ref="G210:H210"/>
    <mergeCell ref="L195:M195"/>
    <mergeCell ref="A146:B146"/>
    <mergeCell ref="L194:M194"/>
    <mergeCell ref="G192:H192"/>
    <mergeCell ref="F81:H81"/>
    <mergeCell ref="A81:E81"/>
    <mergeCell ref="G203:H203"/>
    <mergeCell ref="G199:H199"/>
    <mergeCell ref="G196:H196"/>
    <mergeCell ref="D102:D103"/>
    <mergeCell ref="A83:E83"/>
    <mergeCell ref="A108:B108"/>
    <mergeCell ref="A109:B109"/>
    <mergeCell ref="A110:B110"/>
    <mergeCell ref="A111:B111"/>
    <mergeCell ref="A84:E84"/>
    <mergeCell ref="A130:H130"/>
    <mergeCell ref="A135:B135"/>
    <mergeCell ref="A136:B136"/>
    <mergeCell ref="A137:B137"/>
    <mergeCell ref="A90:E90"/>
    <mergeCell ref="A139:B139"/>
    <mergeCell ref="A140:B140"/>
    <mergeCell ref="A141:B141"/>
    <mergeCell ref="A199:B199"/>
    <mergeCell ref="G200:H200"/>
    <mergeCell ref="G191:H191"/>
    <mergeCell ref="A192:B192"/>
    <mergeCell ref="A193:B193"/>
    <mergeCell ref="G193:H193"/>
    <mergeCell ref="G197:H197"/>
    <mergeCell ref="A207:H207"/>
    <mergeCell ref="A201:H201"/>
    <mergeCell ref="A194:B194"/>
    <mergeCell ref="G204:H204"/>
    <mergeCell ref="G202:H202"/>
    <mergeCell ref="A191:B191"/>
    <mergeCell ref="L193:M193"/>
    <mergeCell ref="G208:H208"/>
    <mergeCell ref="A206:B206"/>
    <mergeCell ref="L111:M111"/>
    <mergeCell ref="L110:M110"/>
    <mergeCell ref="L109:M109"/>
    <mergeCell ref="L108:M108"/>
    <mergeCell ref="A76:B76"/>
    <mergeCell ref="C98:D98"/>
    <mergeCell ref="E98:F98"/>
    <mergeCell ref="G98:H98"/>
    <mergeCell ref="F86:H86"/>
    <mergeCell ref="A80:E80"/>
    <mergeCell ref="A104:H104"/>
    <mergeCell ref="E102:E103"/>
    <mergeCell ref="G102:H103"/>
    <mergeCell ref="F79:H79"/>
    <mergeCell ref="F84:H84"/>
    <mergeCell ref="A85:E85"/>
    <mergeCell ref="F85:H85"/>
    <mergeCell ref="A86:E86"/>
    <mergeCell ref="A88:E88"/>
    <mergeCell ref="F82:H82"/>
    <mergeCell ref="A208:B208"/>
    <mergeCell ref="A87:E87"/>
    <mergeCell ref="A82:E82"/>
    <mergeCell ref="A79:E79"/>
    <mergeCell ref="F83:H83"/>
    <mergeCell ref="A40:D40"/>
    <mergeCell ref="E40:H40"/>
    <mergeCell ref="F32:H32"/>
    <mergeCell ref="F33:H33"/>
    <mergeCell ref="A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A38:B38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D64:H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A212:B212"/>
    <mergeCell ref="A44:D44"/>
    <mergeCell ref="A45:D45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G212:H212"/>
    <mergeCell ref="D63:H63"/>
    <mergeCell ref="A69:B69"/>
    <mergeCell ref="G68:H68"/>
    <mergeCell ref="A241:H244"/>
    <mergeCell ref="A240:B240"/>
    <mergeCell ref="E240:F240"/>
    <mergeCell ref="C240:D240"/>
    <mergeCell ref="G240:H240"/>
    <mergeCell ref="A93:H93"/>
    <mergeCell ref="A91:E91"/>
    <mergeCell ref="F91:H91"/>
    <mergeCell ref="A92:E92"/>
    <mergeCell ref="F92:H92"/>
    <mergeCell ref="A195:H195"/>
    <mergeCell ref="A98:B98"/>
    <mergeCell ref="A204:B204"/>
    <mergeCell ref="A95:B95"/>
    <mergeCell ref="A236:H236"/>
    <mergeCell ref="A96:H96"/>
    <mergeCell ref="A239:H239"/>
    <mergeCell ref="A237:H237"/>
    <mergeCell ref="A219:H219"/>
    <mergeCell ref="A211:B211"/>
    <mergeCell ref="A138:B138"/>
    <mergeCell ref="A233:H233"/>
    <mergeCell ref="A234:H234"/>
    <mergeCell ref="E97:F97"/>
    <mergeCell ref="B228:H228"/>
    <mergeCell ref="B226:H226"/>
    <mergeCell ref="B222:H222"/>
    <mergeCell ref="A216:B216"/>
    <mergeCell ref="G216:H216"/>
    <mergeCell ref="G215:H215"/>
    <mergeCell ref="A213:H213"/>
    <mergeCell ref="A214:B214"/>
    <mergeCell ref="A215:B215"/>
    <mergeCell ref="A218:B218"/>
    <mergeCell ref="G218:H218"/>
    <mergeCell ref="A217:B217"/>
    <mergeCell ref="A100:H100"/>
    <mergeCell ref="G198:H198"/>
    <mergeCell ref="G217:H217"/>
    <mergeCell ref="B220:H220"/>
    <mergeCell ref="B221:H221"/>
    <mergeCell ref="B223:H223"/>
    <mergeCell ref="B224:H224"/>
    <mergeCell ref="G214:H214"/>
    <mergeCell ref="A62:C62"/>
    <mergeCell ref="D62:H62"/>
    <mergeCell ref="A63:C63"/>
    <mergeCell ref="B102:B103"/>
    <mergeCell ref="A102:A103"/>
    <mergeCell ref="C126:C127"/>
    <mergeCell ref="A190:H190"/>
    <mergeCell ref="A205:B205"/>
    <mergeCell ref="A202:B202"/>
    <mergeCell ref="G194:H194"/>
    <mergeCell ref="F89:H89"/>
    <mergeCell ref="E94:F94"/>
    <mergeCell ref="A94:B94"/>
    <mergeCell ref="A115:B115"/>
    <mergeCell ref="A123:B123"/>
    <mergeCell ref="A126:A127"/>
    <mergeCell ref="A200:B200"/>
    <mergeCell ref="A197:B197"/>
    <mergeCell ref="A198:B198"/>
    <mergeCell ref="C102:C103"/>
    <mergeCell ref="B126:B127"/>
    <mergeCell ref="A112:B112"/>
    <mergeCell ref="A116:B116"/>
    <mergeCell ref="A120:B120"/>
    <mergeCell ref="C50:E50"/>
    <mergeCell ref="A57:C57"/>
    <mergeCell ref="G209:H209"/>
    <mergeCell ref="A203:B203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F87:H87"/>
    <mergeCell ref="C94:D94"/>
    <mergeCell ref="F90:H90"/>
    <mergeCell ref="F88:H88"/>
    <mergeCell ref="A101:H101"/>
    <mergeCell ref="G94:H94"/>
    <mergeCell ref="A89:E89"/>
    <mergeCell ref="C95:D95"/>
    <mergeCell ref="E95:F95"/>
    <mergeCell ref="L121:M121"/>
    <mergeCell ref="A122:B122"/>
    <mergeCell ref="L122:M122"/>
    <mergeCell ref="L115:M115"/>
    <mergeCell ref="A16:B16"/>
    <mergeCell ref="C16:H16"/>
    <mergeCell ref="E41:H41"/>
    <mergeCell ref="A41:D41"/>
    <mergeCell ref="A238:H238"/>
    <mergeCell ref="A235:H235"/>
    <mergeCell ref="G211:H211"/>
    <mergeCell ref="A196:B196"/>
    <mergeCell ref="A97:B97"/>
    <mergeCell ref="D126:D127"/>
    <mergeCell ref="E126:E127"/>
    <mergeCell ref="G126:H127"/>
    <mergeCell ref="A74:B74"/>
    <mergeCell ref="F80:H80"/>
    <mergeCell ref="G95:H95"/>
    <mergeCell ref="A48:B48"/>
    <mergeCell ref="C48:E48"/>
    <mergeCell ref="G48:H48"/>
    <mergeCell ref="G50:H50"/>
    <mergeCell ref="D54:H54"/>
    <mergeCell ref="A105:B105"/>
    <mergeCell ref="L105:M105"/>
    <mergeCell ref="A106:B106"/>
    <mergeCell ref="L106:M106"/>
    <mergeCell ref="A107:B107"/>
    <mergeCell ref="L107:M107"/>
    <mergeCell ref="G105:H123"/>
    <mergeCell ref="A124:H124"/>
    <mergeCell ref="A154:H154"/>
    <mergeCell ref="L123:M123"/>
    <mergeCell ref="L116:M116"/>
    <mergeCell ref="A117:B117"/>
    <mergeCell ref="L117:M117"/>
    <mergeCell ref="A118:B118"/>
    <mergeCell ref="L118:M118"/>
    <mergeCell ref="A119:B119"/>
    <mergeCell ref="L119:M119"/>
    <mergeCell ref="L112:M112"/>
    <mergeCell ref="A113:B113"/>
    <mergeCell ref="L113:M113"/>
    <mergeCell ref="A114:B114"/>
    <mergeCell ref="L114:M114"/>
    <mergeCell ref="L120:M120"/>
    <mergeCell ref="A121:B121"/>
    <mergeCell ref="A170:B170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  <mergeCell ref="G155:H165"/>
    <mergeCell ref="A155:B155"/>
    <mergeCell ref="A186:B186"/>
    <mergeCell ref="L186:M186"/>
    <mergeCell ref="A187:B187"/>
    <mergeCell ref="L187:M187"/>
    <mergeCell ref="A188:B188"/>
    <mergeCell ref="L188:M188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64:B164"/>
    <mergeCell ref="L164:M164"/>
    <mergeCell ref="A166:H166"/>
    <mergeCell ref="A167:B167"/>
    <mergeCell ref="G167:H177"/>
    <mergeCell ref="L167:M167"/>
    <mergeCell ref="A168:B168"/>
    <mergeCell ref="L168:M168"/>
    <mergeCell ref="A169:B169"/>
    <mergeCell ref="L169:M169"/>
    <mergeCell ref="B232:H232"/>
    <mergeCell ref="A189:B189"/>
    <mergeCell ref="L189:M189"/>
    <mergeCell ref="C179:F181"/>
    <mergeCell ref="C187:F189"/>
    <mergeCell ref="B230:H230"/>
    <mergeCell ref="A165:B165"/>
    <mergeCell ref="L165:M165"/>
    <mergeCell ref="A178:H178"/>
    <mergeCell ref="A179:B179"/>
    <mergeCell ref="G179:H189"/>
    <mergeCell ref="L179:M179"/>
    <mergeCell ref="A180:B180"/>
    <mergeCell ref="L180:M180"/>
    <mergeCell ref="A181:B181"/>
    <mergeCell ref="L181:M181"/>
    <mergeCell ref="A182:B182"/>
    <mergeCell ref="L182:M182"/>
    <mergeCell ref="A183:B183"/>
    <mergeCell ref="L183:M183"/>
    <mergeCell ref="A184:B184"/>
    <mergeCell ref="L184:M184"/>
    <mergeCell ref="A185:B185"/>
    <mergeCell ref="L185:M185"/>
  </mergeCells>
  <hyperlinks>
    <hyperlink ref="C38" r:id="rId1" xr:uid="{00000000-0004-0000-0000-000000000000}"/>
    <hyperlink ref="J61" r:id="rId2" xr:uid="{00000000-0004-0000-0000-000001000000}"/>
  </hyperlinks>
  <printOptions horizontalCentered="1"/>
  <pageMargins left="0.39370078740157499" right="0.39370078740157499" top="0.82677165354330695" bottom="0.78740157480314998" header="0.15748031496063" footer="0.196850393700787"/>
  <pageSetup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244" max="16383" man="1"/>
    <brk id="286" max="16383" man="1"/>
    <brk id="325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6" t="s">
        <v>107</v>
      </c>
      <c r="C3" s="196"/>
      <c r="D3" s="196"/>
      <c r="E3" s="196"/>
      <c r="F3" s="196"/>
      <c r="G3" s="196"/>
      <c r="H3" s="196"/>
    </row>
    <row r="4" spans="1:9" x14ac:dyDescent="0.3">
      <c r="A4" s="2"/>
      <c r="B4" s="3" t="s">
        <v>108</v>
      </c>
      <c r="C4" s="3" t="s">
        <v>109</v>
      </c>
      <c r="D4" s="3" t="s">
        <v>70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2025-08-13T05:48:34Z</cp:lastPrinted>
  <dcterms:created xsi:type="dcterms:W3CDTF">2019-07-16T09:29:46Z</dcterms:created>
  <dcterms:modified xsi:type="dcterms:W3CDTF">2025-08-13T05:54:13Z</dcterms:modified>
</cp:coreProperties>
</file>