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D24A489D-7ED9-4BB3-B476-C8CDB323240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6" i="1" l="1"/>
  <c r="B245" i="1"/>
  <c r="E242" i="1"/>
  <c r="D242" i="1"/>
  <c r="I241" i="1"/>
  <c r="E241" i="1"/>
  <c r="D241" i="1"/>
  <c r="I240" i="1"/>
  <c r="E240" i="1"/>
  <c r="D240" i="1"/>
  <c r="I239" i="1"/>
  <c r="E239" i="1"/>
  <c r="D239" i="1"/>
  <c r="I238" i="1"/>
  <c r="E238" i="1"/>
  <c r="D238" i="1"/>
  <c r="E237" i="1"/>
  <c r="D237" i="1"/>
  <c r="E236" i="1"/>
  <c r="D236" i="1"/>
  <c r="E235" i="1"/>
  <c r="D235" i="1"/>
  <c r="F235" i="1" s="1"/>
  <c r="H235" i="1" s="1"/>
  <c r="E234" i="1"/>
  <c r="D234" i="1"/>
  <c r="E233" i="1"/>
  <c r="D233" i="1"/>
  <c r="I232" i="1"/>
  <c r="E232" i="1"/>
  <c r="D232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E229" i="1"/>
  <c r="D229" i="1"/>
  <c r="I228" i="1"/>
  <c r="E228" i="1"/>
  <c r="D228" i="1"/>
  <c r="I227" i="1"/>
  <c r="E227" i="1"/>
  <c r="D227" i="1"/>
  <c r="I226" i="1"/>
  <c r="E226" i="1"/>
  <c r="D226" i="1"/>
  <c r="I225" i="1"/>
  <c r="E225" i="1"/>
  <c r="D225" i="1"/>
  <c r="E224" i="1"/>
  <c r="D224" i="1"/>
  <c r="F224" i="1" s="1"/>
  <c r="H224" i="1" s="1"/>
  <c r="E223" i="1"/>
  <c r="D223" i="1"/>
  <c r="F223" i="1" s="1"/>
  <c r="H223" i="1" s="1"/>
  <c r="E222" i="1"/>
  <c r="D222" i="1"/>
  <c r="E221" i="1"/>
  <c r="D221" i="1"/>
  <c r="E220" i="1"/>
  <c r="D220" i="1"/>
  <c r="F220" i="1" s="1"/>
  <c r="H220" i="1" s="1"/>
  <c r="I219" i="1"/>
  <c r="E219" i="1"/>
  <c r="D219" i="1"/>
  <c r="A219" i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E218" i="1"/>
  <c r="D218" i="1"/>
  <c r="E216" i="1"/>
  <c r="D216" i="1"/>
  <c r="E214" i="1"/>
  <c r="E215" i="1"/>
  <c r="D215" i="1"/>
  <c r="D214" i="1"/>
  <c r="I215" i="1"/>
  <c r="D213" i="1"/>
  <c r="E213" i="1"/>
  <c r="G213" i="1"/>
  <c r="G212" i="1"/>
  <c r="E212" i="1"/>
  <c r="D212" i="1"/>
  <c r="E211" i="1"/>
  <c r="E210" i="1"/>
  <c r="D211" i="1"/>
  <c r="D210" i="1"/>
  <c r="E209" i="1"/>
  <c r="D209" i="1"/>
  <c r="D208" i="1"/>
  <c r="E208" i="1"/>
  <c r="D207" i="1"/>
  <c r="E207" i="1"/>
  <c r="E206" i="1"/>
  <c r="D206" i="1"/>
  <c r="E205" i="1"/>
  <c r="D205" i="1"/>
  <c r="G146" i="1"/>
  <c r="G145" i="1"/>
  <c r="D150" i="1"/>
  <c r="F150" i="1" s="1"/>
  <c r="G150" i="1" s="1"/>
  <c r="H150" i="1" s="1"/>
  <c r="D149" i="1"/>
  <c r="F149" i="1" s="1"/>
  <c r="G149" i="1" s="1"/>
  <c r="H149" i="1" s="1"/>
  <c r="D148" i="1"/>
  <c r="F148" i="1" s="1"/>
  <c r="G148" i="1" s="1"/>
  <c r="D147" i="1"/>
  <c r="F147" i="1" s="1"/>
  <c r="G147" i="1" s="1"/>
  <c r="D146" i="1"/>
  <c r="F146" i="1" s="1"/>
  <c r="D145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E192" i="1"/>
  <c r="D192" i="1"/>
  <c r="E169" i="1"/>
  <c r="E170" i="1"/>
  <c r="E171" i="1"/>
  <c r="E172" i="1"/>
  <c r="E173" i="1"/>
  <c r="E174" i="1"/>
  <c r="E175" i="1"/>
  <c r="E176" i="1"/>
  <c r="E177" i="1"/>
  <c r="E178" i="1"/>
  <c r="D169" i="1"/>
  <c r="D170" i="1"/>
  <c r="D171" i="1"/>
  <c r="D172" i="1"/>
  <c r="D173" i="1"/>
  <c r="D174" i="1"/>
  <c r="D175" i="1"/>
  <c r="D176" i="1"/>
  <c r="D177" i="1"/>
  <c r="D178" i="1"/>
  <c r="E168" i="1"/>
  <c r="D168" i="1"/>
  <c r="E164" i="1"/>
  <c r="E165" i="1"/>
  <c r="E166" i="1"/>
  <c r="E163" i="1"/>
  <c r="D163" i="1"/>
  <c r="D164" i="1"/>
  <c r="D165" i="1"/>
  <c r="D166" i="1"/>
  <c r="E157" i="1"/>
  <c r="E158" i="1"/>
  <c r="E159" i="1"/>
  <c r="E160" i="1"/>
  <c r="E161" i="1"/>
  <c r="E162" i="1"/>
  <c r="D157" i="1"/>
  <c r="D158" i="1"/>
  <c r="D159" i="1"/>
  <c r="D160" i="1"/>
  <c r="D161" i="1"/>
  <c r="D162" i="1"/>
  <c r="E156" i="1"/>
  <c r="D156" i="1"/>
  <c r="G162" i="1"/>
  <c r="G161" i="1"/>
  <c r="G160" i="1"/>
  <c r="G159" i="1"/>
  <c r="G158" i="1"/>
  <c r="G157" i="1"/>
  <c r="G156" i="1"/>
  <c r="C109" i="1" l="1"/>
  <c r="F206" i="1"/>
  <c r="H206" i="1" s="1"/>
  <c r="F198" i="1"/>
  <c r="H198" i="1" s="1"/>
  <c r="F219" i="1"/>
  <c r="H219" i="1" s="1"/>
  <c r="F237" i="1"/>
  <c r="H237" i="1" s="1"/>
  <c r="F207" i="1"/>
  <c r="H207" i="1" s="1"/>
  <c r="F240" i="1"/>
  <c r="H240" i="1" s="1"/>
  <c r="F177" i="1"/>
  <c r="H177" i="1" s="1"/>
  <c r="F211" i="1"/>
  <c r="H211" i="1" s="1"/>
  <c r="F172" i="1"/>
  <c r="H172" i="1" s="1"/>
  <c r="F166" i="1"/>
  <c r="H166" i="1" s="1"/>
  <c r="F218" i="1"/>
  <c r="F169" i="1"/>
  <c r="H169" i="1" s="1"/>
  <c r="F178" i="1"/>
  <c r="H178" i="1" s="1"/>
  <c r="F176" i="1"/>
  <c r="H176" i="1" s="1"/>
  <c r="F199" i="1"/>
  <c r="H199" i="1" s="1"/>
  <c r="F165" i="1"/>
  <c r="H165" i="1" s="1"/>
  <c r="F175" i="1"/>
  <c r="H175" i="1" s="1"/>
  <c r="F200" i="1"/>
  <c r="H200" i="1" s="1"/>
  <c r="F164" i="1"/>
  <c r="H164" i="1" s="1"/>
  <c r="F174" i="1"/>
  <c r="H174" i="1" s="1"/>
  <c r="F195" i="1"/>
  <c r="H195" i="1" s="1"/>
  <c r="C114" i="1"/>
  <c r="F238" i="1"/>
  <c r="H238" i="1" s="1"/>
  <c r="F242" i="1"/>
  <c r="H242" i="1" s="1"/>
  <c r="F170" i="1"/>
  <c r="H170" i="1" s="1"/>
  <c r="F196" i="1"/>
  <c r="H196" i="1" s="1"/>
  <c r="F202" i="1"/>
  <c r="H202" i="1" s="1"/>
  <c r="F173" i="1"/>
  <c r="H173" i="1" s="1"/>
  <c r="F171" i="1"/>
  <c r="H171" i="1" s="1"/>
  <c r="F194" i="1"/>
  <c r="H194" i="1" s="1"/>
  <c r="F208" i="1"/>
  <c r="H208" i="1" s="1"/>
  <c r="F205" i="1"/>
  <c r="F209" i="1"/>
  <c r="H209" i="1" s="1"/>
  <c r="F225" i="1"/>
  <c r="H225" i="1" s="1"/>
  <c r="F229" i="1"/>
  <c r="H229" i="1" s="1"/>
  <c r="F236" i="1"/>
  <c r="H236" i="1" s="1"/>
  <c r="F160" i="1"/>
  <c r="H160" i="1" s="1"/>
  <c r="F210" i="1"/>
  <c r="H210" i="1" s="1"/>
  <c r="F159" i="1"/>
  <c r="H159" i="1" s="1"/>
  <c r="F145" i="1"/>
  <c r="F158" i="1"/>
  <c r="H158" i="1" s="1"/>
  <c r="F192" i="1"/>
  <c r="H192" i="1" s="1"/>
  <c r="F197" i="1"/>
  <c r="H197" i="1" s="1"/>
  <c r="F221" i="1"/>
  <c r="H221" i="1" s="1"/>
  <c r="F212" i="1"/>
  <c r="H212" i="1" s="1"/>
  <c r="F222" i="1"/>
  <c r="H222" i="1" s="1"/>
  <c r="F227" i="1"/>
  <c r="H227" i="1" s="1"/>
  <c r="F168" i="1"/>
  <c r="H168" i="1" s="1"/>
  <c r="F201" i="1"/>
  <c r="H201" i="1" s="1"/>
  <c r="F228" i="1"/>
  <c r="H228" i="1" s="1"/>
  <c r="F234" i="1"/>
  <c r="H234" i="1" s="1"/>
  <c r="F239" i="1"/>
  <c r="H239" i="1" s="1"/>
  <c r="F215" i="1"/>
  <c r="H215" i="1" s="1"/>
  <c r="H146" i="1"/>
  <c r="F214" i="1"/>
  <c r="H214" i="1" s="1"/>
  <c r="F193" i="1"/>
  <c r="H193" i="1" s="1"/>
  <c r="F216" i="1"/>
  <c r="H216" i="1" s="1"/>
  <c r="F226" i="1"/>
  <c r="H226" i="1" s="1"/>
  <c r="F232" i="1"/>
  <c r="H232" i="1" s="1"/>
  <c r="F241" i="1"/>
  <c r="H241" i="1" s="1"/>
  <c r="F161" i="1"/>
  <c r="H161" i="1" s="1"/>
  <c r="F233" i="1"/>
  <c r="H233" i="1" s="1"/>
  <c r="J232" i="1"/>
  <c r="H218" i="1"/>
  <c r="J219" i="1"/>
  <c r="F213" i="1"/>
  <c r="H213" i="1" s="1"/>
  <c r="H147" i="1"/>
  <c r="F162" i="1"/>
  <c r="H162" i="1" s="1"/>
  <c r="H148" i="1"/>
  <c r="F163" i="1"/>
  <c r="H163" i="1" s="1"/>
  <c r="F157" i="1"/>
  <c r="H157" i="1" s="1"/>
  <c r="G142" i="1"/>
  <c r="G141" i="1"/>
  <c r="G140" i="1"/>
  <c r="G139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J231" i="1" l="1"/>
  <c r="H205" i="1"/>
  <c r="G114" i="1" s="1"/>
  <c r="E114" i="1"/>
  <c r="H145" i="1"/>
  <c r="G109" i="1" s="1"/>
  <c r="E109" i="1"/>
  <c r="D190" i="1"/>
  <c r="F190" i="1" s="1"/>
  <c r="H190" i="1" s="1"/>
  <c r="D189" i="1"/>
  <c r="F189" i="1" s="1"/>
  <c r="H189" i="1" s="1"/>
  <c r="D188" i="1"/>
  <c r="F188" i="1" s="1"/>
  <c r="H188" i="1" s="1"/>
  <c r="D187" i="1"/>
  <c r="F187" i="1" s="1"/>
  <c r="H187" i="1" s="1"/>
  <c r="D186" i="1"/>
  <c r="F186" i="1" s="1"/>
  <c r="H186" i="1" s="1"/>
  <c r="D185" i="1"/>
  <c r="F185" i="1" s="1"/>
  <c r="H185" i="1" s="1"/>
  <c r="D183" i="1"/>
  <c r="F183" i="1" s="1"/>
  <c r="H183" i="1" s="1"/>
  <c r="D182" i="1"/>
  <c r="F182" i="1" s="1"/>
  <c r="H182" i="1" s="1"/>
  <c r="D181" i="1"/>
  <c r="F181" i="1" s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D180" i="1"/>
  <c r="D138" i="1"/>
  <c r="D137" i="1"/>
  <c r="F180" i="1" l="1"/>
  <c r="H180" i="1" s="1"/>
  <c r="C113" i="1"/>
  <c r="H181" i="1"/>
  <c r="J218" i="1"/>
  <c r="I206" i="1"/>
  <c r="I214" i="1" l="1"/>
  <c r="I213" i="1"/>
  <c r="I212" i="1"/>
  <c r="J205" i="1"/>
  <c r="A206" i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D142" i="1"/>
  <c r="D141" i="1"/>
  <c r="D140" i="1"/>
  <c r="D139" i="1"/>
  <c r="D136" i="1"/>
  <c r="F136" i="1" s="1"/>
  <c r="H136" i="1" s="1"/>
  <c r="D135" i="1"/>
  <c r="F135" i="1" s="1"/>
  <c r="H135" i="1" s="1"/>
  <c r="D134" i="1"/>
  <c r="D133" i="1"/>
  <c r="D132" i="1"/>
  <c r="D131" i="1"/>
  <c r="D130" i="1"/>
  <c r="D129" i="1"/>
  <c r="D128" i="1"/>
  <c r="D127" i="1"/>
  <c r="D126" i="1"/>
  <c r="D125" i="1"/>
  <c r="F125" i="1" s="1"/>
  <c r="H125" i="1" s="1"/>
  <c r="D124" i="1"/>
  <c r="D123" i="1"/>
  <c r="I147" i="1"/>
  <c r="I141" i="1"/>
  <c r="I136" i="1"/>
  <c r="I128" i="1"/>
  <c r="A146" i="1"/>
  <c r="A147" i="1" s="1"/>
  <c r="A148" i="1" s="1"/>
  <c r="A149" i="1" s="1"/>
  <c r="A150" i="1" s="1"/>
  <c r="C14" i="1"/>
  <c r="F123" i="1" l="1"/>
  <c r="C108" i="1"/>
  <c r="F130" i="1"/>
  <c r="H130" i="1" s="1"/>
  <c r="F138" i="1"/>
  <c r="F131" i="1"/>
  <c r="H131" i="1" s="1"/>
  <c r="F139" i="1"/>
  <c r="H139" i="1" s="1"/>
  <c r="F127" i="1"/>
  <c r="H127" i="1" s="1"/>
  <c r="F129" i="1"/>
  <c r="H129" i="1" s="1"/>
  <c r="F137" i="1"/>
  <c r="F132" i="1"/>
  <c r="H132" i="1" s="1"/>
  <c r="F140" i="1"/>
  <c r="H140" i="1" s="1"/>
  <c r="F128" i="1"/>
  <c r="H128" i="1" s="1"/>
  <c r="F134" i="1"/>
  <c r="H134" i="1" s="1"/>
  <c r="F142" i="1"/>
  <c r="H142" i="1" s="1"/>
  <c r="F133" i="1"/>
  <c r="H133" i="1" s="1"/>
  <c r="F141" i="1"/>
  <c r="H141" i="1" s="1"/>
  <c r="D60" i="1"/>
  <c r="E29" i="1"/>
  <c r="C66" i="1"/>
  <c r="E24" i="1"/>
  <c r="H67" i="1"/>
  <c r="H123" i="1" l="1"/>
  <c r="B67" i="1"/>
  <c r="G137" i="1"/>
  <c r="H137" i="1"/>
  <c r="G138" i="1"/>
  <c r="H138" i="1" s="1"/>
  <c r="C115" i="1"/>
  <c r="C110" i="1"/>
  <c r="E26" i="1"/>
  <c r="C116" i="1" l="1"/>
  <c r="E42" i="1" l="1"/>
  <c r="E43" i="1" s="1"/>
  <c r="F105" i="1" l="1"/>
  <c r="F124" i="1" l="1"/>
  <c r="F126" i="1"/>
  <c r="H126" i="1" s="1"/>
  <c r="H124" i="1" l="1"/>
  <c r="G108" i="1" s="1"/>
  <c r="G110" i="1" s="1"/>
  <c r="E108" i="1"/>
  <c r="E110" i="1" s="1"/>
  <c r="F156" i="1"/>
  <c r="H156" i="1" l="1"/>
  <c r="G113" i="1" s="1"/>
  <c r="E113" i="1"/>
  <c r="E115" i="1" s="1"/>
  <c r="E116" i="1" s="1"/>
  <c r="J206" i="1"/>
  <c r="G115" i="1" l="1"/>
  <c r="G116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7" i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24" i="1"/>
  <c r="A125" i="1" s="1"/>
  <c r="A126" i="1" s="1"/>
  <c r="C80" i="1"/>
  <c r="D54" i="1"/>
  <c r="C49" i="1"/>
  <c r="E7" i="1"/>
  <c r="E3" i="1"/>
  <c r="H81" i="1"/>
  <c r="B81" i="1" l="1"/>
  <c r="A127" i="1"/>
  <c r="A128" i="1" s="1"/>
  <c r="A129" i="1" s="1"/>
  <c r="A130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D91" i="1" l="1"/>
  <c r="D88" i="1"/>
  <c r="J85" i="1"/>
  <c r="C84" i="1" s="1"/>
  <c r="D84" i="1" s="1"/>
  <c r="J80" i="1"/>
  <c r="J82" i="1" s="1"/>
  <c r="D87" i="1"/>
  <c r="D92" i="1"/>
  <c r="D89" i="1"/>
  <c r="J83" i="1"/>
  <c r="J86" i="1"/>
  <c r="D93" i="1"/>
  <c r="D90" i="1"/>
  <c r="J84" i="1"/>
  <c r="A131" i="1"/>
  <c r="A132" i="1" s="1"/>
  <c r="A133" i="1" s="1"/>
  <c r="A134" i="1" s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J87" i="1" l="1"/>
  <c r="J92" i="1" s="1"/>
  <c r="C85" i="1" s="1"/>
  <c r="A135" i="1"/>
  <c r="A136" i="1" s="1"/>
  <c r="A137" i="1" s="1"/>
  <c r="A138" i="1" s="1"/>
  <c r="J79" i="1"/>
  <c r="C71" i="1" s="1"/>
  <c r="G70" i="1" s="1"/>
  <c r="J93" i="1" l="1"/>
  <c r="J81" i="1" s="1"/>
  <c r="A139" i="1"/>
  <c r="A140" i="1" s="1"/>
  <c r="A141" i="1" s="1"/>
  <c r="A142" i="1" s="1"/>
  <c r="D64" i="1"/>
  <c r="D65" i="1" s="1"/>
  <c r="J67" i="1"/>
  <c r="D71" i="1"/>
  <c r="I67" i="1" s="1"/>
  <c r="E70" i="1"/>
  <c r="E84" i="1"/>
  <c r="G84" i="1"/>
  <c r="D85" i="1"/>
  <c r="I81" i="1" s="1"/>
  <c r="I82" i="1" s="1"/>
  <c r="F65" i="1" l="1"/>
  <c r="I68" i="1"/>
  <c r="I66" i="1" s="1"/>
  <c r="C68" i="1" s="1"/>
  <c r="I80" i="1"/>
  <c r="C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<sst xmlns="http://schemas.openxmlformats.org/spreadsheetml/2006/main" count="442" uniqueCount="234">
  <si>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</si>
  <si>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</si>
  <si>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</si>
  <si>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</si>
  <si>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</si>
  <si>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</si>
  <si>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</si>
  <si>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</si>
  <si>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</si>
  <si>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</si>
  <si>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</si>
  <si>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</si>
  <si>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</si>
  <si>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</si>
  <si>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</si>
  <si>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</si>
  <si>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</si>
  <si>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</si>
  <si>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</si>
  <si>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</si>
  <si>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</si>
  <si>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</si>
  <si>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</si>
  <si>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</si>
  <si>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</si>
  <si>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</si>
  <si>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</si>
  <si>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</si>
  <si>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</si>
  <si>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</si>
  <si>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</si>
  <si>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</si>
  <si>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</si>
  <si>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</si>
  <si>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</si>
  <si>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</si>
  <si>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</si>
  <si>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</si>
  <si>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</si>
  <si>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</si>
  <si>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</si>
  <si>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</si>
  <si>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</si>
  <si>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</si>
  <si>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</si>
  <si>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</si>
  <si>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</si>
  <si>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</si>
  <si>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</si>
  <si>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</si>
  <si>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</si>
  <si>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</si>
  <si>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</si>
  <si>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</si>
  <si>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</si>
  <si>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</si>
  <si>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</si>
  <si>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</si>
  <si>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</si>
  <si>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</si>
  <si>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</si>
  <si>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</si>
  <si>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</si>
  <si>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</si>
  <si>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</si>
  <si>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</si>
  <si>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</si>
  <si>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</si>
  <si>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</si>
  <si>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</si>
  <si>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</si>
  <si>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</si>
  <si>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</si>
  <si>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</si>
  <si>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</si>
  <si>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</si>
  <si>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</si>
  <si>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</si>
  <si>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</si>
  <si>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</si>
  <si>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</si>
  <si>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</si>
  <si>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</si>
  <si>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</si>
  <si>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</si>
  <si>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</si>
  <si>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</si>
  <si>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</si>
  <si>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</si>
  <si>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</si>
  <si>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</si>
  <si>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</si>
  <si>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</si>
  <si>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</si>
  <si>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</si>
  <si>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</si>
  <si>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</si>
  <si>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</si>
  <si>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</si>
  <si>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</si>
  <si>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</si>
  <si>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</si>
  <si>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</si>
  <si>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</si>
  <si>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</si>
  <si>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</si>
  <si>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</si>
  <si>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</si>
  <si>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</si>
  <si>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</si>
  <si>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</si>
  <si>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</si>
  <si>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</si>
  <si>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</si>
  <si>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</si>
  <si>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</si>
  <si>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</si>
  <si>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</si>
  <si>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</si>
  <si>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</si>
  <si>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</si>
  <si>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</si>
  <si>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</si>
  <si>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</si>
  <si>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</si>
  <si>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</si>
  <si>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</si>
  <si>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</si>
  <si>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</si>
  <si>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</si>
  <si>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</si>
  <si>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</si>
  <si>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</si>
  <si>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</si>
  <si>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</si>
  <si>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</si>
  <si>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</si>
  <si>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</si>
  <si>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</si>
  <si>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</si>
  <si>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</si>
  <si>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</si>
  <si>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</si>
  <si>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</si>
  <si>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</si>
  <si>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</si>
  <si>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</si>
  <si>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</si>
  <si>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</si>
  <si>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</si>
  <si>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</si>
  <si>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</si>
  <si>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</si>
  <si>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</si>
  <si>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</si>
  <si>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</si>
  <si>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</si>
  <si>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</si>
  <si>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</si>
  <si>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</si>
  <si>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</si>
  <si>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</si>
  <si>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</si>
  <si>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</si>
  <si>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</si>
  <si>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</si>
  <si>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</si>
  <si>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</si>
  <si>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Paramount Height</t>
  </si>
  <si>
    <t>Munish Group Of Company</t>
  </si>
  <si>
    <t>P99000045849</t>
  </si>
  <si>
    <t>Survey No</t>
  </si>
  <si>
    <t>Palghar</t>
  </si>
  <si>
    <t>Vasai</t>
  </si>
  <si>
    <t>Gokhiware</t>
  </si>
  <si>
    <t>19.398949, 72.846762</t>
  </si>
  <si>
    <t>https://goo.gl/maps/8y2mk56wTbu4t6fN7</t>
  </si>
  <si>
    <t>5.8 KM from Vasai Road Railway Station</t>
  </si>
  <si>
    <t>Munish Apartment</t>
  </si>
  <si>
    <t>Internal Road</t>
  </si>
  <si>
    <t>Open Plot</t>
  </si>
  <si>
    <t>Internal Road/Munish Apartment</t>
  </si>
  <si>
    <t>9/11</t>
  </si>
  <si>
    <t>Navnath Bhatkar</t>
  </si>
  <si>
    <t>Vasai Virar City Municipal Corporation (VVCMC)</t>
  </si>
  <si>
    <t>A Wing = G + 1st to 14th Floor</t>
  </si>
  <si>
    <t>As per RERA - 31/12/2027</t>
  </si>
  <si>
    <t>Kids' Play Areas, Power Backup, Indoor Games etc</t>
  </si>
  <si>
    <t>Wing A</t>
  </si>
  <si>
    <t xml:space="preserve">Wing A &amp; B </t>
  </si>
  <si>
    <t>Wing B</t>
  </si>
  <si>
    <t>Ground Floor For Entrance Looby, Commercial &amp; Parking</t>
  </si>
  <si>
    <t>Shop</t>
  </si>
  <si>
    <t>1st Floor For Residential</t>
  </si>
  <si>
    <t>1BHK</t>
  </si>
  <si>
    <t>Approved Plans, CC, Cost Sheet</t>
  </si>
  <si>
    <t>1RK</t>
  </si>
  <si>
    <t>Flats</t>
  </si>
  <si>
    <t>We considered Gross carpet area = Net carpet + A.P Area.</t>
  </si>
  <si>
    <t>Maintenance for 24 Months</t>
  </si>
  <si>
    <t>Cost Sheet</t>
  </si>
  <si>
    <t>Sheet</t>
  </si>
  <si>
    <t>Shops</t>
  </si>
  <si>
    <t>A V Crystal Tower</t>
  </si>
  <si>
    <t>0.800KM</t>
  </si>
  <si>
    <t>BS</t>
  </si>
  <si>
    <t xml:space="preserve">     </t>
  </si>
  <si>
    <t>VVCMC/TP/RDP/6453/145/2024-25</t>
  </si>
  <si>
    <t>VVCMC/TP/AMEND/6453/145/2024-25</t>
  </si>
  <si>
    <t>A Wing = G + 1st to 14th Floor
B Wing = G + 1st to 18th Floor</t>
  </si>
  <si>
    <t>B Wing = G + 1st to 18th Floor</t>
  </si>
  <si>
    <t>02 Buildings</t>
  </si>
  <si>
    <t>8th &amp; 13th Floor (Part Refuge Area)</t>
  </si>
  <si>
    <t>Shop No. (Sale Plan)</t>
  </si>
  <si>
    <t>Carpet area</t>
  </si>
  <si>
    <t>Attached Otla area</t>
  </si>
  <si>
    <t>Flat No. (Sale Plan)</t>
  </si>
  <si>
    <t>Carpet Area</t>
  </si>
  <si>
    <t>AP Area</t>
  </si>
  <si>
    <r>
      <t xml:space="preserve">Flat No.
</t>
    </r>
    <r>
      <rPr>
        <b/>
        <sz val="11"/>
        <rFont val="Times New Roman"/>
        <family val="1"/>
      </rPr>
      <t>(Approved Plan)</t>
    </r>
  </si>
  <si>
    <t>Refuge Area</t>
  </si>
  <si>
    <t>9th to 12th &amp; 14th Floor</t>
  </si>
  <si>
    <t>2nd to 7th Floor</t>
  </si>
  <si>
    <t>Ground Floor For Entrance Looby, Driver Room, Meter Room, Commercial &amp; Parking</t>
  </si>
  <si>
    <t>2nd to 7th, 9th to 12th, 14th to 18th Floor</t>
  </si>
  <si>
    <t>We have updated revised plans &amp; CC (on 17/03/2025).</t>
  </si>
  <si>
    <r>
      <t xml:space="preserve">Shop No.
</t>
    </r>
    <r>
      <rPr>
        <b/>
        <sz val="11"/>
        <rFont val="Times New Roman"/>
        <family val="1"/>
      </rPr>
      <t>(Approved Plan)</t>
    </r>
  </si>
  <si>
    <t>Residential Area Details : Flats</t>
  </si>
  <si>
    <t>Commercial Area Details : Shops</t>
  </si>
  <si>
    <t>Flats - 366, Shops - 26</t>
  </si>
  <si>
    <t>4900 TO 5500 and OC by Akash Cost sheet on 17/03/2025</t>
  </si>
  <si>
    <t>Recommended Rates / Other charges of the Property have been revised on 17/03/2025.</t>
  </si>
  <si>
    <t>A Wing = Construction work is in process at the time of visit. (Slow Speed)
B Wing = Construction work is in process at the time of visit.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</si>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</sst>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2" fillId="2" borderId="30" xfId="0" applyFont="1" applyFill="1" applyBorder="1"/>
    <xf numFmtId="0" fontId="23" fillId="0" borderId="31" xfId="0" applyFont="1" applyBorder="1"/>
    <xf numFmtId="0" fontId="23" fillId="0" borderId="1" xfId="0" applyFont="1" applyBorder="1"/>
    <xf numFmtId="0" fontId="23" fillId="0" borderId="5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25" fillId="0" borderId="0" xfId="0" applyFont="1"/>
    <xf numFmtId="9" fontId="9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9" xfId="0" applyFont="1" applyBorder="1"/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1" fillId="0" borderId="0" xfId="1" applyNumberFormat="1" applyFont="1" applyAlignment="1">
      <alignment horizontal="center" vertical="center"/>
    </xf>
    <xf numFmtId="9" fontId="12" fillId="0" borderId="16" xfId="8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center" vertical="center"/>
    </xf>
    <xf numFmtId="0" fontId="22" fillId="2" borderId="15" xfId="0" applyFont="1" applyFill="1" applyBorder="1"/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9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21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66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1" fontId="11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21" xfId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24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11" fillId="0" borderId="19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1" fontId="28" fillId="0" borderId="3" xfId="1" applyNumberFormat="1" applyFont="1" applyBorder="1" applyAlignment="1" applyProtection="1">
      <alignment horizontal="center" vertical="top" wrapText="1"/>
      <protection locked="0"/>
    </xf>
    <xf numFmtId="1" fontId="28" fillId="0" borderId="16" xfId="1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21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68" fontId="11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49" fontId="11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  <xf numFmtId="9" fontId="6" fillId="0" borderId="5" xfId="8" applyFont="1" applyFill="1" applyBorder="1" applyAlignment="1" applyProtection="1">
      <alignment horizontal="center" vertical="center" wrapText="1"/>
      <protection locked="0"/>
    </xf>
    <xf numFmtId="9" fontId="6" fillId="0" borderId="7" xfId="8" applyFont="1" applyFill="1" applyBorder="1" applyAlignment="1" applyProtection="1">
      <alignment horizontal="center" vertical="center" wrapText="1"/>
      <protection locked="0"/>
    </xf>
    <xf numFmtId="9" fontId="6" fillId="0" borderId="35" xfId="8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/>
      <protection locked="0"/>
    </xf>
    <xf numFmtId="0" fontId="5" fillId="0" borderId="21" xfId="1" applyFont="1" applyBorder="1" applyAlignment="1" applyProtection="1">
      <alignment horizontal="left" vertical="top"/>
      <protection locked="0"/>
    </xf>
    <xf numFmtId="0" fontId="5" fillId="0" borderId="9" xfId="1" applyFont="1" applyBorder="1" applyAlignment="1" applyProtection="1">
      <alignment horizontal="left" vertical="top"/>
      <protection locked="0"/>
    </xf>
    <xf numFmtId="1" fontId="11" fillId="0" borderId="8" xfId="9" applyNumberFormat="1" applyFont="1" applyFill="1" applyBorder="1" applyAlignment="1" applyProtection="1">
      <alignment horizontal="right" vertical="top"/>
      <protection locked="0"/>
    </xf>
    <xf numFmtId="1" fontId="11" fillId="0" borderId="21" xfId="9" applyNumberFormat="1" applyFont="1" applyFill="1" applyBorder="1" applyAlignment="1" applyProtection="1">
      <alignment horizontal="right" vertical="top"/>
      <protection locked="0"/>
    </xf>
    <xf numFmtId="1" fontId="11" fillId="0" borderId="9" xfId="9" applyNumberFormat="1" applyFont="1" applyFill="1" applyBorder="1" applyAlignment="1" applyProtection="1">
      <alignment horizontal="right" vertical="top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1" fontId="9" fillId="0" borderId="33" xfId="0" applyNumberFormat="1" applyFont="1" applyBorder="1" applyAlignment="1" applyProtection="1">
      <alignment horizontal="center" vertical="top" wrapText="1"/>
      <protection locked="0"/>
    </xf>
    <xf numFmtId="1" fontId="7" fillId="0" borderId="33" xfId="0" applyNumberFormat="1" applyFont="1" applyBorder="1" applyAlignment="1" applyProtection="1">
      <alignment horizontal="center" vertical="top" wrapText="1"/>
      <protection locked="0"/>
    </xf>
    <xf numFmtId="1" fontId="7" fillId="0" borderId="34" xfId="0" applyNumberFormat="1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7" fillId="0" borderId="33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12" fillId="0" borderId="17" xfId="1" applyNumberFormat="1" applyFont="1" applyBorder="1" applyAlignment="1" applyProtection="1">
      <alignment horizontal="center" vertical="top" wrapText="1"/>
      <protection locked="0"/>
    </xf>
    <xf numFmtId="1" fontId="12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6" xfId="1" applyFont="1" applyBorder="1" applyAlignment="1" applyProtection="1">
      <alignment horizontal="center" vertical="top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18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9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216478</xdr:colOff>
      <xdr:row>367</xdr:row>
      <xdr:rowOff>54534</xdr:rowOff>
    </xdr:from>
    <xdr:to>
      <xdr:col>6</xdr:col>
      <xdr:colOff>488373</xdr:colOff>
      <xdr:row>381</xdr:row>
      <xdr:rowOff>146307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8478" y="64971739"/>
          <a:ext cx="441960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243083</xdr:colOff>
      <xdr:row>352</xdr:row>
      <xdr:rowOff>8659</xdr:rowOff>
    </xdr:from>
    <xdr:to>
      <xdr:col>6</xdr:col>
      <xdr:colOff>488373</xdr:colOff>
      <xdr:row>366</xdr:row>
      <xdr:rowOff>100432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5083" y="61938477"/>
          <a:ext cx="439299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666750</xdr:colOff>
      <xdr:row>310</xdr:row>
      <xdr:rowOff>17318</xdr:rowOff>
    </xdr:from>
    <xdr:to>
      <xdr:col>6</xdr:col>
      <xdr:colOff>136692</xdr:colOff>
      <xdr:row>328</xdr:row>
      <xdr:rowOff>32455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0" y="53184136"/>
          <a:ext cx="3617647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699051</xdr:colOff>
      <xdr:row>328</xdr:row>
      <xdr:rowOff>185304</xdr:rowOff>
    </xdr:from>
    <xdr:to>
      <xdr:col>6</xdr:col>
      <xdr:colOff>104389</xdr:colOff>
      <xdr:row>347</xdr:row>
      <xdr:rowOff>1281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1051" y="56936986"/>
          <a:ext cx="3553043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9</xdr:col>
      <xdr:colOff>372341</xdr:colOff>
      <xdr:row>269</xdr:row>
      <xdr:rowOff>103908</xdr:rowOff>
    </xdr:from>
    <xdr:to>
      <xdr:col>10</xdr:col>
      <xdr:colOff>207818</xdr:colOff>
      <xdr:row>270</xdr:row>
      <xdr:rowOff>155863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052955" y="47512431"/>
          <a:ext cx="597477" cy="242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 Wing</a:t>
          </a:r>
        </a:p>
      </xdr:txBody>
    </xdr:sp>
    <xdr:clientData/>
  </xdr:twoCellAnchor>
  <xdr:twoCellAnchor editAs="oneCell">
    <xdr:from>
      <xdr:col>8</xdr:col>
      <xdr:colOff>400050</xdr:colOff>
      <xdr:row>41</xdr:row>
      <xdr:rowOff>19050</xdr:rowOff>
    </xdr:from>
    <xdr:to>
      <xdr:col>14</xdr:col>
      <xdr:colOff>535235</xdr:colOff>
      <xdr:row>42</xdr:row>
      <xdr:rowOff>179025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4675" y="9048750"/>
          <a:ext cx="509771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542925</xdr:colOff>
      <xdr:row>46</xdr:row>
      <xdr:rowOff>238125</xdr:rowOff>
    </xdr:from>
    <xdr:to>
      <xdr:col>16</xdr:col>
      <xdr:colOff>437494</xdr:colOff>
      <xdr:row>53</xdr:row>
      <xdr:rowOff>180750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67550" y="10267950"/>
          <a:ext cx="6295369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1047750</xdr:colOff>
      <xdr:row>267</xdr:row>
      <xdr:rowOff>93345</xdr:rowOff>
    </xdr:from>
    <xdr:to>
      <xdr:col>15</xdr:col>
      <xdr:colOff>748638</xdr:colOff>
      <xdr:row>306</xdr:row>
      <xdr:rowOff>59895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D8722497-480E-47FF-8363-605DF87DA121}"/>
            </a:ext>
          </a:extLst>
        </xdr:cNvPr>
        <xdr:cNvGrpSpPr/>
      </xdr:nvGrpSpPr>
      <xdr:grpSpPr>
        <a:xfrm>
          <a:off x="7745730" y="55566945"/>
          <a:ext cx="5484468" cy="7685610"/>
          <a:chOff x="608968" y="361950"/>
          <a:chExt cx="5335878" cy="7758000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EADD78BA-35E9-407D-9EE2-37CC0E22FBEE}"/>
              </a:ext>
            </a:extLst>
          </xdr:cNvPr>
          <xdr:cNvGrpSpPr/>
        </xdr:nvGrpSpPr>
        <xdr:grpSpPr>
          <a:xfrm>
            <a:off x="608968" y="361950"/>
            <a:ext cx="5335878" cy="7758000"/>
            <a:chOff x="608968" y="361950"/>
            <a:chExt cx="5335878" cy="7758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4B80D1CA-8BAC-4523-B71C-519379A6A5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51273" y="361950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6DF5A864-56A9-4325-99A1-A40CF72133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61123" y="361950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B8B4BC98-84BF-43F4-B1E2-77156BEF080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08423" y="3810000"/>
              <a:ext cx="175317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9D79D145-5014-42D0-86EB-10DDD0BA33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28901" y="3790950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CDE54717-6EA6-422F-A625-FF36369AD7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127202" y="631995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547D69F7-B212-4096-AE9B-595210A009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96252" y="631995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5E0B3FAE-B350-4B39-AF2D-0596F0204C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08968" y="631995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3" name="TextBox 122">
            <a:extLst>
              <a:ext uri="{FF2B5EF4-FFF2-40B4-BE49-F238E27FC236}">
                <a16:creationId xmlns:a16="http://schemas.microsoft.com/office/drawing/2014/main" id="{7F73BC0E-BEEE-4E66-B8B6-3E7501EEB146}"/>
              </a:ext>
            </a:extLst>
          </xdr:cNvPr>
          <xdr:cNvSpPr txBox="1"/>
        </xdr:nvSpPr>
        <xdr:spPr>
          <a:xfrm>
            <a:off x="727164" y="513725"/>
            <a:ext cx="952505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A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24" name="TextBox 123">
            <a:extLst>
              <a:ext uri="{FF2B5EF4-FFF2-40B4-BE49-F238E27FC236}">
                <a16:creationId xmlns:a16="http://schemas.microsoft.com/office/drawing/2014/main" id="{E9A8BEBA-36B6-4C76-88C6-2F506018B7BE}"/>
              </a:ext>
            </a:extLst>
          </xdr:cNvPr>
          <xdr:cNvSpPr txBox="1"/>
        </xdr:nvSpPr>
        <xdr:spPr>
          <a:xfrm>
            <a:off x="4125610" y="2267205"/>
            <a:ext cx="94128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B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198120</xdr:colOff>
      <xdr:row>267</xdr:row>
      <xdr:rowOff>106680</xdr:rowOff>
    </xdr:from>
    <xdr:to>
      <xdr:col>7</xdr:col>
      <xdr:colOff>426720</xdr:colOff>
      <xdr:row>307</xdr:row>
      <xdr:rowOff>60960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5B417A8-E384-BD44-21F8-32FB26B2D003}"/>
            </a:ext>
          </a:extLst>
        </xdr:cNvPr>
        <xdr:cNvGrpSpPr/>
      </xdr:nvGrpSpPr>
      <xdr:grpSpPr>
        <a:xfrm>
          <a:off x="198120" y="55580280"/>
          <a:ext cx="6073140" cy="7871460"/>
          <a:chOff x="725513" y="1293052"/>
          <a:chExt cx="5224477" cy="7565387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93A3B4E-D2A0-9415-8BD7-8019511B80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3332" y="7095281"/>
            <a:ext cx="1321144" cy="17631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644045E-C37B-CF0A-C4D3-ADF6857F62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5513" y="1293052"/>
            <a:ext cx="2520990" cy="33644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D51FA344-A469-3E16-C238-854A20B78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90060" y="4796384"/>
            <a:ext cx="2877336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E804FD8-BA1D-71CF-004C-EE5BE33B8F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9000" y="1293052"/>
            <a:ext cx="2520990" cy="336443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289B8077-99B5-CCAD-A45C-A906BB9549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0258" y="7095281"/>
            <a:ext cx="1321144" cy="17631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8BC71586-8F32-610B-F688-9373E21D93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1751" y="4796384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434340</xdr:colOff>
      <xdr:row>267</xdr:row>
      <xdr:rowOff>190500</xdr:rowOff>
    </xdr:from>
    <xdr:to>
      <xdr:col>3</xdr:col>
      <xdr:colOff>544690</xdr:colOff>
      <xdr:row>270</xdr:row>
      <xdr:rowOff>137</xdr:rowOff>
    </xdr:to>
    <xdr:sp macro="" textlink="">
      <xdr:nvSpPr>
        <xdr:cNvPr id="13" name="TextBox 122">
          <a:extLst>
            <a:ext uri="{FF2B5EF4-FFF2-40B4-BE49-F238E27FC236}">
              <a16:creationId xmlns:a16="http://schemas.microsoft.com/office/drawing/2014/main" id="{E5F0F089-62F3-4CC8-9649-A622583DDDD8}"/>
            </a:ext>
          </a:extLst>
        </xdr:cNvPr>
        <xdr:cNvSpPr txBox="1"/>
      </xdr:nvSpPr>
      <xdr:spPr>
        <a:xfrm>
          <a:off x="2042160" y="55458360"/>
          <a:ext cx="979030" cy="39637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F0000"/>
              </a:solidFill>
            </a:rPr>
            <a:t>Wing A</a:t>
          </a:r>
          <a:endParaRPr lang="en-IN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297180</xdr:colOff>
      <xdr:row>292</xdr:row>
      <xdr:rowOff>30480</xdr:rowOff>
    </xdr:from>
    <xdr:to>
      <xdr:col>5</xdr:col>
      <xdr:colOff>476110</xdr:colOff>
      <xdr:row>294</xdr:row>
      <xdr:rowOff>30617</xdr:rowOff>
    </xdr:to>
    <xdr:sp macro="" textlink="">
      <xdr:nvSpPr>
        <xdr:cNvPr id="14" name="TextBox 122">
          <a:extLst>
            <a:ext uri="{FF2B5EF4-FFF2-40B4-BE49-F238E27FC236}">
              <a16:creationId xmlns:a16="http://schemas.microsoft.com/office/drawing/2014/main" id="{CC2025E4-17D2-0BE6-0A73-1BB7BA49C84D}"/>
            </a:ext>
          </a:extLst>
        </xdr:cNvPr>
        <xdr:cNvSpPr txBox="1"/>
      </xdr:nvSpPr>
      <xdr:spPr>
        <a:xfrm>
          <a:off x="3741420" y="60243720"/>
          <a:ext cx="979030" cy="39637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FF0000"/>
              </a:solidFill>
            </a:rPr>
            <a:t>Wing B</a:t>
          </a:r>
          <a:endParaRPr lang="en-IN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10</xdr:col>
      <xdr:colOff>267322</xdr:colOff>
      <xdr:row>21</xdr:row>
      <xdr:rowOff>18571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90500"/>
          <a:ext cx="5914286" cy="3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8y2mk56wTbu4t6fN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1"/>
  <sheetViews>
    <sheetView tabSelected="1" view="pageBreakPreview" topLeftCell="A273" zoomScaleNormal="100" zoomScaleSheetLayoutView="100" workbookViewId="0">
      <selection activeCell="I289" sqref="I289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31" t="s">
        <v>162</v>
      </c>
      <c r="B1" s="131"/>
      <c r="C1" s="131"/>
      <c r="D1" s="131"/>
      <c r="E1" s="131"/>
      <c r="F1" s="131"/>
      <c r="G1" s="131"/>
      <c r="H1" s="131"/>
    </row>
    <row r="2" spans="1:8" ht="16.5" customHeight="1" x14ac:dyDescent="0.3">
      <c r="A2" s="121" t="s">
        <v>0</v>
      </c>
      <c r="B2" s="121"/>
      <c r="C2" s="121"/>
      <c r="D2" s="121"/>
      <c r="E2" s="121"/>
      <c r="F2" s="121"/>
      <c r="G2" s="121"/>
      <c r="H2" s="121"/>
    </row>
    <row r="3" spans="1:8" x14ac:dyDescent="0.3">
      <c r="A3" s="132" t="s">
        <v>1</v>
      </c>
      <c r="B3" s="132"/>
      <c r="C3" s="132"/>
      <c r="D3" s="132"/>
      <c r="E3" s="132" t="str">
        <f ca="1">TEXT(TODAY(),"DD/MM/YYYY")</f>
        <v>19/08/2025</v>
      </c>
      <c r="F3" s="132"/>
      <c r="G3" s="132"/>
      <c r="H3" s="132"/>
    </row>
    <row r="4" spans="1:8" x14ac:dyDescent="0.3">
      <c r="A4" s="132" t="s">
        <v>2</v>
      </c>
      <c r="B4" s="132"/>
      <c r="C4" s="132"/>
      <c r="D4" s="132"/>
      <c r="E4" s="132" t="s">
        <v>167</v>
      </c>
      <c r="F4" s="132"/>
      <c r="G4" s="132"/>
      <c r="H4" s="132"/>
    </row>
    <row r="5" spans="1:8" x14ac:dyDescent="0.3">
      <c r="A5" s="132" t="s">
        <v>3</v>
      </c>
      <c r="B5" s="132"/>
      <c r="C5" s="132"/>
      <c r="D5" s="132"/>
      <c r="E5" s="136">
        <v>45882</v>
      </c>
      <c r="F5" s="132"/>
      <c r="G5" s="132"/>
      <c r="H5" s="132"/>
    </row>
    <row r="6" spans="1:8" ht="16.5" customHeight="1" x14ac:dyDescent="0.3">
      <c r="A6" s="132" t="s">
        <v>4</v>
      </c>
      <c r="B6" s="132"/>
      <c r="C6" s="132"/>
      <c r="D6" s="132"/>
      <c r="E6" s="132" t="s">
        <v>169</v>
      </c>
      <c r="F6" s="132"/>
      <c r="G6" s="132"/>
      <c r="H6" s="132"/>
    </row>
    <row r="7" spans="1:8" ht="15" customHeight="1" x14ac:dyDescent="0.3">
      <c r="A7" s="132" t="s">
        <v>5</v>
      </c>
      <c r="B7" s="132"/>
      <c r="C7" s="132"/>
      <c r="D7" s="132"/>
      <c r="E7" s="132" t="str">
        <f>E6</f>
        <v>Munish Group Of Company</v>
      </c>
      <c r="F7" s="132"/>
      <c r="G7" s="132"/>
      <c r="H7" s="132"/>
    </row>
    <row r="8" spans="1:8" x14ac:dyDescent="0.3">
      <c r="A8" s="132" t="s">
        <v>6</v>
      </c>
      <c r="B8" s="132"/>
      <c r="C8" s="132"/>
      <c r="D8" s="132"/>
      <c r="E8" s="133" t="s">
        <v>168</v>
      </c>
      <c r="F8" s="134"/>
      <c r="G8" s="134"/>
      <c r="H8" s="135"/>
    </row>
    <row r="9" spans="1:8" x14ac:dyDescent="0.3">
      <c r="A9" s="132" t="s">
        <v>165</v>
      </c>
      <c r="B9" s="132"/>
      <c r="C9" s="132"/>
      <c r="D9" s="132"/>
      <c r="E9" s="132">
        <v>9561923345</v>
      </c>
      <c r="F9" s="132"/>
      <c r="G9" s="132"/>
      <c r="H9" s="132"/>
    </row>
    <row r="10" spans="1:8" x14ac:dyDescent="0.3">
      <c r="A10" s="132" t="s">
        <v>166</v>
      </c>
      <c r="B10" s="132"/>
      <c r="C10" s="132"/>
      <c r="D10" s="132"/>
      <c r="E10" s="132">
        <v>9561923345</v>
      </c>
      <c r="F10" s="132"/>
      <c r="G10" s="132"/>
      <c r="H10" s="132"/>
    </row>
    <row r="11" spans="1:8" x14ac:dyDescent="0.3">
      <c r="A11" s="132" t="s">
        <v>7</v>
      </c>
      <c r="B11" s="132"/>
      <c r="C11" s="132"/>
      <c r="D11" s="132"/>
      <c r="E11" s="132" t="s">
        <v>189</v>
      </c>
      <c r="F11" s="132"/>
      <c r="G11" s="132"/>
      <c r="H11" s="132"/>
    </row>
    <row r="12" spans="1:8" x14ac:dyDescent="0.3">
      <c r="A12" s="77" t="s">
        <v>8</v>
      </c>
      <c r="B12" s="77"/>
      <c r="C12" s="77"/>
      <c r="D12" s="77"/>
      <c r="E12" s="122" t="s">
        <v>195</v>
      </c>
      <c r="F12" s="122"/>
      <c r="G12" s="122"/>
      <c r="H12" s="122"/>
    </row>
    <row r="13" spans="1:8" x14ac:dyDescent="0.3">
      <c r="A13" s="77" t="s">
        <v>9</v>
      </c>
      <c r="B13" s="77"/>
      <c r="C13" s="77"/>
      <c r="D13" s="77"/>
      <c r="E13" s="122" t="s">
        <v>170</v>
      </c>
      <c r="F13" s="132"/>
      <c r="G13" s="132"/>
      <c r="H13" s="132"/>
    </row>
    <row r="14" spans="1:8" ht="33" customHeight="1" x14ac:dyDescent="0.3">
      <c r="A14" s="110" t="s">
        <v>10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Paramount Height, Survey No.9/11, near Munish Apartment, Internal Road, Gokhiware, Gokhiware, Vasai, Vasai, Palghar - 401208.</v>
      </c>
      <c r="D14" s="110"/>
      <c r="E14" s="110"/>
      <c r="F14" s="110"/>
      <c r="G14" s="110"/>
      <c r="H14" s="110"/>
    </row>
    <row r="15" spans="1:8" x14ac:dyDescent="0.3">
      <c r="A15" s="122" t="s">
        <v>171</v>
      </c>
      <c r="B15" s="122"/>
      <c r="C15" s="137" t="s">
        <v>182</v>
      </c>
      <c r="D15" s="137"/>
      <c r="E15" s="137"/>
      <c r="F15" s="137"/>
      <c r="G15" s="137"/>
      <c r="H15" s="137"/>
    </row>
    <row r="16" spans="1:8" ht="15.75" customHeight="1" x14ac:dyDescent="0.3">
      <c r="A16" s="122" t="s">
        <v>160</v>
      </c>
      <c r="B16" s="122"/>
      <c r="C16" s="122" t="s">
        <v>174</v>
      </c>
      <c r="D16" s="122"/>
      <c r="E16" s="122"/>
      <c r="F16" s="122"/>
      <c r="G16" s="122"/>
      <c r="H16" s="122"/>
    </row>
    <row r="17" spans="1:8" ht="15.75" customHeight="1" x14ac:dyDescent="0.3">
      <c r="A17" s="110" t="s">
        <v>11</v>
      </c>
      <c r="B17" s="110"/>
      <c r="C17" s="132" t="s">
        <v>179</v>
      </c>
      <c r="D17" s="132"/>
      <c r="E17" s="110" t="s">
        <v>73</v>
      </c>
      <c r="F17" s="110"/>
      <c r="G17" s="122" t="s">
        <v>174</v>
      </c>
      <c r="H17" s="122"/>
    </row>
    <row r="18" spans="1:8" x14ac:dyDescent="0.3">
      <c r="A18" s="77" t="s">
        <v>13</v>
      </c>
      <c r="B18" s="77"/>
      <c r="C18" s="122" t="s">
        <v>173</v>
      </c>
      <c r="D18" s="122"/>
      <c r="E18" s="110" t="s">
        <v>12</v>
      </c>
      <c r="F18" s="110"/>
      <c r="G18" s="138" t="s">
        <v>172</v>
      </c>
      <c r="H18" s="138"/>
    </row>
    <row r="19" spans="1:8" x14ac:dyDescent="0.3">
      <c r="A19" s="77" t="s">
        <v>74</v>
      </c>
      <c r="B19" s="77"/>
      <c r="C19" s="122" t="s">
        <v>173</v>
      </c>
      <c r="D19" s="122"/>
      <c r="E19" s="110" t="s">
        <v>14</v>
      </c>
      <c r="F19" s="110"/>
      <c r="G19" s="122">
        <v>401208</v>
      </c>
      <c r="H19" s="122"/>
    </row>
    <row r="20" spans="1:8" ht="32.25" customHeight="1" x14ac:dyDescent="0.3">
      <c r="A20" s="77" t="s">
        <v>118</v>
      </c>
      <c r="B20" s="77"/>
      <c r="C20" s="122" t="s">
        <v>178</v>
      </c>
      <c r="D20" s="122"/>
      <c r="E20" s="110" t="s">
        <v>15</v>
      </c>
      <c r="F20" s="110"/>
      <c r="G20" s="122" t="s">
        <v>177</v>
      </c>
      <c r="H20" s="122"/>
    </row>
    <row r="21" spans="1:8" ht="15" customHeight="1" x14ac:dyDescent="0.3">
      <c r="A21" s="110" t="s">
        <v>76</v>
      </c>
      <c r="B21" s="110"/>
      <c r="C21" s="110"/>
      <c r="D21" s="110"/>
      <c r="E21" s="132" t="s">
        <v>16</v>
      </c>
      <c r="F21" s="132"/>
      <c r="G21" s="132"/>
      <c r="H21" s="132"/>
    </row>
    <row r="22" spans="1:8" ht="18.75" customHeight="1" x14ac:dyDescent="0.3">
      <c r="A22" s="110"/>
      <c r="B22" s="110"/>
      <c r="C22" s="110"/>
      <c r="D22" s="110"/>
      <c r="E22" s="132"/>
      <c r="F22" s="132"/>
      <c r="G22" s="132"/>
      <c r="H22" s="132"/>
    </row>
    <row r="23" spans="1:8" ht="15" customHeight="1" x14ac:dyDescent="0.3">
      <c r="A23" s="110" t="s">
        <v>17</v>
      </c>
      <c r="B23" s="110"/>
      <c r="C23" s="110"/>
      <c r="D23" s="110"/>
      <c r="E23" s="122" t="s">
        <v>18</v>
      </c>
      <c r="F23" s="122"/>
      <c r="G23" s="122"/>
      <c r="H23" s="122"/>
    </row>
    <row r="24" spans="1:8" ht="15" customHeight="1" x14ac:dyDescent="0.3">
      <c r="A24" s="77" t="s">
        <v>19</v>
      </c>
      <c r="B24" s="77"/>
      <c r="C24" s="77"/>
      <c r="D24" s="77"/>
      <c r="E24" s="122" t="str">
        <f>IF(AND(G18="Mumbai"),"Upper Class","Middle Class")</f>
        <v>Middle Class</v>
      </c>
      <c r="F24" s="122"/>
      <c r="G24" s="122"/>
      <c r="H24" s="122"/>
    </row>
    <row r="25" spans="1:8" x14ac:dyDescent="0.3">
      <c r="A25" s="77" t="s">
        <v>20</v>
      </c>
      <c r="B25" s="77"/>
      <c r="C25" s="77"/>
      <c r="D25" s="77"/>
      <c r="E25" s="122" t="s">
        <v>21</v>
      </c>
      <c r="F25" s="122"/>
      <c r="G25" s="122"/>
      <c r="H25" s="122"/>
    </row>
    <row r="26" spans="1:8" ht="15.75" customHeight="1" x14ac:dyDescent="0.3">
      <c r="A26" s="77" t="s">
        <v>22</v>
      </c>
      <c r="B26" s="77"/>
      <c r="C26" s="77"/>
      <c r="D26" s="77"/>
      <c r="E26" s="122" t="str">
        <f>IF(AND(G18="Mumbai"),"Developed","Developing")</f>
        <v>Developing</v>
      </c>
      <c r="F26" s="122"/>
      <c r="G26" s="122"/>
      <c r="H26" s="122"/>
    </row>
    <row r="27" spans="1:8" x14ac:dyDescent="0.3">
      <c r="A27" s="77" t="s">
        <v>23</v>
      </c>
      <c r="B27" s="77"/>
      <c r="C27" s="77"/>
      <c r="D27" s="77"/>
      <c r="E27" s="122" t="s">
        <v>24</v>
      </c>
      <c r="F27" s="122"/>
      <c r="G27" s="122"/>
      <c r="H27" s="122"/>
    </row>
    <row r="28" spans="1:8" ht="15.75" customHeight="1" x14ac:dyDescent="0.3">
      <c r="A28" s="77" t="s">
        <v>81</v>
      </c>
      <c r="B28" s="77"/>
      <c r="C28" s="77"/>
      <c r="D28" s="77"/>
      <c r="E28" s="122" t="s">
        <v>82</v>
      </c>
      <c r="F28" s="122"/>
      <c r="G28" s="122"/>
      <c r="H28" s="122"/>
    </row>
    <row r="29" spans="1:8" ht="15" customHeight="1" x14ac:dyDescent="0.3">
      <c r="A29" s="77" t="s">
        <v>33</v>
      </c>
      <c r="B29" s="77"/>
      <c r="C29" s="77"/>
      <c r="D29" s="77"/>
      <c r="E29" s="12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2"/>
      <c r="G29" s="122"/>
      <c r="H29" s="122"/>
    </row>
    <row r="30" spans="1:8" ht="15.75" customHeight="1" x14ac:dyDescent="0.3">
      <c r="A30" s="77" t="s">
        <v>93</v>
      </c>
      <c r="B30" s="77"/>
      <c r="C30" s="77"/>
      <c r="D30" s="77"/>
      <c r="E30" s="122" t="s">
        <v>34</v>
      </c>
      <c r="F30" s="122"/>
      <c r="G30" s="122"/>
      <c r="H30" s="122"/>
    </row>
    <row r="31" spans="1:8" s="21" customFormat="1" x14ac:dyDescent="0.3">
      <c r="A31" s="142" t="s">
        <v>94</v>
      </c>
      <c r="B31" s="142"/>
      <c r="C31" s="141" t="s">
        <v>29</v>
      </c>
      <c r="D31" s="141"/>
      <c r="E31" s="141"/>
      <c r="F31" s="141" t="s">
        <v>31</v>
      </c>
      <c r="G31" s="141"/>
      <c r="H31" s="141"/>
    </row>
    <row r="32" spans="1:8" s="21" customFormat="1" x14ac:dyDescent="0.3">
      <c r="A32" s="139" t="s">
        <v>25</v>
      </c>
      <c r="B32" s="139" t="s">
        <v>30</v>
      </c>
      <c r="C32" s="140" t="s">
        <v>30</v>
      </c>
      <c r="D32" s="140"/>
      <c r="E32" s="140"/>
      <c r="F32" s="140" t="s">
        <v>180</v>
      </c>
      <c r="G32" s="140"/>
      <c r="H32" s="140"/>
    </row>
    <row r="33" spans="1:8" x14ac:dyDescent="0.3">
      <c r="A33" s="139" t="s">
        <v>26</v>
      </c>
      <c r="B33" s="139" t="s">
        <v>30</v>
      </c>
      <c r="C33" s="140" t="s">
        <v>30</v>
      </c>
      <c r="D33" s="140"/>
      <c r="E33" s="140"/>
      <c r="F33" s="140" t="s">
        <v>179</v>
      </c>
      <c r="G33" s="140"/>
      <c r="H33" s="140"/>
    </row>
    <row r="34" spans="1:8" s="21" customFormat="1" x14ac:dyDescent="0.3">
      <c r="A34" s="139" t="s">
        <v>28</v>
      </c>
      <c r="B34" s="139" t="s">
        <v>30</v>
      </c>
      <c r="C34" s="140" t="s">
        <v>30</v>
      </c>
      <c r="D34" s="140"/>
      <c r="E34" s="140"/>
      <c r="F34" s="140" t="s">
        <v>180</v>
      </c>
      <c r="G34" s="140"/>
      <c r="H34" s="140"/>
    </row>
    <row r="35" spans="1:8" x14ac:dyDescent="0.3">
      <c r="A35" s="139" t="s">
        <v>27</v>
      </c>
      <c r="B35" s="139" t="s">
        <v>30</v>
      </c>
      <c r="C35" s="140" t="s">
        <v>30</v>
      </c>
      <c r="D35" s="140"/>
      <c r="E35" s="140"/>
      <c r="F35" s="140" t="s">
        <v>181</v>
      </c>
      <c r="G35" s="140"/>
      <c r="H35" s="140"/>
    </row>
    <row r="36" spans="1:8" x14ac:dyDescent="0.3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">
      <c r="A37" s="77" t="s">
        <v>163</v>
      </c>
      <c r="B37" s="77"/>
      <c r="C37" s="129" t="s">
        <v>175</v>
      </c>
      <c r="D37" s="129"/>
      <c r="E37" s="129"/>
      <c r="F37" s="129"/>
      <c r="G37" s="129"/>
      <c r="H37" s="129"/>
    </row>
    <row r="38" spans="1:8" x14ac:dyDescent="0.3">
      <c r="A38" s="77" t="s">
        <v>159</v>
      </c>
      <c r="B38" s="77"/>
      <c r="C38" s="199" t="s">
        <v>176</v>
      </c>
      <c r="D38" s="122"/>
      <c r="E38" s="122"/>
      <c r="F38" s="122"/>
      <c r="G38" s="122"/>
      <c r="H38" s="122"/>
    </row>
    <row r="39" spans="1:8" x14ac:dyDescent="0.3">
      <c r="A39" s="129" t="s">
        <v>35</v>
      </c>
      <c r="B39" s="129"/>
      <c r="C39" s="129"/>
      <c r="D39" s="129"/>
      <c r="E39" s="129"/>
      <c r="F39" s="129"/>
      <c r="G39" s="129"/>
      <c r="H39" s="129"/>
    </row>
    <row r="40" spans="1:8" x14ac:dyDescent="0.3">
      <c r="A40" s="77" t="s">
        <v>36</v>
      </c>
      <c r="B40" s="77"/>
      <c r="C40" s="77"/>
      <c r="D40" s="77"/>
      <c r="E40" s="160">
        <v>2560.64</v>
      </c>
      <c r="F40" s="160"/>
      <c r="G40" s="160"/>
      <c r="H40" s="160"/>
    </row>
    <row r="41" spans="1:8" x14ac:dyDescent="0.3">
      <c r="A41" s="77" t="s">
        <v>37</v>
      </c>
      <c r="B41" s="77"/>
      <c r="C41" s="77"/>
      <c r="D41" s="77"/>
      <c r="E41" s="76">
        <v>1.1000000000000001</v>
      </c>
      <c r="F41" s="76"/>
      <c r="G41" s="76"/>
      <c r="H41" s="76"/>
    </row>
    <row r="42" spans="1:8" x14ac:dyDescent="0.3">
      <c r="A42" s="77" t="s">
        <v>38</v>
      </c>
      <c r="B42" s="77"/>
      <c r="C42" s="77"/>
      <c r="D42" s="77"/>
      <c r="E42" s="76">
        <f>E44/E40-E41</f>
        <v>3.7386340914771305</v>
      </c>
      <c r="F42" s="76"/>
      <c r="G42" s="76"/>
      <c r="H42" s="76"/>
    </row>
    <row r="43" spans="1:8" x14ac:dyDescent="0.3">
      <c r="A43" s="77" t="s">
        <v>39</v>
      </c>
      <c r="B43" s="77"/>
      <c r="C43" s="77"/>
      <c r="D43" s="77"/>
      <c r="E43" s="76">
        <f>E41+E42</f>
        <v>4.8386340914771306</v>
      </c>
      <c r="F43" s="76"/>
      <c r="G43" s="76"/>
      <c r="H43" s="76"/>
    </row>
    <row r="44" spans="1:8" x14ac:dyDescent="0.3">
      <c r="A44" s="77" t="s">
        <v>92</v>
      </c>
      <c r="B44" s="77"/>
      <c r="C44" s="77"/>
      <c r="D44" s="77"/>
      <c r="E44" s="150">
        <v>12390</v>
      </c>
      <c r="F44" s="150"/>
      <c r="G44" s="150"/>
      <c r="H44" s="150"/>
    </row>
    <row r="45" spans="1:8" x14ac:dyDescent="0.3">
      <c r="A45" s="132" t="s">
        <v>40</v>
      </c>
      <c r="B45" s="132"/>
      <c r="C45" s="132"/>
      <c r="D45" s="132"/>
      <c r="E45" s="132" t="s">
        <v>211</v>
      </c>
      <c r="F45" s="132"/>
      <c r="G45" s="132"/>
      <c r="H45" s="132"/>
    </row>
    <row r="46" spans="1:8" x14ac:dyDescent="0.3">
      <c r="A46" s="129" t="s">
        <v>41</v>
      </c>
      <c r="B46" s="129"/>
      <c r="C46" s="129"/>
      <c r="D46" s="129"/>
      <c r="E46" s="129"/>
      <c r="F46" s="129"/>
      <c r="G46" s="129"/>
      <c r="H46" s="129"/>
    </row>
    <row r="47" spans="1:8" ht="33.75" customHeight="1" x14ac:dyDescent="0.3">
      <c r="A47" s="93" t="s">
        <v>147</v>
      </c>
      <c r="B47" s="94"/>
      <c r="C47" s="133" t="s">
        <v>184</v>
      </c>
      <c r="D47" s="134"/>
      <c r="E47" s="134"/>
      <c r="F47" s="134"/>
      <c r="G47" s="134"/>
      <c r="H47" s="135"/>
    </row>
    <row r="48" spans="1:8" ht="15.75" customHeight="1" x14ac:dyDescent="0.3">
      <c r="A48" s="93" t="s">
        <v>42</v>
      </c>
      <c r="B48" s="94"/>
      <c r="C48" s="93" t="s">
        <v>208</v>
      </c>
      <c r="D48" s="95"/>
      <c r="E48" s="94"/>
      <c r="F48" s="17" t="s">
        <v>43</v>
      </c>
      <c r="G48" s="96">
        <v>45488</v>
      </c>
      <c r="H48" s="94"/>
    </row>
    <row r="49" spans="1:14" x14ac:dyDescent="0.3">
      <c r="A49" s="93" t="s">
        <v>44</v>
      </c>
      <c r="B49" s="94"/>
      <c r="C49" s="93" t="str">
        <f>C48</f>
        <v>VVCMC/TP/AMEND/6453/145/2024-25</v>
      </c>
      <c r="D49" s="95"/>
      <c r="E49" s="94"/>
      <c r="F49" s="17" t="s">
        <v>43</v>
      </c>
      <c r="G49" s="96">
        <v>45488</v>
      </c>
      <c r="H49" s="94"/>
    </row>
    <row r="50" spans="1:14" s="22" customFormat="1" ht="15.75" customHeight="1" x14ac:dyDescent="0.3">
      <c r="A50" s="153" t="s">
        <v>151</v>
      </c>
      <c r="B50" s="154"/>
      <c r="C50" s="93" t="s">
        <v>207</v>
      </c>
      <c r="D50" s="95"/>
      <c r="E50" s="94"/>
      <c r="F50" s="17" t="s">
        <v>43</v>
      </c>
      <c r="G50" s="96">
        <v>45488</v>
      </c>
      <c r="H50" s="94"/>
    </row>
    <row r="51" spans="1:14" s="22" customFormat="1" ht="33.75" customHeight="1" x14ac:dyDescent="0.3">
      <c r="A51" s="155"/>
      <c r="B51" s="156"/>
      <c r="C51" s="93" t="s">
        <v>209</v>
      </c>
      <c r="D51" s="95"/>
      <c r="E51" s="95"/>
      <c r="F51" s="95"/>
      <c r="G51" s="95"/>
      <c r="H51" s="94"/>
    </row>
    <row r="52" spans="1:14" x14ac:dyDescent="0.3">
      <c r="A52" s="162" t="s">
        <v>45</v>
      </c>
      <c r="B52" s="163"/>
      <c r="C52" s="162" t="s">
        <v>104</v>
      </c>
      <c r="D52" s="164"/>
      <c r="E52" s="163"/>
      <c r="F52" s="42" t="s">
        <v>43</v>
      </c>
      <c r="G52" s="165" t="s">
        <v>30</v>
      </c>
      <c r="H52" s="166"/>
    </row>
    <row r="53" spans="1:14" x14ac:dyDescent="0.3">
      <c r="A53" s="113" t="s">
        <v>47</v>
      </c>
      <c r="B53" s="113"/>
      <c r="C53" s="113"/>
      <c r="D53" s="113"/>
      <c r="E53" s="113"/>
      <c r="F53" s="113"/>
      <c r="G53" s="113"/>
      <c r="H53" s="113"/>
    </row>
    <row r="54" spans="1:14" x14ac:dyDescent="0.3">
      <c r="A54" s="110" t="s">
        <v>91</v>
      </c>
      <c r="B54" s="110"/>
      <c r="C54" s="110"/>
      <c r="D54" s="77">
        <f>E44</f>
        <v>12390</v>
      </c>
      <c r="E54" s="77"/>
      <c r="F54" s="77"/>
      <c r="G54" s="77"/>
      <c r="H54" s="77"/>
    </row>
    <row r="55" spans="1:14" x14ac:dyDescent="0.3">
      <c r="A55" s="122" t="s">
        <v>48</v>
      </c>
      <c r="B55" s="132"/>
      <c r="C55" s="132"/>
      <c r="D55" s="132" t="s">
        <v>229</v>
      </c>
      <c r="E55" s="132"/>
      <c r="F55" s="132"/>
      <c r="G55" s="132"/>
      <c r="H55" s="132"/>
      <c r="I55" s="23"/>
    </row>
    <row r="56" spans="1:14" ht="32.25" customHeight="1" x14ac:dyDescent="0.3">
      <c r="A56" s="98" t="s">
        <v>49</v>
      </c>
      <c r="B56" s="99"/>
      <c r="C56" s="152"/>
      <c r="D56" s="124" t="s">
        <v>209</v>
      </c>
      <c r="E56" s="151"/>
      <c r="F56" s="151"/>
      <c r="G56" s="151"/>
      <c r="H56" s="151"/>
    </row>
    <row r="57" spans="1:14" ht="15.75" customHeight="1" x14ac:dyDescent="0.3">
      <c r="A57" s="98" t="s">
        <v>89</v>
      </c>
      <c r="B57" s="99"/>
      <c r="C57" s="99"/>
      <c r="D57" s="102" t="s">
        <v>185</v>
      </c>
      <c r="E57" s="103"/>
      <c r="F57" s="103"/>
      <c r="G57" s="103"/>
      <c r="H57" s="104"/>
    </row>
    <row r="58" spans="1:14" ht="15.75" customHeight="1" x14ac:dyDescent="0.3">
      <c r="A58" s="100"/>
      <c r="B58" s="101"/>
      <c r="C58" s="101"/>
      <c r="D58" s="105" t="s">
        <v>210</v>
      </c>
      <c r="E58" s="106"/>
      <c r="F58" s="106"/>
      <c r="G58" s="106"/>
      <c r="H58" s="107"/>
    </row>
    <row r="59" spans="1:14" ht="15.75" customHeight="1" x14ac:dyDescent="0.3">
      <c r="A59" s="77" t="s">
        <v>46</v>
      </c>
      <c r="B59" s="77"/>
      <c r="C59" s="77"/>
      <c r="D59" s="161" t="s">
        <v>186</v>
      </c>
      <c r="E59" s="161"/>
      <c r="F59" s="161"/>
      <c r="G59" s="161"/>
      <c r="H59" s="161"/>
      <c r="J59" s="24"/>
      <c r="K59" s="23"/>
      <c r="N59" s="23"/>
    </row>
    <row r="60" spans="1:14" ht="15.75" customHeight="1" x14ac:dyDescent="0.3">
      <c r="A60" s="77" t="s">
        <v>87</v>
      </c>
      <c r="B60" s="77"/>
      <c r="C60" s="77"/>
      <c r="D60" s="149" t="str">
        <f>(IF(G52="NA","60 Years After Completion",IF(G52&lt;&gt;"NA",""&amp;60-ROUNDDOWN((E3-G52)/360,0)&amp;" Years"," ")))</f>
        <v>60 Years After Completion</v>
      </c>
      <c r="E60" s="149"/>
      <c r="F60" s="149"/>
      <c r="G60" s="149"/>
      <c r="H60" s="149"/>
      <c r="N60" s="23"/>
    </row>
    <row r="61" spans="1:14" ht="15.75" customHeight="1" x14ac:dyDescent="0.3">
      <c r="A61" s="77" t="s">
        <v>88</v>
      </c>
      <c r="B61" s="77"/>
      <c r="C61" s="77"/>
      <c r="D61" s="110" t="s">
        <v>24</v>
      </c>
      <c r="E61" s="110"/>
      <c r="F61" s="110"/>
      <c r="G61" s="110"/>
      <c r="H61" s="110"/>
      <c r="J61" s="25"/>
      <c r="K61" s="25"/>
    </row>
    <row r="62" spans="1:14" x14ac:dyDescent="0.3">
      <c r="A62" s="77" t="s">
        <v>75</v>
      </c>
      <c r="B62" s="77"/>
      <c r="C62" s="77"/>
      <c r="D62" s="122" t="s">
        <v>187</v>
      </c>
      <c r="E62" s="110"/>
      <c r="F62" s="110"/>
      <c r="G62" s="110"/>
      <c r="H62" s="110"/>
    </row>
    <row r="63" spans="1:14" x14ac:dyDescent="0.3">
      <c r="A63" s="110" t="s">
        <v>144</v>
      </c>
      <c r="B63" s="110"/>
      <c r="C63" s="110"/>
      <c r="D63" s="110" t="s">
        <v>30</v>
      </c>
      <c r="E63" s="110"/>
      <c r="F63" s="110"/>
      <c r="G63" s="110"/>
      <c r="H63" s="110"/>
      <c r="I63" s="26"/>
      <c r="J63" s="26"/>
      <c r="K63" s="26"/>
      <c r="L63" s="26"/>
      <c r="M63" s="26"/>
      <c r="N63" s="26"/>
    </row>
    <row r="64" spans="1:14" ht="15.75" customHeight="1" x14ac:dyDescent="0.3">
      <c r="A64" s="125" t="s">
        <v>86</v>
      </c>
      <c r="B64" s="125"/>
      <c r="C64" s="125"/>
      <c r="D64" s="124" t="str">
        <f ca="1">(IF(G70&gt;95%,"Nothing",IF(G70&gt;0%,"Cement, Aggregate, Steel, etc",IF(G70=0%,"Work not yet Started"))))</f>
        <v>Cement, Aggregate, Steel, etc</v>
      </c>
      <c r="E64" s="124"/>
      <c r="F64" s="124"/>
      <c r="G64" s="124"/>
      <c r="H64" s="124"/>
      <c r="J64" s="25"/>
    </row>
    <row r="65" spans="1:10" ht="33.75" customHeight="1" thickBot="1" x14ac:dyDescent="0.35">
      <c r="A65" s="123" t="s">
        <v>117</v>
      </c>
      <c r="B65" s="123"/>
      <c r="C65" s="123"/>
      <c r="D65" s="124" t="str">
        <f ca="1">(IF(D64="Nothing","Yes",IF(D64="Cement, Aggregate, Steel, etc","Under Construction",IF(D64="Work not yet Started","Work not yet Started"))))</f>
        <v>Under Construction</v>
      </c>
      <c r="E65" s="124"/>
      <c r="F65" s="124" t="str">
        <f ca="1">(IF(D64="Nothing","Yes",IF(D64="Cement, Aggregate, Steel, etc","Under Construction",IF(D64="Work not yet Started","Work not yet Started"))))</f>
        <v>Under Construction</v>
      </c>
      <c r="G65" s="124"/>
      <c r="H65" s="124"/>
    </row>
    <row r="66" spans="1:10" ht="15.75" customHeight="1" x14ac:dyDescent="0.3">
      <c r="A66" s="85" t="s">
        <v>136</v>
      </c>
      <c r="B66" s="86"/>
      <c r="C66" s="87" t="str">
        <f>D57</f>
        <v>A Wing = G + 1st to 14th Floor</v>
      </c>
      <c r="D66" s="88"/>
      <c r="E66" s="88"/>
      <c r="F66" s="88"/>
      <c r="G66" s="88"/>
      <c r="H66" s="89"/>
      <c r="I66" s="64" t="str">
        <f ca="1">IF(D79=100%,"All work Completed. Possession granted to the Building.",IF(D78=100%,"All work Completed, Waiting for OC",I67&amp;""&amp;I68&amp;""&amp;J67&amp;""&amp;J66&amp;" "&amp;J68))</f>
        <v>Excavation, Plinth Completed, RCC upto 9 Slab, Brickwork upto 4 Floor Completed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9 Slab, Brickwork upto 4 Floor</v>
      </c>
    </row>
    <row r="67" spans="1:10" x14ac:dyDescent="0.3">
      <c r="A67" s="15" t="s">
        <v>138</v>
      </c>
      <c r="B67" s="58">
        <f>IF(AND(ISNUMBER(SEARCH("1B",C66))),1,IF(AND(ISNUMBER(SEARCH("2B",C66))),2,IF(AND(ISNUMBER(SEARCH("3B",C66))),3,IF(AND(ISNUMBER(SEARCH("4B",C66))),4,IF(ISNUMBER(SEARCH("5B",C66)),5,0)))))</f>
        <v>0</v>
      </c>
      <c r="C67" s="58" t="s">
        <v>72</v>
      </c>
      <c r="D67" s="58">
        <v>1</v>
      </c>
      <c r="E67" s="58" t="s">
        <v>71</v>
      </c>
      <c r="F67" s="58">
        <v>0</v>
      </c>
      <c r="G67" s="44" t="s">
        <v>80</v>
      </c>
      <c r="H67" s="16">
        <f ca="1">--TRIM(RIGHT(SUBSTITUTE(LEFT(C66,_xlfn.AGGREGATE(16,6,FIND({0,1,2,3,4,5,6,7,8,9},C66,ROW(INDIRECT("1:"&amp;LEN(C66)))),1))," ",REPT(" ",LEN(C66))),LEN(C66)))</f>
        <v>14</v>
      </c>
      <c r="I67" s="5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5" customHeight="1" x14ac:dyDescent="0.3">
      <c r="A68" s="157" t="s">
        <v>90</v>
      </c>
      <c r="B68" s="158"/>
      <c r="C68" s="111" t="str">
        <f ca="1">I66</f>
        <v>Excavation, Plinth Completed, RCC upto 9 Slab, Brickwork upto 4 Floor Completed</v>
      </c>
      <c r="D68" s="111"/>
      <c r="E68" s="111"/>
      <c r="F68" s="111"/>
      <c r="G68" s="111"/>
      <c r="H68" s="112"/>
      <c r="I68" s="56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3">
      <c r="A69" s="83" t="s">
        <v>50</v>
      </c>
      <c r="B69" s="84"/>
      <c r="C69" s="57" t="s">
        <v>135</v>
      </c>
      <c r="D69" s="57" t="s">
        <v>83</v>
      </c>
      <c r="E69" s="84" t="s">
        <v>85</v>
      </c>
      <c r="F69" s="84"/>
      <c r="G69" s="84" t="s">
        <v>84</v>
      </c>
      <c r="H69" s="159"/>
      <c r="I69" s="13" t="s">
        <v>137</v>
      </c>
      <c r="J69" s="27">
        <f ca="1">H67*25%</f>
        <v>3.5</v>
      </c>
    </row>
    <row r="70" spans="1:10" x14ac:dyDescent="0.3">
      <c r="A70" s="83" t="s">
        <v>124</v>
      </c>
      <c r="B70" s="84"/>
      <c r="C70" s="57">
        <f ca="1">J71</f>
        <v>14</v>
      </c>
      <c r="D70" s="18">
        <f ca="1">((100/H67)*C70)/100</f>
        <v>1</v>
      </c>
      <c r="E70" s="143">
        <f ca="1">(((C71/H67*10)+(40/(D67+F67+H67)*C72)+(7.5/(H67)*C73)+(7.5/(H67)*C74)+(10/H67*C75)+(10/H67*C76)+(5/H67*C77)+(5/H67*C78)+(5/H67*C79))/100)</f>
        <v>0.36142857142857143</v>
      </c>
      <c r="F70" s="143"/>
      <c r="G70" s="143">
        <f ca="1">((((C70/H67)*20)+((C71/H67)*25)+(30/(H67+F67+D67)*C72)+(5/H67*C73)+(5/H67*C74)+(5/H67*C75)+(5/H67*C76)+(0/H67*C77)+(0/H67*C78)+(5/H67*C79))/100)</f>
        <v>0.64428571428571435</v>
      </c>
      <c r="H70" s="144"/>
      <c r="I70" s="13" t="s">
        <v>99</v>
      </c>
      <c r="J70" s="28">
        <f ca="1">H67*50%</f>
        <v>7</v>
      </c>
    </row>
    <row r="71" spans="1:10" x14ac:dyDescent="0.3">
      <c r="A71" s="83" t="s">
        <v>51</v>
      </c>
      <c r="B71" s="84"/>
      <c r="C71" s="57">
        <f ca="1">J79</f>
        <v>14</v>
      </c>
      <c r="D71" s="18">
        <f ca="1">((100/H67)*C71)/100</f>
        <v>1</v>
      </c>
      <c r="E71" s="143"/>
      <c r="F71" s="143"/>
      <c r="G71" s="143"/>
      <c r="H71" s="144"/>
      <c r="I71" s="13" t="s">
        <v>100</v>
      </c>
      <c r="J71" s="28">
        <f ca="1">H67</f>
        <v>14</v>
      </c>
    </row>
    <row r="72" spans="1:10" ht="15.75" customHeight="1" x14ac:dyDescent="0.3">
      <c r="A72" s="83" t="s">
        <v>125</v>
      </c>
      <c r="B72" s="84"/>
      <c r="C72" s="57">
        <v>9</v>
      </c>
      <c r="D72" s="18">
        <f ca="1">((100/(D67+F67+H67))*C72)/100</f>
        <v>0.6</v>
      </c>
      <c r="E72" s="143"/>
      <c r="F72" s="143"/>
      <c r="G72" s="143"/>
      <c r="H72" s="144"/>
      <c r="I72" s="13" t="s">
        <v>101</v>
      </c>
      <c r="J72" s="29">
        <f ca="1">(IF(B67&gt;1,(H67/(B67+2)),H67/4))</f>
        <v>3.5</v>
      </c>
    </row>
    <row r="73" spans="1:10" ht="15.75" customHeight="1" x14ac:dyDescent="0.3">
      <c r="A73" s="83" t="s">
        <v>132</v>
      </c>
      <c r="B73" s="84" t="s">
        <v>126</v>
      </c>
      <c r="C73" s="57">
        <v>4</v>
      </c>
      <c r="D73" s="18">
        <f ca="1">((100/H67)*C73)/100</f>
        <v>0.28571428571428575</v>
      </c>
      <c r="E73" s="143"/>
      <c r="F73" s="143"/>
      <c r="G73" s="143"/>
      <c r="H73" s="144"/>
      <c r="I73" s="13" t="s">
        <v>102</v>
      </c>
      <c r="J73" s="29">
        <f ca="1">(IF(B67&gt;1,(H67/(B67+2)+J72),H67/4+J72))</f>
        <v>7</v>
      </c>
    </row>
    <row r="74" spans="1:10" ht="15.75" customHeight="1" x14ac:dyDescent="0.3">
      <c r="A74" s="83" t="s">
        <v>133</v>
      </c>
      <c r="B74" s="84" t="s">
        <v>126</v>
      </c>
      <c r="C74" s="57">
        <v>0</v>
      </c>
      <c r="D74" s="18">
        <f ca="1">((100/H67)*C74)/100</f>
        <v>0</v>
      </c>
      <c r="E74" s="143"/>
      <c r="F74" s="143"/>
      <c r="G74" s="143"/>
      <c r="H74" s="144"/>
      <c r="I74" s="13" t="s">
        <v>142</v>
      </c>
      <c r="J74" s="29">
        <f>(IF(B67&gt;1,(H67/(B67+2)+J73),0))</f>
        <v>0</v>
      </c>
    </row>
    <row r="75" spans="1:10" ht="15" customHeight="1" x14ac:dyDescent="0.3">
      <c r="A75" s="83" t="s">
        <v>131</v>
      </c>
      <c r="B75" s="84" t="s">
        <v>128</v>
      </c>
      <c r="C75" s="57">
        <v>0</v>
      </c>
      <c r="D75" s="18">
        <f ca="1">((100/(H67))*C75)/100</f>
        <v>0</v>
      </c>
      <c r="E75" s="143"/>
      <c r="F75" s="143"/>
      <c r="G75" s="143"/>
      <c r="H75" s="144"/>
      <c r="I75" s="13" t="s">
        <v>139</v>
      </c>
      <c r="J75" s="29">
        <f>(IF(B67&gt;2,(H67/(B67+2)+J74),0))</f>
        <v>0</v>
      </c>
    </row>
    <row r="76" spans="1:10" ht="15.75" customHeight="1" x14ac:dyDescent="0.3">
      <c r="A76" s="83" t="s">
        <v>127</v>
      </c>
      <c r="B76" s="84" t="s">
        <v>127</v>
      </c>
      <c r="C76" s="57">
        <v>0</v>
      </c>
      <c r="D76" s="18">
        <f ca="1">((100/H67)*C76)/100</f>
        <v>0</v>
      </c>
      <c r="E76" s="143"/>
      <c r="F76" s="143"/>
      <c r="G76" s="143"/>
      <c r="H76" s="144"/>
      <c r="I76" s="13" t="s">
        <v>140</v>
      </c>
      <c r="J76" s="30">
        <f>(IF(B67&gt;3,(H67/(B67+2)+J75),0))</f>
        <v>0</v>
      </c>
    </row>
    <row r="77" spans="1:10" ht="15.75" customHeight="1" x14ac:dyDescent="0.3">
      <c r="A77" s="83" t="s">
        <v>134</v>
      </c>
      <c r="B77" s="84"/>
      <c r="C77" s="57">
        <v>0</v>
      </c>
      <c r="D77" s="18">
        <f ca="1">((100/H67)*C77)/100</f>
        <v>0</v>
      </c>
      <c r="E77" s="143"/>
      <c r="F77" s="143"/>
      <c r="G77" s="143"/>
      <c r="H77" s="144"/>
      <c r="I77" s="13" t="s">
        <v>141</v>
      </c>
      <c r="J77" s="29">
        <f>(IF(B67&gt;4,(H67/(B67+2)+J76),0))</f>
        <v>0</v>
      </c>
    </row>
    <row r="78" spans="1:10" ht="15.75" customHeight="1" x14ac:dyDescent="0.3">
      <c r="A78" s="83" t="s">
        <v>129</v>
      </c>
      <c r="B78" s="84" t="s">
        <v>129</v>
      </c>
      <c r="C78" s="57">
        <v>0</v>
      </c>
      <c r="D78" s="18">
        <f ca="1">((100/(H67))*C78)/100</f>
        <v>0</v>
      </c>
      <c r="E78" s="143"/>
      <c r="F78" s="143"/>
      <c r="G78" s="143"/>
      <c r="H78" s="144"/>
      <c r="I78" s="13" t="s">
        <v>143</v>
      </c>
      <c r="J78" s="29">
        <f ca="1">(IF(B67=1,(H67/(B67+3)+J73),IF(B67=0,(H67/4+J73),IF(B67&gt;1,0))))</f>
        <v>10.5</v>
      </c>
    </row>
    <row r="79" spans="1:10" ht="16.2" thickBot="1" x14ac:dyDescent="0.35">
      <c r="A79" s="147" t="s">
        <v>130</v>
      </c>
      <c r="B79" s="148"/>
      <c r="C79" s="59">
        <v>0</v>
      </c>
      <c r="D79" s="19">
        <f ca="1">((100/(H67))*C79)/100</f>
        <v>0</v>
      </c>
      <c r="E79" s="145"/>
      <c r="F79" s="145"/>
      <c r="G79" s="145"/>
      <c r="H79" s="146"/>
      <c r="I79" s="14" t="s">
        <v>103</v>
      </c>
      <c r="J79" s="31">
        <f ca="1">(IF(B67&gt;1.5,(H67/(B67+2)+J73+MAX(0,J74-J73)+MAX(0,J75-J74)+MAX(0,J76-J75)+MAX(0,J77-J76)+MAX(0,J78-J77)),IF(B67=1,(H67/(B67+3)+J78),IF(B67=0,H67/4+J78))))</f>
        <v>14</v>
      </c>
    </row>
    <row r="80" spans="1:10" ht="15.75" customHeight="1" x14ac:dyDescent="0.3">
      <c r="A80" s="85" t="s">
        <v>136</v>
      </c>
      <c r="B80" s="86"/>
      <c r="C80" s="87" t="str">
        <f>D58</f>
        <v>B Wing = G + 1st to 18th Floor</v>
      </c>
      <c r="D80" s="88"/>
      <c r="E80" s="88"/>
      <c r="F80" s="88"/>
      <c r="G80" s="88"/>
      <c r="H80" s="89"/>
      <c r="I80" s="45" t="str">
        <f ca="1">IF(D93=100%,"All work Completed. Possession granted to the Building.",IF(D92=100%,"All work Completed, Waiting for OC",I81&amp;""&amp;I82&amp;""&amp;J81&amp;""&amp;J80&amp;" "&amp;J82))</f>
        <v xml:space="preserve">Excavation Completed, Plinth work is process </v>
      </c>
      <c r="J80" s="46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x14ac:dyDescent="0.3">
      <c r="A81" s="15" t="s">
        <v>138</v>
      </c>
      <c r="B81" s="58">
        <f>IF(AND(ISNUMBER(SEARCH("1B",C80))),1,IF(AND(ISNUMBER(SEARCH("2B",C80))),2,IF(AND(ISNUMBER(SEARCH("3B",C80))),3,IF(AND(ISNUMBER(SEARCH("4B",C80))),4,IF(ISNUMBER(SEARCH("5B",C80)),5,0)))))</f>
        <v>0</v>
      </c>
      <c r="C81" s="58" t="s">
        <v>72</v>
      </c>
      <c r="D81" s="58">
        <v>1</v>
      </c>
      <c r="E81" s="58" t="s">
        <v>71</v>
      </c>
      <c r="F81" s="58">
        <v>0</v>
      </c>
      <c r="G81" s="44" t="s">
        <v>80</v>
      </c>
      <c r="H81" s="16">
        <f ca="1">--TRIM(RIGHT(SUBSTITUTE(LEFT(C80,_xlfn.AGGREGATE(16,6,FIND({0,1,2,3,4,5,6,7,8,9},C80,ROW(INDIRECT("1:"&amp;LEN(C80)))),1))," ",REPT(" ",LEN(C80))),LEN(C80)))</f>
        <v>18</v>
      </c>
      <c r="I81" s="47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</v>
      </c>
      <c r="J81" s="48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, Plinth work is process</v>
      </c>
    </row>
    <row r="82" spans="1:10" x14ac:dyDescent="0.3">
      <c r="A82" s="157" t="s">
        <v>90</v>
      </c>
      <c r="B82" s="158"/>
      <c r="C82" s="111" t="str">
        <f ca="1">(IF($G$52="NA",I80,"All work Completed. OC Received."))</f>
        <v xml:space="preserve">Excavation Completed, Plinth work is process </v>
      </c>
      <c r="D82" s="111"/>
      <c r="E82" s="111"/>
      <c r="F82" s="111"/>
      <c r="G82" s="111"/>
      <c r="H82" s="112"/>
      <c r="I82" s="47" t="str">
        <f ca="1">IF(I81&lt;&gt;""," Completed","")</f>
        <v xml:space="preserve"> Completed</v>
      </c>
      <c r="J82" s="48" t="str">
        <f ca="1">IF(J80&lt;&gt;"","Completed","")</f>
        <v/>
      </c>
    </row>
    <row r="83" spans="1:10" ht="15.75" customHeight="1" x14ac:dyDescent="0.3">
      <c r="A83" s="83" t="s">
        <v>50</v>
      </c>
      <c r="B83" s="84"/>
      <c r="C83" s="57" t="s">
        <v>135</v>
      </c>
      <c r="D83" s="57" t="s">
        <v>83</v>
      </c>
      <c r="E83" s="84" t="s">
        <v>85</v>
      </c>
      <c r="F83" s="84"/>
      <c r="G83" s="84" t="s">
        <v>84</v>
      </c>
      <c r="H83" s="159"/>
      <c r="I83" s="13" t="s">
        <v>137</v>
      </c>
      <c r="J83" s="27">
        <f ca="1">H81*25%</f>
        <v>4.5</v>
      </c>
    </row>
    <row r="84" spans="1:10" x14ac:dyDescent="0.3">
      <c r="A84" s="83" t="s">
        <v>124</v>
      </c>
      <c r="B84" s="84"/>
      <c r="C84" s="57">
        <f ca="1">J85</f>
        <v>18</v>
      </c>
      <c r="D84" s="18">
        <f ca="1">((100/H81)*C84)/100</f>
        <v>1</v>
      </c>
      <c r="E84" s="187">
        <f ca="1">(((C85/H81*10)+(40/(D81+F81+H81)*C86)+(7.5/(H81)*C87)+(7.5/(H81)*C88)+(10/H81*C89)+(10/H81*C90)+(5/H81*C91)+(5/H81*C92)+(5/H81*C93))/100)</f>
        <v>7.4999999999999997E-2</v>
      </c>
      <c r="F84" s="188"/>
      <c r="G84" s="187">
        <f ca="1">((((C84/H81)*20)+((C85/H81)*25)+(30/(H81+F81+D81)*C86)+(5/H81*C87)+(5/H81*C88)+(5/H81*C89)+(5/H81*C90)+(0/H81*C91)+(0/H81*C92)+(5/H81*C93))/100)</f>
        <v>0.38750000000000001</v>
      </c>
      <c r="H84" s="193"/>
      <c r="I84" s="13" t="s">
        <v>99</v>
      </c>
      <c r="J84" s="28">
        <f ca="1">H81*50%</f>
        <v>9</v>
      </c>
    </row>
    <row r="85" spans="1:10" x14ac:dyDescent="0.3">
      <c r="A85" s="83" t="s">
        <v>51</v>
      </c>
      <c r="B85" s="84"/>
      <c r="C85" s="49">
        <f ca="1">J92</f>
        <v>13.5</v>
      </c>
      <c r="D85" s="18">
        <f ca="1">((100/H81)*C85)/100</f>
        <v>0.75</v>
      </c>
      <c r="E85" s="189"/>
      <c r="F85" s="190"/>
      <c r="G85" s="189"/>
      <c r="H85" s="194"/>
      <c r="I85" s="13" t="s">
        <v>100</v>
      </c>
      <c r="J85" s="28">
        <f ca="1">H81</f>
        <v>18</v>
      </c>
    </row>
    <row r="86" spans="1:10" ht="15.75" customHeight="1" x14ac:dyDescent="0.3">
      <c r="A86" s="83" t="s">
        <v>125</v>
      </c>
      <c r="B86" s="84"/>
      <c r="C86" s="57">
        <v>0</v>
      </c>
      <c r="D86" s="18">
        <f ca="1">((100/(D81+F81+H81))*C86)/100</f>
        <v>0</v>
      </c>
      <c r="E86" s="189"/>
      <c r="F86" s="190"/>
      <c r="G86" s="189"/>
      <c r="H86" s="194"/>
      <c r="I86" s="13" t="s">
        <v>101</v>
      </c>
      <c r="J86" s="29">
        <f ca="1">(IF(B81&gt;1,(H81/(B81+2)),H81/4))</f>
        <v>4.5</v>
      </c>
    </row>
    <row r="87" spans="1:10" ht="15.75" customHeight="1" x14ac:dyDescent="0.3">
      <c r="A87" s="83" t="s">
        <v>132</v>
      </c>
      <c r="B87" s="84" t="s">
        <v>126</v>
      </c>
      <c r="C87" s="57">
        <v>0</v>
      </c>
      <c r="D87" s="18">
        <f ca="1">((100/H81)*C87)/100</f>
        <v>0</v>
      </c>
      <c r="E87" s="189"/>
      <c r="F87" s="190"/>
      <c r="G87" s="189"/>
      <c r="H87" s="194"/>
      <c r="I87" s="13" t="s">
        <v>102</v>
      </c>
      <c r="J87" s="29">
        <f ca="1">(IF(B81&gt;1,(H81/(B81+2)+J86),H81/4+J86))</f>
        <v>9</v>
      </c>
    </row>
    <row r="88" spans="1:10" ht="15.75" customHeight="1" x14ac:dyDescent="0.3">
      <c r="A88" s="83" t="s">
        <v>133</v>
      </c>
      <c r="B88" s="84" t="s">
        <v>126</v>
      </c>
      <c r="C88" s="57">
        <v>0</v>
      </c>
      <c r="D88" s="18">
        <f ca="1">((100/H81)*C88)/100</f>
        <v>0</v>
      </c>
      <c r="E88" s="189"/>
      <c r="F88" s="190"/>
      <c r="G88" s="189"/>
      <c r="H88" s="194"/>
      <c r="I88" s="13" t="s">
        <v>142</v>
      </c>
      <c r="J88" s="29">
        <f>(IF(B81&gt;1,(H81/(B81+2)+J87),0))</f>
        <v>0</v>
      </c>
    </row>
    <row r="89" spans="1:10" ht="15" customHeight="1" x14ac:dyDescent="0.3">
      <c r="A89" s="83" t="s">
        <v>131</v>
      </c>
      <c r="B89" s="84" t="s">
        <v>128</v>
      </c>
      <c r="C89" s="57">
        <v>0</v>
      </c>
      <c r="D89" s="18">
        <f ca="1">((100/(H81))*C89)/100</f>
        <v>0</v>
      </c>
      <c r="E89" s="189"/>
      <c r="F89" s="190"/>
      <c r="G89" s="189"/>
      <c r="H89" s="194"/>
      <c r="I89" s="13" t="s">
        <v>139</v>
      </c>
      <c r="J89" s="29">
        <f>(IF(B81&gt;2,(H81/(B81+2)+J88),0))</f>
        <v>0</v>
      </c>
    </row>
    <row r="90" spans="1:10" ht="15.75" customHeight="1" x14ac:dyDescent="0.3">
      <c r="A90" s="83" t="s">
        <v>127</v>
      </c>
      <c r="B90" s="84" t="s">
        <v>127</v>
      </c>
      <c r="C90" s="57">
        <v>0</v>
      </c>
      <c r="D90" s="18">
        <f ca="1">((100/H81)*C90)/100</f>
        <v>0</v>
      </c>
      <c r="E90" s="189"/>
      <c r="F90" s="190"/>
      <c r="G90" s="189"/>
      <c r="H90" s="194"/>
      <c r="I90" s="13" t="s">
        <v>140</v>
      </c>
      <c r="J90" s="30">
        <f>(IF(B81&gt;3,(H81/(B81+2)+J89),0))</f>
        <v>0</v>
      </c>
    </row>
    <row r="91" spans="1:10" ht="15.75" customHeight="1" x14ac:dyDescent="0.3">
      <c r="A91" s="83" t="s">
        <v>134</v>
      </c>
      <c r="B91" s="84"/>
      <c r="C91" s="57">
        <v>0</v>
      </c>
      <c r="D91" s="18">
        <f ca="1">((100/H81)*C91)/100</f>
        <v>0</v>
      </c>
      <c r="E91" s="189"/>
      <c r="F91" s="190"/>
      <c r="G91" s="189"/>
      <c r="H91" s="194"/>
      <c r="I91" s="13" t="s">
        <v>141</v>
      </c>
      <c r="J91" s="29">
        <f>(IF(B81&gt;4,(H81/(B81+2)+J90),0))</f>
        <v>0</v>
      </c>
    </row>
    <row r="92" spans="1:10" ht="15.75" customHeight="1" x14ac:dyDescent="0.3">
      <c r="A92" s="83" t="s">
        <v>129</v>
      </c>
      <c r="B92" s="84" t="s">
        <v>129</v>
      </c>
      <c r="C92" s="57">
        <v>0</v>
      </c>
      <c r="D92" s="18">
        <f ca="1">((100/(H81))*C92)/100</f>
        <v>0</v>
      </c>
      <c r="E92" s="189"/>
      <c r="F92" s="190"/>
      <c r="G92" s="189"/>
      <c r="H92" s="194"/>
      <c r="I92" s="13" t="s">
        <v>143</v>
      </c>
      <c r="J92" s="29">
        <f ca="1">(IF(B81=1,(H81/(B81+3)+J87),IF(B81=0,(H81/4+J87),IF(B81&gt;1,0))))</f>
        <v>13.5</v>
      </c>
    </row>
    <row r="93" spans="1:10" ht="16.2" thickBot="1" x14ac:dyDescent="0.35">
      <c r="A93" s="147" t="s">
        <v>130</v>
      </c>
      <c r="B93" s="148"/>
      <c r="C93" s="59">
        <v>0</v>
      </c>
      <c r="D93" s="19">
        <f ca="1">((100/(H81))*C93)/100</f>
        <v>0</v>
      </c>
      <c r="E93" s="191"/>
      <c r="F93" s="192"/>
      <c r="G93" s="191"/>
      <c r="H93" s="195"/>
      <c r="I93" s="14" t="s">
        <v>103</v>
      </c>
      <c r="J93" s="31">
        <f ca="1">(IF(B81&gt;1.5,(H81/(B81+2)+J87+MAX(0,J88-J87)+MAX(0,J89-J88)+MAX(0,J90-J89)+MAX(0,J91-J90)+MAX(0,J92-J91)),IF(B81=1,(H81/(B81+3)+J92),IF(B81=0,H81/4+J92))))</f>
        <v>18</v>
      </c>
    </row>
    <row r="94" spans="1:10" x14ac:dyDescent="0.3">
      <c r="A94" s="200" t="s">
        <v>153</v>
      </c>
      <c r="B94" s="200"/>
      <c r="C94" s="200"/>
      <c r="D94" s="200"/>
      <c r="E94" s="200"/>
      <c r="F94" s="186" t="s">
        <v>158</v>
      </c>
      <c r="G94" s="186"/>
      <c r="H94" s="186"/>
    </row>
    <row r="95" spans="1:10" x14ac:dyDescent="0.3">
      <c r="A95" s="77" t="s">
        <v>156</v>
      </c>
      <c r="B95" s="77"/>
      <c r="C95" s="77"/>
      <c r="D95" s="77"/>
      <c r="E95" s="77"/>
      <c r="F95" s="90">
        <v>5500</v>
      </c>
      <c r="G95" s="90"/>
      <c r="H95" s="90"/>
      <c r="I95" s="20" t="s">
        <v>230</v>
      </c>
    </row>
    <row r="96" spans="1:10" x14ac:dyDescent="0.3">
      <c r="A96" s="77" t="s">
        <v>155</v>
      </c>
      <c r="B96" s="77"/>
      <c r="C96" s="77"/>
      <c r="D96" s="77"/>
      <c r="E96" s="77"/>
      <c r="F96" s="90">
        <v>12000</v>
      </c>
      <c r="G96" s="90"/>
      <c r="H96" s="90"/>
    </row>
    <row r="97" spans="1:8" hidden="1" x14ac:dyDescent="0.3">
      <c r="A97" s="77" t="s">
        <v>157</v>
      </c>
      <c r="B97" s="77"/>
      <c r="C97" s="77"/>
      <c r="D97" s="77"/>
      <c r="E97" s="77"/>
      <c r="F97" s="90"/>
      <c r="G97" s="90"/>
      <c r="H97" s="90"/>
    </row>
    <row r="98" spans="1:8" s="32" customFormat="1" hidden="1" x14ac:dyDescent="0.25">
      <c r="A98" s="77" t="s">
        <v>154</v>
      </c>
      <c r="B98" s="77"/>
      <c r="C98" s="77"/>
      <c r="D98" s="77"/>
      <c r="E98" s="77"/>
      <c r="F98" s="90"/>
      <c r="G98" s="90"/>
      <c r="H98" s="90"/>
    </row>
    <row r="99" spans="1:8" s="32" customFormat="1" x14ac:dyDescent="0.25">
      <c r="A99" s="77" t="s">
        <v>95</v>
      </c>
      <c r="B99" s="77"/>
      <c r="C99" s="77"/>
      <c r="D99" s="77"/>
      <c r="E99" s="77"/>
      <c r="F99" s="90">
        <v>100000</v>
      </c>
      <c r="G99" s="90"/>
      <c r="H99" s="90"/>
    </row>
    <row r="100" spans="1:8" s="32" customFormat="1" hidden="1" x14ac:dyDescent="0.25">
      <c r="A100" s="77" t="s">
        <v>96</v>
      </c>
      <c r="B100" s="77"/>
      <c r="C100" s="77"/>
      <c r="D100" s="77"/>
      <c r="E100" s="77"/>
      <c r="F100" s="90"/>
      <c r="G100" s="90"/>
      <c r="H100" s="90"/>
    </row>
    <row r="101" spans="1:8" s="32" customFormat="1" x14ac:dyDescent="0.25">
      <c r="A101" s="77" t="s">
        <v>97</v>
      </c>
      <c r="B101" s="77"/>
      <c r="C101" s="77"/>
      <c r="D101" s="77"/>
      <c r="E101" s="77"/>
      <c r="F101" s="90">
        <v>80000</v>
      </c>
      <c r="G101" s="90"/>
      <c r="H101" s="90"/>
    </row>
    <row r="102" spans="1:8" s="32" customFormat="1" x14ac:dyDescent="0.25">
      <c r="A102" s="167" t="s">
        <v>98</v>
      </c>
      <c r="B102" s="168"/>
      <c r="C102" s="168"/>
      <c r="D102" s="168"/>
      <c r="E102" s="169"/>
      <c r="F102" s="170">
        <v>30000</v>
      </c>
      <c r="G102" s="171"/>
      <c r="H102" s="172"/>
    </row>
    <row r="103" spans="1:8" s="32" customFormat="1" x14ac:dyDescent="0.25">
      <c r="A103" s="77" t="s">
        <v>199</v>
      </c>
      <c r="B103" s="77"/>
      <c r="C103" s="77"/>
      <c r="D103" s="77"/>
      <c r="E103" s="77"/>
      <c r="F103" s="90">
        <v>40000</v>
      </c>
      <c r="G103" s="90"/>
      <c r="H103" s="90"/>
    </row>
    <row r="104" spans="1:8" x14ac:dyDescent="0.3">
      <c r="A104" s="77" t="s">
        <v>52</v>
      </c>
      <c r="B104" s="77"/>
      <c r="C104" s="77"/>
      <c r="D104" s="77"/>
      <c r="E104" s="77"/>
      <c r="F104" s="90">
        <v>300000</v>
      </c>
      <c r="G104" s="90"/>
      <c r="H104" s="90"/>
    </row>
    <row r="105" spans="1:8" s="33" customFormat="1" x14ac:dyDescent="0.3">
      <c r="A105" s="129" t="s">
        <v>53</v>
      </c>
      <c r="B105" s="129"/>
      <c r="C105" s="129"/>
      <c r="D105" s="129"/>
      <c r="E105" s="129"/>
      <c r="F105" s="130">
        <f>F95*0.8</f>
        <v>4400</v>
      </c>
      <c r="G105" s="130"/>
      <c r="H105" s="130"/>
    </row>
    <row r="106" spans="1:8" s="34" customFormat="1" ht="15.75" customHeight="1" x14ac:dyDescent="0.3">
      <c r="A106" s="128" t="s">
        <v>228</v>
      </c>
      <c r="B106" s="128"/>
      <c r="C106" s="128"/>
      <c r="D106" s="128"/>
      <c r="E106" s="128"/>
      <c r="F106" s="128"/>
      <c r="G106" s="128"/>
      <c r="H106" s="128"/>
    </row>
    <row r="107" spans="1:8" s="34" customFormat="1" ht="15.75" customHeight="1" x14ac:dyDescent="0.3">
      <c r="A107" s="80" t="s">
        <v>54</v>
      </c>
      <c r="B107" s="80"/>
      <c r="C107" s="119" t="s">
        <v>78</v>
      </c>
      <c r="D107" s="119"/>
      <c r="E107" s="114" t="s">
        <v>55</v>
      </c>
      <c r="F107" s="114"/>
      <c r="G107" s="80" t="s">
        <v>56</v>
      </c>
      <c r="H107" s="80"/>
    </row>
    <row r="108" spans="1:8" s="34" customFormat="1" x14ac:dyDescent="0.3">
      <c r="A108" s="68" t="s">
        <v>188</v>
      </c>
      <c r="B108" s="69"/>
      <c r="C108" s="91">
        <f>COUNT(D123:D142)</f>
        <v>20</v>
      </c>
      <c r="D108" s="92"/>
      <c r="E108" s="91">
        <f>SUM(F123:F142)</f>
        <v>3063.5420400000003</v>
      </c>
      <c r="F108" s="92"/>
      <c r="G108" s="91">
        <f>SUM(H123:H142)</f>
        <v>6840.4135527000008</v>
      </c>
      <c r="H108" s="92"/>
    </row>
    <row r="109" spans="1:8" s="34" customFormat="1" x14ac:dyDescent="0.3">
      <c r="A109" s="68" t="s">
        <v>190</v>
      </c>
      <c r="B109" s="69"/>
      <c r="C109" s="91">
        <f>COUNT(D145:D150)</f>
        <v>6</v>
      </c>
      <c r="D109" s="92"/>
      <c r="E109" s="91">
        <f>SUM(F145:F150)</f>
        <v>820.00152000000003</v>
      </c>
      <c r="F109" s="92"/>
      <c r="G109" s="91">
        <f>SUM(H145:H150)</f>
        <v>1883.0789172</v>
      </c>
      <c r="H109" s="92"/>
    </row>
    <row r="110" spans="1:8" s="34" customFormat="1" x14ac:dyDescent="0.3">
      <c r="A110" s="128" t="s">
        <v>146</v>
      </c>
      <c r="B110" s="128"/>
      <c r="C110" s="184">
        <f>SUM(C108:C109)</f>
        <v>26</v>
      </c>
      <c r="D110" s="119"/>
      <c r="E110" s="184">
        <f t="shared" ref="E110" si="0">SUM(E108:E109)</f>
        <v>3883.5435600000001</v>
      </c>
      <c r="F110" s="119"/>
      <c r="G110" s="184">
        <f t="shared" ref="G110" si="1">SUM(G108:G109)</f>
        <v>8723.4924699000003</v>
      </c>
      <c r="H110" s="119"/>
    </row>
    <row r="111" spans="1:8" s="34" customFormat="1" x14ac:dyDescent="0.3">
      <c r="A111" s="128" t="s">
        <v>227</v>
      </c>
      <c r="B111" s="128"/>
      <c r="C111" s="128"/>
      <c r="D111" s="128"/>
      <c r="E111" s="128"/>
      <c r="F111" s="128"/>
      <c r="G111" s="128"/>
      <c r="H111" s="128"/>
    </row>
    <row r="112" spans="1:8" s="34" customFormat="1" ht="15.75" customHeight="1" x14ac:dyDescent="0.3">
      <c r="A112" s="80" t="s">
        <v>54</v>
      </c>
      <c r="B112" s="80"/>
      <c r="C112" s="119" t="s">
        <v>78</v>
      </c>
      <c r="D112" s="119"/>
      <c r="E112" s="114" t="s">
        <v>55</v>
      </c>
      <c r="F112" s="114"/>
      <c r="G112" s="80" t="s">
        <v>56</v>
      </c>
      <c r="H112" s="80"/>
    </row>
    <row r="113" spans="1:14" s="34" customFormat="1" x14ac:dyDescent="0.3">
      <c r="A113" s="68" t="s">
        <v>188</v>
      </c>
      <c r="B113" s="69"/>
      <c r="C113" s="91">
        <f>COUNT(D156:D166)+COUNT(D168:D178)*6+COUNT(D180:D183,D185:D190)*2+COUNT(D192:D202)*5</f>
        <v>152</v>
      </c>
      <c r="D113" s="91"/>
      <c r="E113" s="91">
        <f>SUM(F156:F166)+SUM(F168:F178)*6+SUM(F180:F183,F185:F190)*2+SUM(F192:F202)*5</f>
        <v>52520.812109999999</v>
      </c>
      <c r="F113" s="91"/>
      <c r="G113" s="91">
        <f>SUM(H156:H166)+SUM(H168:H178)*6+SUM(H180:H183,H185:H190)*2+SUM(H192:H202)*5</f>
        <v>79388.015343000006</v>
      </c>
      <c r="H113" s="91"/>
    </row>
    <row r="114" spans="1:14" s="34" customFormat="1" x14ac:dyDescent="0.3">
      <c r="A114" s="68" t="s">
        <v>190</v>
      </c>
      <c r="B114" s="69"/>
      <c r="C114" s="91">
        <f>COUNT(D205:D216)+COUNT(D218:D229)*15+COUNT(D232:D242)*2</f>
        <v>214</v>
      </c>
      <c r="D114" s="91"/>
      <c r="E114" s="91">
        <f>SUM(F205:F216)+SUM(F218:F229)*15+SUM(F232:F242)*2</f>
        <v>49841.410320000003</v>
      </c>
      <c r="F114" s="91"/>
      <c r="G114" s="91">
        <f>SUM(H205:H216)+SUM(H218:H229)*15+SUM(H232:H242)*2</f>
        <v>74831.973839999991</v>
      </c>
      <c r="H114" s="91"/>
    </row>
    <row r="115" spans="1:14" s="34" customFormat="1" ht="16.2" thickBot="1" x14ac:dyDescent="0.35">
      <c r="A115" s="185" t="s">
        <v>146</v>
      </c>
      <c r="B115" s="185"/>
      <c r="C115" s="177">
        <f>SUM(C113:C114)</f>
        <v>366</v>
      </c>
      <c r="D115" s="178"/>
      <c r="E115" s="177">
        <f t="shared" ref="E115" si="2">SUM(E113:E114)</f>
        <v>102362.22242999999</v>
      </c>
      <c r="F115" s="178"/>
      <c r="G115" s="177">
        <f t="shared" ref="G115" si="3">SUM(G113:G114)</f>
        <v>154219.989183</v>
      </c>
      <c r="H115" s="178"/>
    </row>
    <row r="116" spans="1:14" s="34" customFormat="1" ht="16.2" thickBot="1" x14ac:dyDescent="0.35">
      <c r="A116" s="179" t="s">
        <v>164</v>
      </c>
      <c r="B116" s="180"/>
      <c r="C116" s="173">
        <f>C110+C115</f>
        <v>392</v>
      </c>
      <c r="D116" s="173"/>
      <c r="E116" s="174">
        <f>E110+E115</f>
        <v>106245.76599</v>
      </c>
      <c r="F116" s="174"/>
      <c r="G116" s="175">
        <f>G110+G115</f>
        <v>162943.48165289999</v>
      </c>
      <c r="H116" s="176"/>
    </row>
    <row r="117" spans="1:14" s="33" customFormat="1" x14ac:dyDescent="0.3">
      <c r="A117" s="186" t="s">
        <v>57</v>
      </c>
      <c r="B117" s="186"/>
      <c r="C117" s="186"/>
      <c r="D117" s="186"/>
      <c r="E117" s="186"/>
      <c r="F117" s="186"/>
      <c r="G117" s="186"/>
      <c r="H117" s="186"/>
    </row>
    <row r="118" spans="1:14" x14ac:dyDescent="0.3">
      <c r="A118" s="121" t="s">
        <v>58</v>
      </c>
      <c r="B118" s="121"/>
      <c r="C118" s="121"/>
      <c r="D118" s="121"/>
      <c r="E118" s="121"/>
      <c r="F118" s="121"/>
      <c r="G118" s="121"/>
      <c r="H118" s="121"/>
    </row>
    <row r="119" spans="1:14" ht="47.25" customHeight="1" x14ac:dyDescent="0.3">
      <c r="A119" s="81" t="s">
        <v>226</v>
      </c>
      <c r="B119" s="81" t="s">
        <v>213</v>
      </c>
      <c r="C119" s="81" t="s">
        <v>59</v>
      </c>
      <c r="D119" s="81" t="s">
        <v>214</v>
      </c>
      <c r="E119" s="108" t="s">
        <v>215</v>
      </c>
      <c r="F119" s="81" t="s">
        <v>60</v>
      </c>
      <c r="G119" s="108" t="s">
        <v>152</v>
      </c>
      <c r="H119" s="60" t="s">
        <v>145</v>
      </c>
    </row>
    <row r="120" spans="1:14" s="36" customFormat="1" x14ac:dyDescent="0.3">
      <c r="A120" s="82"/>
      <c r="B120" s="82"/>
      <c r="C120" s="82"/>
      <c r="D120" s="82"/>
      <c r="E120" s="109"/>
      <c r="F120" s="82"/>
      <c r="G120" s="109"/>
      <c r="H120" s="62">
        <v>0.55000000000000004</v>
      </c>
    </row>
    <row r="121" spans="1:14" s="36" customFormat="1" x14ac:dyDescent="0.3">
      <c r="A121" s="97" t="s">
        <v>188</v>
      </c>
      <c r="B121" s="97"/>
      <c r="C121" s="97"/>
      <c r="D121" s="97"/>
      <c r="E121" s="97"/>
      <c r="F121" s="97"/>
      <c r="G121" s="97"/>
      <c r="H121" s="97"/>
      <c r="J121" s="35"/>
    </row>
    <row r="122" spans="1:14" s="36" customFormat="1" x14ac:dyDescent="0.3">
      <c r="A122" s="97" t="s">
        <v>191</v>
      </c>
      <c r="B122" s="97"/>
      <c r="C122" s="97"/>
      <c r="D122" s="97"/>
      <c r="E122" s="97"/>
      <c r="F122" s="97"/>
      <c r="G122" s="97"/>
      <c r="H122" s="97"/>
      <c r="J122" s="35"/>
    </row>
    <row r="123" spans="1:14" s="36" customFormat="1" ht="15.75" customHeight="1" x14ac:dyDescent="0.3">
      <c r="A123" s="79">
        <v>7</v>
      </c>
      <c r="B123" s="79"/>
      <c r="C123" s="41" t="s">
        <v>192</v>
      </c>
      <c r="D123" s="50">
        <f>(20.47)*(10.764)</f>
        <v>220.33907999999997</v>
      </c>
      <c r="E123" s="50">
        <v>0</v>
      </c>
      <c r="F123" s="41">
        <f>D123+(IF(E123&lt;201,E123,IF(E123&lt;301,E123/2,E123/3)))</f>
        <v>220.33907999999997</v>
      </c>
      <c r="G123" s="50">
        <f>(3*2.75+0.74*1.4)*(10.764)</f>
        <v>99.954503999999986</v>
      </c>
      <c r="H123" s="41">
        <f>(F123+(IF(G123&lt;101,G123,IF(G123&lt;201,G123/2,IF(G123&lt;=301,G123/3,G123/4)))))*(($H$120)+1)</f>
        <v>496.45505519999995</v>
      </c>
      <c r="I123" s="35"/>
      <c r="L123" s="181"/>
      <c r="M123" s="181"/>
      <c r="N123" s="35"/>
    </row>
    <row r="124" spans="1:14" s="36" customFormat="1" ht="15.75" customHeight="1" x14ac:dyDescent="0.3">
      <c r="A124" s="79">
        <f t="shared" ref="A124:A142" si="4">A123+1</f>
        <v>8</v>
      </c>
      <c r="B124" s="79"/>
      <c r="C124" s="41" t="s">
        <v>192</v>
      </c>
      <c r="D124" s="50">
        <f>(15.2)*(10.764)</f>
        <v>163.61279999999999</v>
      </c>
      <c r="E124" s="50">
        <v>0</v>
      </c>
      <c r="F124" s="41">
        <f t="shared" ref="F124:F126" si="5">(D124+E124)*(($F$120)+1)</f>
        <v>163.61279999999999</v>
      </c>
      <c r="G124" s="50">
        <f>(4*1.95)*(10.764)</f>
        <v>83.959199999999996</v>
      </c>
      <c r="H124" s="41">
        <f t="shared" ref="H124:H142" si="6">(F124+(IF(G124&lt;101,G124,IF(G124&lt;201,G124/2,IF(G124&lt;=301,G124/3,G124/4)))))*(($H$120)+1)</f>
        <v>383.73660000000001</v>
      </c>
      <c r="I124" s="35"/>
      <c r="L124" s="181"/>
      <c r="M124" s="181"/>
      <c r="N124" s="35"/>
    </row>
    <row r="125" spans="1:14" s="36" customFormat="1" ht="15.75" customHeight="1" x14ac:dyDescent="0.3">
      <c r="A125" s="79">
        <f t="shared" si="4"/>
        <v>9</v>
      </c>
      <c r="B125" s="79"/>
      <c r="C125" s="41" t="s">
        <v>192</v>
      </c>
      <c r="D125" s="50">
        <f>(21.47)*(10.764)</f>
        <v>231.10307999999998</v>
      </c>
      <c r="E125" s="50">
        <v>0</v>
      </c>
      <c r="F125" s="41">
        <f>(D125+E125)*(($F$120)+1)</f>
        <v>231.10307999999998</v>
      </c>
      <c r="G125" s="50">
        <f>(4*2.75)*(10.764)</f>
        <v>118.404</v>
      </c>
      <c r="H125" s="41">
        <f t="shared" si="6"/>
        <v>449.97287399999999</v>
      </c>
      <c r="I125" s="35"/>
      <c r="L125" s="181"/>
      <c r="M125" s="181"/>
      <c r="N125" s="35"/>
    </row>
    <row r="126" spans="1:14" s="36" customFormat="1" ht="15.75" customHeight="1" x14ac:dyDescent="0.3">
      <c r="A126" s="79">
        <f t="shared" si="4"/>
        <v>10</v>
      </c>
      <c r="B126" s="79"/>
      <c r="C126" s="41" t="s">
        <v>192</v>
      </c>
      <c r="D126" s="50">
        <f>(13.43)*(10.764)</f>
        <v>144.56052</v>
      </c>
      <c r="E126" s="50">
        <v>0</v>
      </c>
      <c r="F126" s="41">
        <f t="shared" si="5"/>
        <v>144.56052</v>
      </c>
      <c r="G126" s="50">
        <f>(2.75*2.3)*(10.764)</f>
        <v>68.082299999999989</v>
      </c>
      <c r="H126" s="41">
        <f t="shared" si="6"/>
        <v>329.59637099999998</v>
      </c>
      <c r="I126" s="35"/>
      <c r="L126" s="181"/>
      <c r="M126" s="181"/>
      <c r="N126" s="35"/>
    </row>
    <row r="127" spans="1:14" s="36" customFormat="1" x14ac:dyDescent="0.3">
      <c r="A127" s="79">
        <f t="shared" si="4"/>
        <v>11</v>
      </c>
      <c r="B127" s="79"/>
      <c r="C127" s="41" t="s">
        <v>192</v>
      </c>
      <c r="D127" s="50">
        <f>(9.07)*(10.764)</f>
        <v>97.629480000000001</v>
      </c>
      <c r="E127" s="50">
        <v>0</v>
      </c>
      <c r="F127" s="41">
        <f>(D127+E127)*(($F$120)+1)</f>
        <v>97.629480000000001</v>
      </c>
      <c r="G127" s="50">
        <f>(1.95*2.3)*(10.764)</f>
        <v>48.27653999999999</v>
      </c>
      <c r="H127" s="41">
        <f t="shared" si="6"/>
        <v>226.15433099999998</v>
      </c>
      <c r="I127" s="35"/>
      <c r="L127" s="181"/>
      <c r="M127" s="181"/>
      <c r="N127" s="35"/>
    </row>
    <row r="128" spans="1:14" s="36" customFormat="1" x14ac:dyDescent="0.3">
      <c r="A128" s="79">
        <f t="shared" si="4"/>
        <v>12</v>
      </c>
      <c r="B128" s="79"/>
      <c r="C128" s="41" t="s">
        <v>192</v>
      </c>
      <c r="D128" s="50">
        <f>(12.83)*(10.764)</f>
        <v>138.10211999999999</v>
      </c>
      <c r="E128" s="50">
        <v>0</v>
      </c>
      <c r="F128" s="41">
        <f t="shared" ref="F128:F130" si="7">(D128+E128)*(($F$120)+1)</f>
        <v>138.10211999999999</v>
      </c>
      <c r="G128" s="50">
        <f>(2.75*2.3)*(10.764)</f>
        <v>68.082299999999989</v>
      </c>
      <c r="H128" s="41">
        <f t="shared" si="6"/>
        <v>319.58585099999999</v>
      </c>
      <c r="I128" s="35">
        <f>2.75*4.55</f>
        <v>12.512499999999999</v>
      </c>
      <c r="L128" s="181"/>
      <c r="M128" s="181"/>
      <c r="N128" s="35"/>
    </row>
    <row r="129" spans="1:14" s="36" customFormat="1" x14ac:dyDescent="0.3">
      <c r="A129" s="79">
        <f t="shared" si="4"/>
        <v>13</v>
      </c>
      <c r="B129" s="79"/>
      <c r="C129" s="41" t="s">
        <v>192</v>
      </c>
      <c r="D129" s="50">
        <f>(12.83)*(10.764)</f>
        <v>138.10211999999999</v>
      </c>
      <c r="E129" s="50">
        <v>0</v>
      </c>
      <c r="F129" s="41">
        <f t="shared" si="7"/>
        <v>138.10211999999999</v>
      </c>
      <c r="G129" s="50">
        <f>(2.75*2.3)*(10.764)</f>
        <v>68.082299999999989</v>
      </c>
      <c r="H129" s="41">
        <f t="shared" si="6"/>
        <v>319.58585099999999</v>
      </c>
      <c r="I129" s="35"/>
      <c r="L129" s="181"/>
      <c r="M129" s="181"/>
      <c r="N129" s="35"/>
    </row>
    <row r="130" spans="1:14" s="36" customFormat="1" x14ac:dyDescent="0.3">
      <c r="A130" s="79">
        <f t="shared" si="4"/>
        <v>14</v>
      </c>
      <c r="B130" s="79"/>
      <c r="C130" s="41" t="s">
        <v>192</v>
      </c>
      <c r="D130" s="50">
        <f>(9.07)*(10.764)</f>
        <v>97.629480000000001</v>
      </c>
      <c r="E130" s="50">
        <v>0</v>
      </c>
      <c r="F130" s="41">
        <f t="shared" si="7"/>
        <v>97.629480000000001</v>
      </c>
      <c r="G130" s="50">
        <f>(1.95*2.3)*(10.764)</f>
        <v>48.27653999999999</v>
      </c>
      <c r="H130" s="41">
        <f t="shared" si="6"/>
        <v>226.15433099999998</v>
      </c>
      <c r="I130" s="35"/>
      <c r="L130" s="181"/>
      <c r="M130" s="181"/>
      <c r="N130" s="35"/>
    </row>
    <row r="131" spans="1:14" s="36" customFormat="1" x14ac:dyDescent="0.3">
      <c r="A131" s="79">
        <f t="shared" si="4"/>
        <v>15</v>
      </c>
      <c r="B131" s="79"/>
      <c r="C131" s="41" t="s">
        <v>192</v>
      </c>
      <c r="D131" s="50">
        <f>(12.83)*(10.764)</f>
        <v>138.10211999999999</v>
      </c>
      <c r="E131" s="50">
        <v>0</v>
      </c>
      <c r="F131" s="41">
        <f>(D131+E131)*(($F$120)+1)</f>
        <v>138.10211999999999</v>
      </c>
      <c r="G131" s="50">
        <f>(2.75*2.3)*(10.764)</f>
        <v>68.082299999999989</v>
      </c>
      <c r="H131" s="41">
        <f t="shared" si="6"/>
        <v>319.58585099999999</v>
      </c>
      <c r="I131" s="35"/>
      <c r="L131" s="181"/>
      <c r="M131" s="181"/>
      <c r="N131" s="35"/>
    </row>
    <row r="132" spans="1:14" s="36" customFormat="1" x14ac:dyDescent="0.3">
      <c r="A132" s="79">
        <f t="shared" si="4"/>
        <v>16</v>
      </c>
      <c r="B132" s="79"/>
      <c r="C132" s="41" t="s">
        <v>192</v>
      </c>
      <c r="D132" s="50">
        <f>(15.64)*(10.764)</f>
        <v>168.34896000000001</v>
      </c>
      <c r="E132" s="50">
        <v>0</v>
      </c>
      <c r="F132" s="41">
        <f t="shared" ref="F132:F134" si="8">(D132+E132)*(($F$120)+1)</f>
        <v>168.34896000000001</v>
      </c>
      <c r="G132" s="50">
        <f>(2.75*1.5+1.7*1.65)*(10.764)</f>
        <v>74.594519999999989</v>
      </c>
      <c r="H132" s="41">
        <f t="shared" si="6"/>
        <v>376.56239399999998</v>
      </c>
      <c r="I132" s="35"/>
      <c r="L132" s="181"/>
      <c r="M132" s="181"/>
      <c r="N132" s="35"/>
    </row>
    <row r="133" spans="1:14" s="36" customFormat="1" x14ac:dyDescent="0.3">
      <c r="A133" s="79">
        <f t="shared" si="4"/>
        <v>17</v>
      </c>
      <c r="B133" s="79"/>
      <c r="C133" s="41" t="s">
        <v>192</v>
      </c>
      <c r="D133" s="50">
        <f>(12.29)*(10.764)</f>
        <v>132.28955999999999</v>
      </c>
      <c r="E133" s="50">
        <v>0</v>
      </c>
      <c r="F133" s="41">
        <f t="shared" si="8"/>
        <v>132.28955999999999</v>
      </c>
      <c r="G133" s="50">
        <f>(1.95*3.3)*(10.764)</f>
        <v>69.266339999999985</v>
      </c>
      <c r="H133" s="41">
        <f t="shared" si="6"/>
        <v>312.41164499999996</v>
      </c>
      <c r="I133" s="35"/>
      <c r="L133" s="181"/>
      <c r="M133" s="181"/>
      <c r="N133" s="35"/>
    </row>
    <row r="134" spans="1:14" s="36" customFormat="1" x14ac:dyDescent="0.3">
      <c r="A134" s="79">
        <f t="shared" si="4"/>
        <v>18</v>
      </c>
      <c r="B134" s="79"/>
      <c r="C134" s="41" t="s">
        <v>192</v>
      </c>
      <c r="D134" s="50">
        <f>(17.37)*(10.764)</f>
        <v>186.97067999999999</v>
      </c>
      <c r="E134" s="50">
        <v>0</v>
      </c>
      <c r="F134" s="41">
        <f t="shared" si="8"/>
        <v>186.97067999999999</v>
      </c>
      <c r="G134" s="50">
        <f>(2.75*3.3)*(10.764)</f>
        <v>97.683299999999988</v>
      </c>
      <c r="H134" s="41">
        <f t="shared" si="6"/>
        <v>441.21366899999998</v>
      </c>
      <c r="I134" s="35"/>
      <c r="L134" s="181"/>
      <c r="M134" s="181"/>
      <c r="N134" s="35"/>
    </row>
    <row r="135" spans="1:14" s="36" customFormat="1" x14ac:dyDescent="0.3">
      <c r="A135" s="79">
        <f t="shared" si="4"/>
        <v>19</v>
      </c>
      <c r="B135" s="79"/>
      <c r="C135" s="41" t="s">
        <v>192</v>
      </c>
      <c r="D135" s="50">
        <f>(18.96)*(10.764)</f>
        <v>204.08544000000001</v>
      </c>
      <c r="E135" s="50">
        <v>0</v>
      </c>
      <c r="F135" s="41">
        <f>(D135+E135)*(($F$120)+1)</f>
        <v>204.08544000000001</v>
      </c>
      <c r="G135" s="50">
        <f>(3*3.3)*(10.764)</f>
        <v>106.56359999999998</v>
      </c>
      <c r="H135" s="41">
        <f t="shared" si="6"/>
        <v>398.91922199999999</v>
      </c>
      <c r="I135" s="35"/>
      <c r="L135" s="181"/>
      <c r="M135" s="181"/>
      <c r="N135" s="35"/>
    </row>
    <row r="136" spans="1:14" s="36" customFormat="1" x14ac:dyDescent="0.3">
      <c r="A136" s="79">
        <f t="shared" si="4"/>
        <v>20</v>
      </c>
      <c r="B136" s="79"/>
      <c r="C136" s="41" t="s">
        <v>192</v>
      </c>
      <c r="D136" s="50">
        <f>(19.97)*(10.764)</f>
        <v>214.95707999999996</v>
      </c>
      <c r="E136" s="50">
        <v>0</v>
      </c>
      <c r="F136" s="41">
        <f t="shared" ref="F136:F138" si="9">(D136+E136)*(($F$120)+1)</f>
        <v>214.95707999999996</v>
      </c>
      <c r="G136" s="50">
        <f>(4.25*2.3)*(10.764)</f>
        <v>105.21809999999998</v>
      </c>
      <c r="H136" s="41">
        <f t="shared" si="6"/>
        <v>414.7275014999999</v>
      </c>
      <c r="I136" s="35">
        <f>4.25*4.55</f>
        <v>19.337499999999999</v>
      </c>
      <c r="L136" s="181"/>
      <c r="M136" s="181"/>
      <c r="N136" s="35"/>
    </row>
    <row r="137" spans="1:14" s="36" customFormat="1" x14ac:dyDescent="0.3">
      <c r="A137" s="79">
        <f t="shared" si="4"/>
        <v>21</v>
      </c>
      <c r="B137" s="79"/>
      <c r="C137" s="41" t="s">
        <v>192</v>
      </c>
      <c r="D137" s="50">
        <f>(14.39)*(10.764)</f>
        <v>154.89395999999999</v>
      </c>
      <c r="E137" s="50">
        <v>0</v>
      </c>
      <c r="F137" s="41">
        <f t="shared" si="9"/>
        <v>154.89395999999999</v>
      </c>
      <c r="G137" s="50">
        <f>F137*0.5</f>
        <v>77.446979999999996</v>
      </c>
      <c r="H137" s="41">
        <f t="shared" si="6"/>
        <v>360.12845699999997</v>
      </c>
      <c r="I137" s="35"/>
      <c r="L137" s="181"/>
      <c r="M137" s="181"/>
      <c r="N137" s="35"/>
    </row>
    <row r="138" spans="1:14" s="36" customFormat="1" x14ac:dyDescent="0.3">
      <c r="A138" s="79">
        <f t="shared" si="4"/>
        <v>22</v>
      </c>
      <c r="B138" s="79"/>
      <c r="C138" s="41" t="s">
        <v>192</v>
      </c>
      <c r="D138" s="50">
        <f>(11.19)*(10.764)</f>
        <v>120.44915999999999</v>
      </c>
      <c r="E138" s="50">
        <v>0</v>
      </c>
      <c r="F138" s="41">
        <f t="shared" si="9"/>
        <v>120.44915999999999</v>
      </c>
      <c r="G138" s="50">
        <f>F138*0.5</f>
        <v>60.224579999999996</v>
      </c>
      <c r="H138" s="41">
        <f t="shared" si="6"/>
        <v>280.04429699999997</v>
      </c>
      <c r="I138" s="35"/>
      <c r="L138" s="181"/>
      <c r="M138" s="181"/>
      <c r="N138" s="35"/>
    </row>
    <row r="139" spans="1:14" s="36" customFormat="1" x14ac:dyDescent="0.3">
      <c r="A139" s="79">
        <f t="shared" si="4"/>
        <v>23</v>
      </c>
      <c r="B139" s="79"/>
      <c r="C139" s="41" t="s">
        <v>192</v>
      </c>
      <c r="D139" s="50">
        <f>(12.84)*(10.764)</f>
        <v>138.20975999999999</v>
      </c>
      <c r="E139" s="50">
        <v>0</v>
      </c>
      <c r="F139" s="41">
        <f>(D139+E139)*(($F$120)+1)</f>
        <v>138.20975999999999</v>
      </c>
      <c r="G139" s="50">
        <f>(2.75*2.3)*(10.764)</f>
        <v>68.082299999999989</v>
      </c>
      <c r="H139" s="41">
        <f t="shared" si="6"/>
        <v>319.75269300000002</v>
      </c>
      <c r="I139" s="35"/>
      <c r="L139" s="181"/>
      <c r="M139" s="181"/>
      <c r="N139" s="35"/>
    </row>
    <row r="140" spans="1:14" s="36" customFormat="1" x14ac:dyDescent="0.3">
      <c r="A140" s="79">
        <f t="shared" si="4"/>
        <v>24</v>
      </c>
      <c r="B140" s="79"/>
      <c r="C140" s="41" t="s">
        <v>192</v>
      </c>
      <c r="D140" s="50">
        <f>(12.84)*(10.764)</f>
        <v>138.20975999999999</v>
      </c>
      <c r="E140" s="50">
        <v>0</v>
      </c>
      <c r="F140" s="41">
        <f t="shared" ref="F140:F142" si="10">(D140+E140)*(($F$120)+1)</f>
        <v>138.20975999999999</v>
      </c>
      <c r="G140" s="50">
        <f>(2.75*2.3)*(10.764)</f>
        <v>68.082299999999989</v>
      </c>
      <c r="H140" s="41">
        <f t="shared" si="6"/>
        <v>319.75269300000002</v>
      </c>
      <c r="I140" s="35"/>
      <c r="L140" s="181"/>
      <c r="M140" s="181"/>
      <c r="N140" s="35"/>
    </row>
    <row r="141" spans="1:14" s="36" customFormat="1" x14ac:dyDescent="0.3">
      <c r="A141" s="79">
        <f t="shared" si="4"/>
        <v>25</v>
      </c>
      <c r="B141" s="79"/>
      <c r="C141" s="41" t="s">
        <v>192</v>
      </c>
      <c r="D141" s="50">
        <f>(9.08)*(10.764)</f>
        <v>97.73711999999999</v>
      </c>
      <c r="E141" s="50">
        <v>0</v>
      </c>
      <c r="F141" s="41">
        <f t="shared" si="10"/>
        <v>97.73711999999999</v>
      </c>
      <c r="G141" s="50">
        <f>(1.95*2.3)*(10.764)</f>
        <v>48.27653999999999</v>
      </c>
      <c r="H141" s="41">
        <f t="shared" si="6"/>
        <v>226.32117299999999</v>
      </c>
      <c r="I141" s="50">
        <f>10.764</f>
        <v>10.763999999999999</v>
      </c>
      <c r="L141" s="181"/>
      <c r="M141" s="181"/>
      <c r="N141" s="35"/>
    </row>
    <row r="142" spans="1:14" s="36" customFormat="1" x14ac:dyDescent="0.3">
      <c r="A142" s="79">
        <f t="shared" si="4"/>
        <v>26</v>
      </c>
      <c r="B142" s="79"/>
      <c r="C142" s="41" t="s">
        <v>192</v>
      </c>
      <c r="D142" s="50">
        <f>(12.84)*(10.764)</f>
        <v>138.20975999999999</v>
      </c>
      <c r="E142" s="50">
        <v>0</v>
      </c>
      <c r="F142" s="41">
        <f t="shared" si="10"/>
        <v>138.20975999999999</v>
      </c>
      <c r="G142" s="50">
        <f>(2.75*2.3)*(10.764)</f>
        <v>68.082299999999989</v>
      </c>
      <c r="H142" s="41">
        <f t="shared" si="6"/>
        <v>319.75269300000002</v>
      </c>
      <c r="I142" s="35"/>
      <c r="L142" s="181"/>
      <c r="M142" s="181"/>
      <c r="N142" s="35"/>
    </row>
    <row r="143" spans="1:14" s="36" customFormat="1" x14ac:dyDescent="0.3">
      <c r="A143" s="196" t="s">
        <v>190</v>
      </c>
      <c r="B143" s="197"/>
      <c r="C143" s="197"/>
      <c r="D143" s="197"/>
      <c r="E143" s="197"/>
      <c r="F143" s="197"/>
      <c r="G143" s="197"/>
      <c r="H143" s="198"/>
      <c r="J143" s="35"/>
    </row>
    <row r="144" spans="1:14" s="36" customFormat="1" x14ac:dyDescent="0.3">
      <c r="A144" s="73" t="s">
        <v>223</v>
      </c>
      <c r="B144" s="74"/>
      <c r="C144" s="74"/>
      <c r="D144" s="74"/>
      <c r="E144" s="74"/>
      <c r="F144" s="74"/>
      <c r="G144" s="74"/>
      <c r="H144" s="75"/>
      <c r="J144" s="35"/>
    </row>
    <row r="145" spans="1:14" s="36" customFormat="1" ht="15.75" customHeight="1" x14ac:dyDescent="0.3">
      <c r="A145" s="65">
        <v>1</v>
      </c>
      <c r="B145" s="66"/>
      <c r="C145" s="41" t="s">
        <v>192</v>
      </c>
      <c r="D145" s="50">
        <f>(8.45)*(10.764)</f>
        <v>90.955799999999982</v>
      </c>
      <c r="E145" s="50">
        <v>0</v>
      </c>
      <c r="F145" s="41">
        <f t="shared" ref="F145:F150" si="11">(D145+E145)*(($F$120)+1)</f>
        <v>90.955799999999982</v>
      </c>
      <c r="G145" s="50">
        <f>(0.6*1.55+2.15*1.85)*(10.764)</f>
        <v>52.824329999999996</v>
      </c>
      <c r="H145" s="41">
        <f t="shared" ref="H145:H150" si="12">(F145+(IF(G145&lt;101,G145,IF(G145&lt;201,G145/2,IF(G145&lt;=301,G145/3,G145/4)))))*(($H$120)+1)</f>
        <v>222.85920149999998</v>
      </c>
      <c r="I145" s="35"/>
      <c r="L145" s="181"/>
      <c r="M145" s="181"/>
      <c r="N145" s="35"/>
    </row>
    <row r="146" spans="1:14" s="36" customFormat="1" ht="15.75" customHeight="1" x14ac:dyDescent="0.3">
      <c r="A146" s="65">
        <f t="shared" ref="A146:A150" si="13">A145+1</f>
        <v>2</v>
      </c>
      <c r="B146" s="66"/>
      <c r="C146" s="41" t="s">
        <v>192</v>
      </c>
      <c r="D146" s="50">
        <f>(9.27)*(10.764)</f>
        <v>99.782279999999986</v>
      </c>
      <c r="E146" s="50">
        <v>0</v>
      </c>
      <c r="F146" s="41">
        <f t="shared" si="11"/>
        <v>99.782279999999986</v>
      </c>
      <c r="G146" s="50">
        <f>(2.63*1.83)*(10.764)</f>
        <v>51.806055599999993</v>
      </c>
      <c r="H146" s="41">
        <f t="shared" si="12"/>
        <v>234.96192017999999</v>
      </c>
      <c r="I146" s="35"/>
      <c r="L146" s="181"/>
      <c r="M146" s="181"/>
      <c r="N146" s="35"/>
    </row>
    <row r="147" spans="1:14" s="36" customFormat="1" ht="15.75" customHeight="1" x14ac:dyDescent="0.3">
      <c r="A147" s="65">
        <f t="shared" si="13"/>
        <v>3</v>
      </c>
      <c r="B147" s="66"/>
      <c r="C147" s="41" t="s">
        <v>192</v>
      </c>
      <c r="D147" s="50">
        <f>(13.32)*(10.764)</f>
        <v>143.37647999999999</v>
      </c>
      <c r="E147" s="50">
        <v>0</v>
      </c>
      <c r="F147" s="41">
        <f t="shared" si="11"/>
        <v>143.37647999999999</v>
      </c>
      <c r="G147" s="50">
        <f>F147*0.33</f>
        <v>47.314238400000001</v>
      </c>
      <c r="H147" s="41">
        <f t="shared" si="12"/>
        <v>295.57061351999999</v>
      </c>
      <c r="I147" s="35">
        <f>(0.5*5*4.6)+(1.11*1.5)</f>
        <v>13.164999999999999</v>
      </c>
      <c r="L147" s="181"/>
      <c r="M147" s="181"/>
      <c r="N147" s="35"/>
    </row>
    <row r="148" spans="1:14" s="36" customFormat="1" ht="15.75" customHeight="1" x14ac:dyDescent="0.3">
      <c r="A148" s="65">
        <f t="shared" si="13"/>
        <v>4</v>
      </c>
      <c r="B148" s="66"/>
      <c r="C148" s="41" t="s">
        <v>192</v>
      </c>
      <c r="D148" s="50">
        <f>(14.58)*(10.764)</f>
        <v>156.93912</v>
      </c>
      <c r="E148" s="50">
        <v>0</v>
      </c>
      <c r="F148" s="41">
        <f t="shared" si="11"/>
        <v>156.93912</v>
      </c>
      <c r="G148" s="50">
        <f>F148*0.5</f>
        <v>78.469560000000001</v>
      </c>
      <c r="H148" s="41">
        <f t="shared" si="12"/>
        <v>364.88345400000003</v>
      </c>
      <c r="I148" s="35"/>
      <c r="L148" s="181"/>
      <c r="M148" s="181"/>
      <c r="N148" s="35"/>
    </row>
    <row r="149" spans="1:14" s="36" customFormat="1" ht="15.75" customHeight="1" x14ac:dyDescent="0.3">
      <c r="A149" s="65">
        <f t="shared" si="13"/>
        <v>5</v>
      </c>
      <c r="B149" s="66"/>
      <c r="C149" s="41" t="s">
        <v>192</v>
      </c>
      <c r="D149" s="50">
        <f>(12.68)*(10.764)</f>
        <v>136.48751999999999</v>
      </c>
      <c r="E149" s="50">
        <v>0</v>
      </c>
      <c r="F149" s="41">
        <f t="shared" si="11"/>
        <v>136.48751999999999</v>
      </c>
      <c r="G149" s="50">
        <f t="shared" ref="G149:G150" si="14">F149*0.5</f>
        <v>68.243759999999995</v>
      </c>
      <c r="H149" s="41">
        <f t="shared" si="12"/>
        <v>317.33348399999994</v>
      </c>
      <c r="I149" s="35"/>
      <c r="L149" s="181"/>
      <c r="M149" s="181"/>
      <c r="N149" s="35"/>
    </row>
    <row r="150" spans="1:14" s="36" customFormat="1" ht="15.75" customHeight="1" x14ac:dyDescent="0.3">
      <c r="A150" s="65">
        <f t="shared" si="13"/>
        <v>6</v>
      </c>
      <c r="B150" s="66"/>
      <c r="C150" s="41" t="s">
        <v>192</v>
      </c>
      <c r="D150" s="50">
        <f>(17.88)*(10.764)</f>
        <v>192.46031999999997</v>
      </c>
      <c r="E150" s="50">
        <v>0</v>
      </c>
      <c r="F150" s="41">
        <f t="shared" si="11"/>
        <v>192.46031999999997</v>
      </c>
      <c r="G150" s="50">
        <f t="shared" si="14"/>
        <v>96.230159999999984</v>
      </c>
      <c r="H150" s="41">
        <f t="shared" si="12"/>
        <v>447.47024399999998</v>
      </c>
      <c r="I150" s="35"/>
      <c r="L150" s="181"/>
      <c r="M150" s="181"/>
      <c r="N150" s="35"/>
    </row>
    <row r="151" spans="1:14" s="36" customFormat="1" x14ac:dyDescent="0.3">
      <c r="A151" s="65"/>
      <c r="B151" s="67"/>
      <c r="C151" s="67"/>
      <c r="D151" s="67"/>
      <c r="E151" s="67"/>
      <c r="F151" s="67"/>
      <c r="G151" s="67"/>
      <c r="H151" s="66"/>
      <c r="I151" s="35"/>
      <c r="N151" s="35"/>
    </row>
    <row r="152" spans="1:14" s="22" customFormat="1" ht="47.25" customHeight="1" x14ac:dyDescent="0.3">
      <c r="A152" s="182" t="s">
        <v>219</v>
      </c>
      <c r="B152" s="81" t="s">
        <v>216</v>
      </c>
      <c r="C152" s="81" t="s">
        <v>59</v>
      </c>
      <c r="D152" s="81" t="s">
        <v>217</v>
      </c>
      <c r="E152" s="81" t="s">
        <v>218</v>
      </c>
      <c r="F152" s="81" t="s">
        <v>60</v>
      </c>
      <c r="G152" s="108" t="s">
        <v>61</v>
      </c>
      <c r="H152" s="60" t="s">
        <v>145</v>
      </c>
      <c r="I152" s="61"/>
    </row>
    <row r="153" spans="1:14" s="63" customFormat="1" x14ac:dyDescent="0.3">
      <c r="A153" s="183"/>
      <c r="B153" s="82"/>
      <c r="C153" s="82"/>
      <c r="D153" s="82"/>
      <c r="E153" s="82"/>
      <c r="F153" s="82"/>
      <c r="G153" s="109"/>
      <c r="H153" s="62">
        <v>0.5</v>
      </c>
      <c r="I153" s="61"/>
    </row>
    <row r="154" spans="1:14" s="36" customFormat="1" x14ac:dyDescent="0.3">
      <c r="A154" s="97" t="s">
        <v>188</v>
      </c>
      <c r="B154" s="97"/>
      <c r="C154" s="97"/>
      <c r="D154" s="97"/>
      <c r="E154" s="97"/>
      <c r="F154" s="97"/>
      <c r="G154" s="97"/>
      <c r="H154" s="97"/>
      <c r="I154" s="35"/>
      <c r="L154" s="181"/>
      <c r="M154" s="181"/>
    </row>
    <row r="155" spans="1:14" s="36" customFormat="1" x14ac:dyDescent="0.3">
      <c r="A155" s="97" t="s">
        <v>193</v>
      </c>
      <c r="B155" s="97"/>
      <c r="C155" s="97"/>
      <c r="D155" s="97"/>
      <c r="E155" s="97"/>
      <c r="F155" s="97"/>
      <c r="G155" s="97"/>
      <c r="H155" s="97"/>
      <c r="I155" s="35"/>
      <c r="L155" s="181"/>
      <c r="M155" s="181"/>
    </row>
    <row r="156" spans="1:14" s="36" customFormat="1" ht="15.75" customHeight="1" x14ac:dyDescent="0.3">
      <c r="A156" s="79">
        <v>1</v>
      </c>
      <c r="B156" s="79"/>
      <c r="C156" s="41" t="s">
        <v>194</v>
      </c>
      <c r="D156" s="50">
        <f>(26.52)*(10.764)</f>
        <v>285.46127999999999</v>
      </c>
      <c r="E156" s="50">
        <f>0.75*(1.95+2.75)*10.764</f>
        <v>37.943100000000001</v>
      </c>
      <c r="F156" s="41">
        <f t="shared" ref="F156:F166" si="15">D156*(($F$153)+1)+(IF(E156&lt;101,E156,IF(E156&lt;201,E156/2,IF(E156&lt;=301,E156/3,E156/4))))</f>
        <v>323.40438</v>
      </c>
      <c r="G156" s="50">
        <f>(2*2.9+2.23*2.24+2.72*2.24+0.75*2.24+2.45*1.05+1.8*1.8+1.8*0.75)*(10.764)</f>
        <v>276.96310200000005</v>
      </c>
      <c r="H156" s="41">
        <f>F156*(($H$153)+1)+(IF(G156&lt;101,G156,IF(G156&lt;201,G156/2,IF(G156&lt;=301,G156/3,G156/4))))</f>
        <v>577.42760400000009</v>
      </c>
      <c r="I156" s="35"/>
      <c r="N156" s="35"/>
    </row>
    <row r="157" spans="1:14" s="36" customFormat="1" ht="15.75" customHeight="1" x14ac:dyDescent="0.3">
      <c r="A157" s="79">
        <f>A156+1</f>
        <v>2</v>
      </c>
      <c r="B157" s="79"/>
      <c r="C157" s="41" t="s">
        <v>194</v>
      </c>
      <c r="D157" s="50">
        <f t="shared" ref="D157:D178" si="16">(26.52)*(10.764)</f>
        <v>285.46127999999999</v>
      </c>
      <c r="E157" s="50">
        <f t="shared" ref="E157:E162" si="17">0.75*(1.95+2.75)*10.764</f>
        <v>37.943100000000001</v>
      </c>
      <c r="F157" s="41">
        <f t="shared" si="15"/>
        <v>323.40438</v>
      </c>
      <c r="G157" s="50">
        <f>(2.75*1.2+2.45*1.65+1.2*0.6)*(10.764)</f>
        <v>86.784749999999988</v>
      </c>
      <c r="H157" s="41">
        <f t="shared" ref="H157:H166" si="18">F157*(($H$153)+1)+(IF(G157&lt;101,G157,IF(G157&lt;201,G157/2,IF(G157&lt;=301,G157/3,G157/4))))</f>
        <v>571.89132000000006</v>
      </c>
      <c r="I157" s="35"/>
      <c r="N157" s="35"/>
    </row>
    <row r="158" spans="1:14" s="36" customFormat="1" ht="15.75" customHeight="1" x14ac:dyDescent="0.3">
      <c r="A158" s="79">
        <f>A157+1</f>
        <v>3</v>
      </c>
      <c r="B158" s="79"/>
      <c r="C158" s="41" t="s">
        <v>194</v>
      </c>
      <c r="D158" s="50">
        <f t="shared" si="16"/>
        <v>285.46127999999999</v>
      </c>
      <c r="E158" s="50">
        <f t="shared" si="17"/>
        <v>37.943100000000001</v>
      </c>
      <c r="F158" s="41">
        <f t="shared" si="15"/>
        <v>323.40438</v>
      </c>
      <c r="G158" s="50">
        <f>(2.75*1.2+2.3*1.65+1.2*0.6)*(10.764)</f>
        <v>84.120659999999987</v>
      </c>
      <c r="H158" s="41">
        <f t="shared" si="18"/>
        <v>569.22722999999996</v>
      </c>
      <c r="I158" s="35"/>
      <c r="N158" s="35"/>
    </row>
    <row r="159" spans="1:14" s="36" customFormat="1" ht="15.75" customHeight="1" x14ac:dyDescent="0.3">
      <c r="A159" s="79">
        <f>A158+1</f>
        <v>4</v>
      </c>
      <c r="B159" s="79"/>
      <c r="C159" s="41" t="s">
        <v>194</v>
      </c>
      <c r="D159" s="50">
        <f t="shared" si="16"/>
        <v>285.46127999999999</v>
      </c>
      <c r="E159" s="50">
        <f t="shared" si="17"/>
        <v>37.943100000000001</v>
      </c>
      <c r="F159" s="41">
        <f t="shared" si="15"/>
        <v>323.40438</v>
      </c>
      <c r="G159" s="50">
        <f>(2.75*1.2+2.3*1.65+1.2*0.6)*(10.764)</f>
        <v>84.120659999999987</v>
      </c>
      <c r="H159" s="41">
        <f t="shared" si="18"/>
        <v>569.22722999999996</v>
      </c>
      <c r="I159" s="35"/>
      <c r="N159" s="35"/>
    </row>
    <row r="160" spans="1:14" s="36" customFormat="1" ht="15.75" customHeight="1" x14ac:dyDescent="0.3">
      <c r="A160" s="79">
        <f>A159+1</f>
        <v>5</v>
      </c>
      <c r="B160" s="79"/>
      <c r="C160" s="41" t="s">
        <v>194</v>
      </c>
      <c r="D160" s="50">
        <f t="shared" si="16"/>
        <v>285.46127999999999</v>
      </c>
      <c r="E160" s="50">
        <f t="shared" si="17"/>
        <v>37.943100000000001</v>
      </c>
      <c r="F160" s="41">
        <f t="shared" si="15"/>
        <v>323.40438</v>
      </c>
      <c r="G160" s="50">
        <f>(2.75*1.2+1.33*1.65+1.35*0.6+0.5*(0.5*1.65))*(10.764)</f>
        <v>72.301788000000002</v>
      </c>
      <c r="H160" s="41">
        <f t="shared" si="18"/>
        <v>557.40835800000002</v>
      </c>
      <c r="I160" s="35"/>
      <c r="N160" s="35"/>
    </row>
    <row r="161" spans="1:14" s="36" customFormat="1" x14ac:dyDescent="0.3">
      <c r="A161" s="79">
        <f t="shared" ref="A161:A163" si="19">A160+1</f>
        <v>6</v>
      </c>
      <c r="B161" s="79"/>
      <c r="C161" s="41" t="s">
        <v>194</v>
      </c>
      <c r="D161" s="50">
        <f t="shared" si="16"/>
        <v>285.46127999999999</v>
      </c>
      <c r="E161" s="50">
        <f t="shared" si="17"/>
        <v>37.943100000000001</v>
      </c>
      <c r="F161" s="41">
        <f t="shared" si="15"/>
        <v>323.40438</v>
      </c>
      <c r="G161" s="50">
        <f>(2.75*1.2+1.35*0.6+3.16*1.65)*(10.764)</f>
        <v>100.36353599999997</v>
      </c>
      <c r="H161" s="41">
        <f t="shared" si="18"/>
        <v>585.47010599999999</v>
      </c>
      <c r="I161" s="35"/>
      <c r="N161" s="35"/>
    </row>
    <row r="162" spans="1:14" s="36" customFormat="1" x14ac:dyDescent="0.3">
      <c r="A162" s="79">
        <f t="shared" si="19"/>
        <v>7</v>
      </c>
      <c r="B162" s="79"/>
      <c r="C162" s="41" t="s">
        <v>194</v>
      </c>
      <c r="D162" s="50">
        <f t="shared" si="16"/>
        <v>285.46127999999999</v>
      </c>
      <c r="E162" s="50">
        <f t="shared" si="17"/>
        <v>37.943100000000001</v>
      </c>
      <c r="F162" s="41">
        <f t="shared" si="15"/>
        <v>323.40438</v>
      </c>
      <c r="G162" s="50">
        <f>(2.75*1.2+2.45*1.65+1.2*0.6)*(10.764)</f>
        <v>86.784749999999988</v>
      </c>
      <c r="H162" s="41">
        <f t="shared" si="18"/>
        <v>571.89132000000006</v>
      </c>
      <c r="I162" s="35"/>
      <c r="N162" s="35"/>
    </row>
    <row r="163" spans="1:14" s="36" customFormat="1" x14ac:dyDescent="0.3">
      <c r="A163" s="79">
        <f t="shared" si="19"/>
        <v>8</v>
      </c>
      <c r="B163" s="79"/>
      <c r="C163" s="41" t="s">
        <v>194</v>
      </c>
      <c r="D163" s="50">
        <f t="shared" si="16"/>
        <v>285.46127999999999</v>
      </c>
      <c r="E163" s="50">
        <f>0.75*(1.95+2.75+2.75)*10.764</f>
        <v>60.14385</v>
      </c>
      <c r="F163" s="41">
        <f t="shared" si="15"/>
        <v>345.60512999999997</v>
      </c>
      <c r="G163" s="41">
        <v>0</v>
      </c>
      <c r="H163" s="41">
        <f t="shared" si="18"/>
        <v>518.40769499999999</v>
      </c>
      <c r="I163" s="35"/>
      <c r="N163" s="35"/>
    </row>
    <row r="164" spans="1:14" s="36" customFormat="1" x14ac:dyDescent="0.3">
      <c r="A164" s="79">
        <f t="shared" ref="A164:A166" si="20">A163+1</f>
        <v>9</v>
      </c>
      <c r="B164" s="79"/>
      <c r="C164" s="41" t="s">
        <v>194</v>
      </c>
      <c r="D164" s="50">
        <f t="shared" si="16"/>
        <v>285.46127999999999</v>
      </c>
      <c r="E164" s="50">
        <f t="shared" ref="E164:E178" si="21">0.75*(1.95+2.75+2.75)*10.764</f>
        <v>60.14385</v>
      </c>
      <c r="F164" s="41">
        <f t="shared" si="15"/>
        <v>345.60512999999997</v>
      </c>
      <c r="G164" s="41">
        <v>0</v>
      </c>
      <c r="H164" s="41">
        <f t="shared" si="18"/>
        <v>518.40769499999999</v>
      </c>
      <c r="I164" s="35"/>
      <c r="N164" s="35"/>
    </row>
    <row r="165" spans="1:14" s="36" customFormat="1" x14ac:dyDescent="0.3">
      <c r="A165" s="79">
        <f t="shared" si="20"/>
        <v>10</v>
      </c>
      <c r="B165" s="79"/>
      <c r="C165" s="41" t="s">
        <v>194</v>
      </c>
      <c r="D165" s="50">
        <f t="shared" si="16"/>
        <v>285.46127999999999</v>
      </c>
      <c r="E165" s="50">
        <f t="shared" si="21"/>
        <v>60.14385</v>
      </c>
      <c r="F165" s="41">
        <f t="shared" si="15"/>
        <v>345.60512999999997</v>
      </c>
      <c r="G165" s="41">
        <v>0</v>
      </c>
      <c r="H165" s="41">
        <f t="shared" si="18"/>
        <v>518.40769499999999</v>
      </c>
      <c r="I165" s="35"/>
      <c r="N165" s="35"/>
    </row>
    <row r="166" spans="1:14" s="36" customFormat="1" x14ac:dyDescent="0.3">
      <c r="A166" s="79">
        <f t="shared" si="20"/>
        <v>11</v>
      </c>
      <c r="B166" s="79"/>
      <c r="C166" s="41" t="s">
        <v>194</v>
      </c>
      <c r="D166" s="50">
        <f t="shared" si="16"/>
        <v>285.46127999999999</v>
      </c>
      <c r="E166" s="50">
        <f t="shared" si="21"/>
        <v>60.14385</v>
      </c>
      <c r="F166" s="41">
        <f t="shared" si="15"/>
        <v>345.60512999999997</v>
      </c>
      <c r="G166" s="41">
        <v>0</v>
      </c>
      <c r="H166" s="41">
        <f t="shared" si="18"/>
        <v>518.40769499999999</v>
      </c>
      <c r="I166" s="35"/>
      <c r="N166" s="35"/>
    </row>
    <row r="167" spans="1:14" s="36" customFormat="1" x14ac:dyDescent="0.3">
      <c r="A167" s="97" t="s">
        <v>222</v>
      </c>
      <c r="B167" s="97"/>
      <c r="C167" s="97"/>
      <c r="D167" s="97"/>
      <c r="E167" s="97"/>
      <c r="F167" s="97"/>
      <c r="G167" s="97"/>
      <c r="H167" s="97"/>
      <c r="I167" s="35"/>
      <c r="L167" s="181"/>
      <c r="M167" s="181"/>
    </row>
    <row r="168" spans="1:14" s="36" customFormat="1" ht="15.75" customHeight="1" x14ac:dyDescent="0.3">
      <c r="A168" s="79">
        <v>1</v>
      </c>
      <c r="B168" s="79"/>
      <c r="C168" s="41" t="s">
        <v>194</v>
      </c>
      <c r="D168" s="50">
        <f t="shared" si="16"/>
        <v>285.46127999999999</v>
      </c>
      <c r="E168" s="50">
        <f t="shared" si="21"/>
        <v>60.14385</v>
      </c>
      <c r="F168" s="41">
        <f t="shared" ref="F168:F178" si="22">D168*(($F$153)+1)+(IF(E168&lt;101,E168,IF(E168&lt;201,E168/2,IF(E168&lt;=301,E168/3,E168/4))))</f>
        <v>345.60512999999997</v>
      </c>
      <c r="G168" s="41">
        <v>0</v>
      </c>
      <c r="H168" s="41">
        <f t="shared" ref="H168:H178" si="23">F168*(($H$153)+1)+(IF(G168&lt;101,G168,IF(G168&lt;201,G168/2,IF(G168&lt;=301,G168/3,G168/4))))</f>
        <v>518.40769499999999</v>
      </c>
      <c r="I168" s="35"/>
      <c r="N168" s="35"/>
    </row>
    <row r="169" spans="1:14" s="36" customFormat="1" ht="15.75" customHeight="1" x14ac:dyDescent="0.3">
      <c r="A169" s="79">
        <f>A168+1</f>
        <v>2</v>
      </c>
      <c r="B169" s="79"/>
      <c r="C169" s="41" t="s">
        <v>194</v>
      </c>
      <c r="D169" s="50">
        <f t="shared" si="16"/>
        <v>285.46127999999999</v>
      </c>
      <c r="E169" s="50">
        <f t="shared" si="21"/>
        <v>60.14385</v>
      </c>
      <c r="F169" s="41">
        <f t="shared" si="22"/>
        <v>345.60512999999997</v>
      </c>
      <c r="G169" s="41">
        <v>0</v>
      </c>
      <c r="H169" s="41">
        <f t="shared" si="23"/>
        <v>518.40769499999999</v>
      </c>
      <c r="I169" s="35"/>
      <c r="N169" s="35"/>
    </row>
    <row r="170" spans="1:14" s="36" customFormat="1" ht="15.75" customHeight="1" x14ac:dyDescent="0.3">
      <c r="A170" s="79">
        <f>A169+1</f>
        <v>3</v>
      </c>
      <c r="B170" s="79"/>
      <c r="C170" s="41" t="s">
        <v>194</v>
      </c>
      <c r="D170" s="50">
        <f t="shared" si="16"/>
        <v>285.46127999999999</v>
      </c>
      <c r="E170" s="50">
        <f t="shared" si="21"/>
        <v>60.14385</v>
      </c>
      <c r="F170" s="41">
        <f t="shared" si="22"/>
        <v>345.60512999999997</v>
      </c>
      <c r="G170" s="41">
        <v>0</v>
      </c>
      <c r="H170" s="41">
        <f t="shared" si="23"/>
        <v>518.40769499999999</v>
      </c>
      <c r="I170" s="35"/>
      <c r="N170" s="35"/>
    </row>
    <row r="171" spans="1:14" s="36" customFormat="1" ht="15.75" customHeight="1" x14ac:dyDescent="0.3">
      <c r="A171" s="79">
        <f>A170+1</f>
        <v>4</v>
      </c>
      <c r="B171" s="79"/>
      <c r="C171" s="41" t="s">
        <v>194</v>
      </c>
      <c r="D171" s="50">
        <f t="shared" si="16"/>
        <v>285.46127999999999</v>
      </c>
      <c r="E171" s="50">
        <f t="shared" si="21"/>
        <v>60.14385</v>
      </c>
      <c r="F171" s="41">
        <f t="shared" si="22"/>
        <v>345.60512999999997</v>
      </c>
      <c r="G171" s="41">
        <v>0</v>
      </c>
      <c r="H171" s="41">
        <f t="shared" si="23"/>
        <v>518.40769499999999</v>
      </c>
      <c r="I171" s="35"/>
      <c r="N171" s="35"/>
    </row>
    <row r="172" spans="1:14" s="36" customFormat="1" ht="15.75" customHeight="1" x14ac:dyDescent="0.3">
      <c r="A172" s="79">
        <f>A171+1</f>
        <v>5</v>
      </c>
      <c r="B172" s="79"/>
      <c r="C172" s="41" t="s">
        <v>194</v>
      </c>
      <c r="D172" s="50">
        <f t="shared" si="16"/>
        <v>285.46127999999999</v>
      </c>
      <c r="E172" s="50">
        <f t="shared" si="21"/>
        <v>60.14385</v>
      </c>
      <c r="F172" s="41">
        <f t="shared" si="22"/>
        <v>345.60512999999997</v>
      </c>
      <c r="G172" s="41">
        <v>0</v>
      </c>
      <c r="H172" s="41">
        <f t="shared" si="23"/>
        <v>518.40769499999999</v>
      </c>
      <c r="I172" s="35"/>
      <c r="N172" s="35"/>
    </row>
    <row r="173" spans="1:14" s="36" customFormat="1" x14ac:dyDescent="0.3">
      <c r="A173" s="79">
        <f t="shared" ref="A173:A178" si="24">A172+1</f>
        <v>6</v>
      </c>
      <c r="B173" s="79"/>
      <c r="C173" s="41" t="s">
        <v>194</v>
      </c>
      <c r="D173" s="50">
        <f t="shared" si="16"/>
        <v>285.46127999999999</v>
      </c>
      <c r="E173" s="50">
        <f t="shared" si="21"/>
        <v>60.14385</v>
      </c>
      <c r="F173" s="41">
        <f t="shared" si="22"/>
        <v>345.60512999999997</v>
      </c>
      <c r="G173" s="41">
        <v>0</v>
      </c>
      <c r="H173" s="41">
        <f t="shared" si="23"/>
        <v>518.40769499999999</v>
      </c>
      <c r="I173" s="35"/>
      <c r="N173" s="35"/>
    </row>
    <row r="174" spans="1:14" s="36" customFormat="1" x14ac:dyDescent="0.3">
      <c r="A174" s="79">
        <f t="shared" si="24"/>
        <v>7</v>
      </c>
      <c r="B174" s="79"/>
      <c r="C174" s="41" t="s">
        <v>194</v>
      </c>
      <c r="D174" s="50">
        <f t="shared" si="16"/>
        <v>285.46127999999999</v>
      </c>
      <c r="E174" s="50">
        <f t="shared" si="21"/>
        <v>60.14385</v>
      </c>
      <c r="F174" s="41">
        <f t="shared" si="22"/>
        <v>345.60512999999997</v>
      </c>
      <c r="G174" s="41">
        <v>0</v>
      </c>
      <c r="H174" s="41">
        <f t="shared" si="23"/>
        <v>518.40769499999999</v>
      </c>
      <c r="I174" s="35"/>
      <c r="N174" s="35"/>
    </row>
    <row r="175" spans="1:14" s="36" customFormat="1" x14ac:dyDescent="0.3">
      <c r="A175" s="79">
        <f t="shared" si="24"/>
        <v>8</v>
      </c>
      <c r="B175" s="79"/>
      <c r="C175" s="41" t="s">
        <v>194</v>
      </c>
      <c r="D175" s="50">
        <f t="shared" si="16"/>
        <v>285.46127999999999</v>
      </c>
      <c r="E175" s="50">
        <f t="shared" si="21"/>
        <v>60.14385</v>
      </c>
      <c r="F175" s="41">
        <f t="shared" si="22"/>
        <v>345.60512999999997</v>
      </c>
      <c r="G175" s="41">
        <v>0</v>
      </c>
      <c r="H175" s="41">
        <f t="shared" si="23"/>
        <v>518.40769499999999</v>
      </c>
      <c r="I175" s="35"/>
      <c r="N175" s="35"/>
    </row>
    <row r="176" spans="1:14" s="36" customFormat="1" x14ac:dyDescent="0.3">
      <c r="A176" s="79">
        <f t="shared" si="24"/>
        <v>9</v>
      </c>
      <c r="B176" s="79"/>
      <c r="C176" s="41" t="s">
        <v>194</v>
      </c>
      <c r="D176" s="50">
        <f t="shared" si="16"/>
        <v>285.46127999999999</v>
      </c>
      <c r="E176" s="50">
        <f t="shared" si="21"/>
        <v>60.14385</v>
      </c>
      <c r="F176" s="41">
        <f t="shared" si="22"/>
        <v>345.60512999999997</v>
      </c>
      <c r="G176" s="41">
        <v>0</v>
      </c>
      <c r="H176" s="41">
        <f t="shared" si="23"/>
        <v>518.40769499999999</v>
      </c>
      <c r="I176" s="35"/>
      <c r="N176" s="35"/>
    </row>
    <row r="177" spans="1:14" s="36" customFormat="1" x14ac:dyDescent="0.3">
      <c r="A177" s="79">
        <f t="shared" si="24"/>
        <v>10</v>
      </c>
      <c r="B177" s="79"/>
      <c r="C177" s="41" t="s">
        <v>194</v>
      </c>
      <c r="D177" s="50">
        <f t="shared" si="16"/>
        <v>285.46127999999999</v>
      </c>
      <c r="E177" s="50">
        <f t="shared" si="21"/>
        <v>60.14385</v>
      </c>
      <c r="F177" s="41">
        <f t="shared" si="22"/>
        <v>345.60512999999997</v>
      </c>
      <c r="G177" s="41">
        <v>0</v>
      </c>
      <c r="H177" s="41">
        <f t="shared" si="23"/>
        <v>518.40769499999999</v>
      </c>
      <c r="I177" s="35"/>
      <c r="N177" s="35"/>
    </row>
    <row r="178" spans="1:14" s="36" customFormat="1" x14ac:dyDescent="0.3">
      <c r="A178" s="79">
        <f t="shared" si="24"/>
        <v>11</v>
      </c>
      <c r="B178" s="79"/>
      <c r="C178" s="41" t="s">
        <v>194</v>
      </c>
      <c r="D178" s="50">
        <f t="shared" si="16"/>
        <v>285.46127999999999</v>
      </c>
      <c r="E178" s="50">
        <f t="shared" si="21"/>
        <v>60.14385</v>
      </c>
      <c r="F178" s="41">
        <f t="shared" si="22"/>
        <v>345.60512999999997</v>
      </c>
      <c r="G178" s="41">
        <v>0</v>
      </c>
      <c r="H178" s="41">
        <f t="shared" si="23"/>
        <v>518.40769499999999</v>
      </c>
      <c r="I178" s="35"/>
      <c r="N178" s="35"/>
    </row>
    <row r="179" spans="1:14" s="36" customFormat="1" x14ac:dyDescent="0.3">
      <c r="A179" s="97" t="s">
        <v>212</v>
      </c>
      <c r="B179" s="97"/>
      <c r="C179" s="97"/>
      <c r="D179" s="97"/>
      <c r="E179" s="97"/>
      <c r="F179" s="97"/>
      <c r="G179" s="97"/>
      <c r="H179" s="97"/>
      <c r="I179" s="35"/>
      <c r="L179" s="181"/>
      <c r="M179" s="181"/>
    </row>
    <row r="180" spans="1:14" s="36" customFormat="1" ht="15.75" customHeight="1" x14ac:dyDescent="0.3">
      <c r="A180" s="79">
        <v>1</v>
      </c>
      <c r="B180" s="79"/>
      <c r="C180" s="41" t="s">
        <v>194</v>
      </c>
      <c r="D180" s="50">
        <f>(27.19+0.75*(2.75+1.95+2.75))*(10.764)</f>
        <v>352.81701000000004</v>
      </c>
      <c r="E180" s="41">
        <v>0</v>
      </c>
      <c r="F180" s="41">
        <f t="shared" ref="F180:F181" si="25">D180*(($F$153)+1)+(IF(E180&lt;101,E180,IF(E180&lt;201,E180/2,IF(E180&lt;=301,E180/3,E180/4))))</f>
        <v>352.81701000000004</v>
      </c>
      <c r="G180" s="41">
        <v>0</v>
      </c>
      <c r="H180" s="41">
        <f t="shared" ref="H180:H190" si="26">F180*(($H$153)+1)+(IF(G180&lt;101,G180,IF(G180&lt;201,G180/2,IF(G180&lt;=301,G180/3,G180/4))))</f>
        <v>529.22551500000009</v>
      </c>
      <c r="I180" s="35"/>
      <c r="N180" s="35"/>
    </row>
    <row r="181" spans="1:14" s="36" customFormat="1" ht="15.75" customHeight="1" x14ac:dyDescent="0.3">
      <c r="A181" s="79">
        <f>A180+1</f>
        <v>2</v>
      </c>
      <c r="B181" s="79"/>
      <c r="C181" s="41" t="s">
        <v>194</v>
      </c>
      <c r="D181" s="50">
        <f t="shared" ref="D181:D190" si="27">(27.19+0.75*(2.75+1.95+2.75))*(10.764)</f>
        <v>352.81701000000004</v>
      </c>
      <c r="E181" s="41">
        <v>0</v>
      </c>
      <c r="F181" s="41">
        <f t="shared" si="25"/>
        <v>352.81701000000004</v>
      </c>
      <c r="G181" s="41">
        <v>0</v>
      </c>
      <c r="H181" s="41">
        <f t="shared" si="26"/>
        <v>529.22551500000009</v>
      </c>
      <c r="I181" s="35"/>
      <c r="N181" s="35"/>
    </row>
    <row r="182" spans="1:14" s="36" customFormat="1" ht="15.75" customHeight="1" x14ac:dyDescent="0.3">
      <c r="A182" s="79">
        <f>A181+1</f>
        <v>3</v>
      </c>
      <c r="B182" s="79"/>
      <c r="C182" s="41" t="s">
        <v>194</v>
      </c>
      <c r="D182" s="50">
        <f t="shared" si="27"/>
        <v>352.81701000000004</v>
      </c>
      <c r="E182" s="41">
        <v>0</v>
      </c>
      <c r="F182" s="41">
        <f>D182*(($F$153)+1)+(IF(E182&lt;101,E182,IF(E182&lt;201,E182/2,IF(E182&lt;=301,E182/3,E182/4))))</f>
        <v>352.81701000000004</v>
      </c>
      <c r="G182" s="41">
        <v>0</v>
      </c>
      <c r="H182" s="41">
        <f t="shared" si="26"/>
        <v>529.22551500000009</v>
      </c>
      <c r="I182" s="35"/>
      <c r="N182" s="35"/>
    </row>
    <row r="183" spans="1:14" s="36" customFormat="1" ht="15.75" customHeight="1" x14ac:dyDescent="0.3">
      <c r="A183" s="79">
        <f>A182+1</f>
        <v>4</v>
      </c>
      <c r="B183" s="79"/>
      <c r="C183" s="41" t="s">
        <v>194</v>
      </c>
      <c r="D183" s="50">
        <f t="shared" si="27"/>
        <v>352.81701000000004</v>
      </c>
      <c r="E183" s="41">
        <v>0</v>
      </c>
      <c r="F183" s="41">
        <f>D183*(($F$153)+1)+(IF(E183&lt;101,E183,IF(E183&lt;201,E183/2,IF(E183&lt;=301,E183/3,E183/4))))</f>
        <v>352.81701000000004</v>
      </c>
      <c r="G183" s="41">
        <v>0</v>
      </c>
      <c r="H183" s="41">
        <f t="shared" si="26"/>
        <v>529.22551500000009</v>
      </c>
      <c r="I183" s="35"/>
      <c r="N183" s="35"/>
    </row>
    <row r="184" spans="1:14" s="36" customFormat="1" ht="15.75" customHeight="1" x14ac:dyDescent="0.3">
      <c r="A184" s="79">
        <f>A183+1</f>
        <v>5</v>
      </c>
      <c r="B184" s="79"/>
      <c r="C184" s="65" t="s">
        <v>220</v>
      </c>
      <c r="D184" s="67"/>
      <c r="E184" s="67"/>
      <c r="F184" s="67"/>
      <c r="G184" s="67"/>
      <c r="H184" s="66"/>
      <c r="I184" s="35"/>
      <c r="N184" s="35"/>
    </row>
    <row r="185" spans="1:14" s="36" customFormat="1" x14ac:dyDescent="0.3">
      <c r="A185" s="79">
        <f t="shared" ref="A185:A190" si="28">A184+1</f>
        <v>6</v>
      </c>
      <c r="B185" s="79"/>
      <c r="C185" s="41" t="s">
        <v>194</v>
      </c>
      <c r="D185" s="50">
        <f t="shared" si="27"/>
        <v>352.81701000000004</v>
      </c>
      <c r="E185" s="41">
        <v>0</v>
      </c>
      <c r="F185" s="41">
        <f t="shared" ref="F185:F186" si="29">D185*(($F$153)+1)+(IF(E185&lt;101,E185,IF(E185&lt;201,E185/2,IF(E185&lt;=301,E185/3,E185/4))))</f>
        <v>352.81701000000004</v>
      </c>
      <c r="G185" s="41">
        <v>0</v>
      </c>
      <c r="H185" s="41">
        <f t="shared" si="26"/>
        <v>529.22551500000009</v>
      </c>
      <c r="I185" s="35"/>
      <c r="N185" s="35"/>
    </row>
    <row r="186" spans="1:14" s="36" customFormat="1" x14ac:dyDescent="0.3">
      <c r="A186" s="79">
        <f t="shared" si="28"/>
        <v>7</v>
      </c>
      <c r="B186" s="79"/>
      <c r="C186" s="41" t="s">
        <v>194</v>
      </c>
      <c r="D186" s="50">
        <f t="shared" si="27"/>
        <v>352.81701000000004</v>
      </c>
      <c r="E186" s="41">
        <v>0</v>
      </c>
      <c r="F186" s="41">
        <f t="shared" si="29"/>
        <v>352.81701000000004</v>
      </c>
      <c r="G186" s="41">
        <v>0</v>
      </c>
      <c r="H186" s="41">
        <f t="shared" si="26"/>
        <v>529.22551500000009</v>
      </c>
      <c r="I186" s="35"/>
      <c r="N186" s="35"/>
    </row>
    <row r="187" spans="1:14" s="36" customFormat="1" x14ac:dyDescent="0.3">
      <c r="A187" s="79">
        <f t="shared" si="28"/>
        <v>8</v>
      </c>
      <c r="B187" s="79"/>
      <c r="C187" s="41" t="s">
        <v>194</v>
      </c>
      <c r="D187" s="50">
        <f t="shared" si="27"/>
        <v>352.81701000000004</v>
      </c>
      <c r="E187" s="41">
        <v>0</v>
      </c>
      <c r="F187" s="41">
        <f>D187*(($F$153)+1)+(IF(E187&lt;101,E187,IF(E187&lt;201,E187/2,IF(E187&lt;=301,E187/3,E187/4))))</f>
        <v>352.81701000000004</v>
      </c>
      <c r="G187" s="41">
        <v>0</v>
      </c>
      <c r="H187" s="41">
        <f t="shared" si="26"/>
        <v>529.22551500000009</v>
      </c>
      <c r="I187" s="35"/>
      <c r="N187" s="35"/>
    </row>
    <row r="188" spans="1:14" s="36" customFormat="1" x14ac:dyDescent="0.3">
      <c r="A188" s="79">
        <f t="shared" si="28"/>
        <v>9</v>
      </c>
      <c r="B188" s="79"/>
      <c r="C188" s="41" t="s">
        <v>194</v>
      </c>
      <c r="D188" s="50">
        <f t="shared" si="27"/>
        <v>352.81701000000004</v>
      </c>
      <c r="E188" s="41">
        <v>0</v>
      </c>
      <c r="F188" s="41">
        <f>D188*(($F$153)+1)+(IF(E188&lt;101,E188,IF(E188&lt;201,E188/2,IF(E188&lt;=301,E188/3,E188/4))))</f>
        <v>352.81701000000004</v>
      </c>
      <c r="G188" s="41">
        <v>0</v>
      </c>
      <c r="H188" s="41">
        <f t="shared" si="26"/>
        <v>529.22551500000009</v>
      </c>
      <c r="I188" s="35"/>
      <c r="N188" s="35"/>
    </row>
    <row r="189" spans="1:14" s="36" customFormat="1" x14ac:dyDescent="0.3">
      <c r="A189" s="79">
        <f t="shared" si="28"/>
        <v>10</v>
      </c>
      <c r="B189" s="79"/>
      <c r="C189" s="41" t="s">
        <v>194</v>
      </c>
      <c r="D189" s="50">
        <f t="shared" si="27"/>
        <v>352.81701000000004</v>
      </c>
      <c r="E189" s="41">
        <v>0</v>
      </c>
      <c r="F189" s="41">
        <f>D189*(($F$153)+1)+(IF(E189&lt;101,E189,IF(E189&lt;201,E189/2,IF(E189&lt;=301,E189/3,E189/4))))</f>
        <v>352.81701000000004</v>
      </c>
      <c r="G189" s="41">
        <v>0</v>
      </c>
      <c r="H189" s="41">
        <f t="shared" si="26"/>
        <v>529.22551500000009</v>
      </c>
      <c r="I189" s="35"/>
      <c r="N189" s="35"/>
    </row>
    <row r="190" spans="1:14" s="36" customFormat="1" x14ac:dyDescent="0.3">
      <c r="A190" s="79">
        <f t="shared" si="28"/>
        <v>11</v>
      </c>
      <c r="B190" s="79"/>
      <c r="C190" s="41" t="s">
        <v>194</v>
      </c>
      <c r="D190" s="50">
        <f t="shared" si="27"/>
        <v>352.81701000000004</v>
      </c>
      <c r="E190" s="41">
        <v>0</v>
      </c>
      <c r="F190" s="41">
        <f>D190*(($F$153)+1)+(IF(E190&lt;101,E190,IF(E190&lt;201,E190/2,IF(E190&lt;=301,E190/3,E190/4))))</f>
        <v>352.81701000000004</v>
      </c>
      <c r="G190" s="41">
        <v>0</v>
      </c>
      <c r="H190" s="41">
        <f t="shared" si="26"/>
        <v>529.22551500000009</v>
      </c>
      <c r="I190" s="35"/>
      <c r="N190" s="35"/>
    </row>
    <row r="191" spans="1:14" s="36" customFormat="1" x14ac:dyDescent="0.3">
      <c r="A191" s="97" t="s">
        <v>221</v>
      </c>
      <c r="B191" s="97"/>
      <c r="C191" s="97"/>
      <c r="D191" s="97"/>
      <c r="E191" s="97"/>
      <c r="F191" s="97"/>
      <c r="G191" s="97"/>
      <c r="H191" s="97"/>
      <c r="I191" s="35"/>
      <c r="L191" s="181"/>
      <c r="M191" s="181"/>
    </row>
    <row r="192" spans="1:14" s="36" customFormat="1" ht="15.75" customHeight="1" x14ac:dyDescent="0.3">
      <c r="A192" s="79">
        <v>1</v>
      </c>
      <c r="B192" s="79"/>
      <c r="C192" s="41" t="s">
        <v>194</v>
      </c>
      <c r="D192" s="50">
        <f t="shared" ref="D192:D202" si="30">(26.52)*(10.764)</f>
        <v>285.46127999999999</v>
      </c>
      <c r="E192" s="50">
        <f t="shared" ref="E192:E202" si="31">0.75*(1.95+2.75+2.75)*10.764</f>
        <v>60.14385</v>
      </c>
      <c r="F192" s="41">
        <f t="shared" ref="F192:F202" si="32">D192*(($F$153)+1)+(IF(E192&lt;101,E192,IF(E192&lt;201,E192/2,IF(E192&lt;=301,E192/3,E192/4))))</f>
        <v>345.60512999999997</v>
      </c>
      <c r="G192" s="41">
        <v>0</v>
      </c>
      <c r="H192" s="41">
        <f t="shared" ref="H192:H202" si="33">F192*(($H$153)+1)+(IF(G192&lt;101,G192,IF(G192&lt;201,G192/2,IF(G192&lt;=301,G192/3,G192/4))))</f>
        <v>518.40769499999999</v>
      </c>
      <c r="I192" s="35"/>
      <c r="N192" s="35"/>
    </row>
    <row r="193" spans="1:14" s="36" customFormat="1" ht="15.75" customHeight="1" x14ac:dyDescent="0.3">
      <c r="A193" s="79">
        <f>A192+1</f>
        <v>2</v>
      </c>
      <c r="B193" s="79"/>
      <c r="C193" s="41" t="s">
        <v>194</v>
      </c>
      <c r="D193" s="50">
        <f t="shared" si="30"/>
        <v>285.46127999999999</v>
      </c>
      <c r="E193" s="50">
        <f t="shared" si="31"/>
        <v>60.14385</v>
      </c>
      <c r="F193" s="41">
        <f t="shared" si="32"/>
        <v>345.60512999999997</v>
      </c>
      <c r="G193" s="41">
        <v>0</v>
      </c>
      <c r="H193" s="41">
        <f t="shared" si="33"/>
        <v>518.40769499999999</v>
      </c>
      <c r="I193" s="35"/>
      <c r="N193" s="35"/>
    </row>
    <row r="194" spans="1:14" s="36" customFormat="1" ht="15.75" customHeight="1" x14ac:dyDescent="0.3">
      <c r="A194" s="79">
        <f>A193+1</f>
        <v>3</v>
      </c>
      <c r="B194" s="79"/>
      <c r="C194" s="41" t="s">
        <v>194</v>
      </c>
      <c r="D194" s="50">
        <f t="shared" si="30"/>
        <v>285.46127999999999</v>
      </c>
      <c r="E194" s="50">
        <f t="shared" si="31"/>
        <v>60.14385</v>
      </c>
      <c r="F194" s="41">
        <f t="shared" si="32"/>
        <v>345.60512999999997</v>
      </c>
      <c r="G194" s="41">
        <v>0</v>
      </c>
      <c r="H194" s="41">
        <f t="shared" si="33"/>
        <v>518.40769499999999</v>
      </c>
      <c r="I194" s="35"/>
      <c r="N194" s="35"/>
    </row>
    <row r="195" spans="1:14" s="36" customFormat="1" ht="15.75" customHeight="1" x14ac:dyDescent="0.3">
      <c r="A195" s="79">
        <f>A194+1</f>
        <v>4</v>
      </c>
      <c r="B195" s="79"/>
      <c r="C195" s="41" t="s">
        <v>194</v>
      </c>
      <c r="D195" s="50">
        <f t="shared" si="30"/>
        <v>285.46127999999999</v>
      </c>
      <c r="E195" s="50">
        <f t="shared" si="31"/>
        <v>60.14385</v>
      </c>
      <c r="F195" s="41">
        <f t="shared" si="32"/>
        <v>345.60512999999997</v>
      </c>
      <c r="G195" s="41">
        <v>0</v>
      </c>
      <c r="H195" s="41">
        <f t="shared" si="33"/>
        <v>518.40769499999999</v>
      </c>
      <c r="I195" s="35"/>
      <c r="N195" s="35"/>
    </row>
    <row r="196" spans="1:14" s="36" customFormat="1" ht="15.75" customHeight="1" x14ac:dyDescent="0.3">
      <c r="A196" s="79">
        <f>A195+1</f>
        <v>5</v>
      </c>
      <c r="B196" s="79"/>
      <c r="C196" s="41" t="s">
        <v>194</v>
      </c>
      <c r="D196" s="50">
        <f t="shared" si="30"/>
        <v>285.46127999999999</v>
      </c>
      <c r="E196" s="50">
        <f t="shared" si="31"/>
        <v>60.14385</v>
      </c>
      <c r="F196" s="41">
        <f t="shared" si="32"/>
        <v>345.60512999999997</v>
      </c>
      <c r="G196" s="41">
        <v>0</v>
      </c>
      <c r="H196" s="41">
        <f t="shared" si="33"/>
        <v>518.40769499999999</v>
      </c>
      <c r="I196" s="35"/>
      <c r="N196" s="35"/>
    </row>
    <row r="197" spans="1:14" s="36" customFormat="1" x14ac:dyDescent="0.3">
      <c r="A197" s="79">
        <f t="shared" ref="A197:A202" si="34">A196+1</f>
        <v>6</v>
      </c>
      <c r="B197" s="79"/>
      <c r="C197" s="41" t="s">
        <v>194</v>
      </c>
      <c r="D197" s="50">
        <f t="shared" si="30"/>
        <v>285.46127999999999</v>
      </c>
      <c r="E197" s="50">
        <f t="shared" si="31"/>
        <v>60.14385</v>
      </c>
      <c r="F197" s="41">
        <f t="shared" si="32"/>
        <v>345.60512999999997</v>
      </c>
      <c r="G197" s="41">
        <v>0</v>
      </c>
      <c r="H197" s="41">
        <f t="shared" si="33"/>
        <v>518.40769499999999</v>
      </c>
      <c r="I197" s="35"/>
      <c r="N197" s="35"/>
    </row>
    <row r="198" spans="1:14" s="36" customFormat="1" x14ac:dyDescent="0.3">
      <c r="A198" s="79">
        <f t="shared" si="34"/>
        <v>7</v>
      </c>
      <c r="B198" s="79"/>
      <c r="C198" s="41" t="s">
        <v>194</v>
      </c>
      <c r="D198" s="50">
        <f t="shared" si="30"/>
        <v>285.46127999999999</v>
      </c>
      <c r="E198" s="50">
        <f t="shared" si="31"/>
        <v>60.14385</v>
      </c>
      <c r="F198" s="41">
        <f t="shared" si="32"/>
        <v>345.60512999999997</v>
      </c>
      <c r="G198" s="41">
        <v>0</v>
      </c>
      <c r="H198" s="41">
        <f t="shared" si="33"/>
        <v>518.40769499999999</v>
      </c>
      <c r="I198" s="35"/>
      <c r="N198" s="35"/>
    </row>
    <row r="199" spans="1:14" s="36" customFormat="1" x14ac:dyDescent="0.3">
      <c r="A199" s="79">
        <f t="shared" si="34"/>
        <v>8</v>
      </c>
      <c r="B199" s="79"/>
      <c r="C199" s="41" t="s">
        <v>194</v>
      </c>
      <c r="D199" s="50">
        <f t="shared" si="30"/>
        <v>285.46127999999999</v>
      </c>
      <c r="E199" s="50">
        <f t="shared" si="31"/>
        <v>60.14385</v>
      </c>
      <c r="F199" s="41">
        <f t="shared" si="32"/>
        <v>345.60512999999997</v>
      </c>
      <c r="G199" s="41">
        <v>0</v>
      </c>
      <c r="H199" s="41">
        <f t="shared" si="33"/>
        <v>518.40769499999999</v>
      </c>
      <c r="I199" s="35"/>
      <c r="N199" s="35"/>
    </row>
    <row r="200" spans="1:14" s="36" customFormat="1" x14ac:dyDescent="0.3">
      <c r="A200" s="79">
        <f t="shared" si="34"/>
        <v>9</v>
      </c>
      <c r="B200" s="79"/>
      <c r="C200" s="41" t="s">
        <v>194</v>
      </c>
      <c r="D200" s="50">
        <f t="shared" si="30"/>
        <v>285.46127999999999</v>
      </c>
      <c r="E200" s="50">
        <f t="shared" si="31"/>
        <v>60.14385</v>
      </c>
      <c r="F200" s="41">
        <f t="shared" si="32"/>
        <v>345.60512999999997</v>
      </c>
      <c r="G200" s="41">
        <v>0</v>
      </c>
      <c r="H200" s="41">
        <f t="shared" si="33"/>
        <v>518.40769499999999</v>
      </c>
      <c r="I200" s="35"/>
      <c r="N200" s="35"/>
    </row>
    <row r="201" spans="1:14" s="36" customFormat="1" x14ac:dyDescent="0.3">
      <c r="A201" s="79">
        <f t="shared" si="34"/>
        <v>10</v>
      </c>
      <c r="B201" s="79"/>
      <c r="C201" s="41" t="s">
        <v>194</v>
      </c>
      <c r="D201" s="50">
        <f t="shared" si="30"/>
        <v>285.46127999999999</v>
      </c>
      <c r="E201" s="50">
        <f t="shared" si="31"/>
        <v>60.14385</v>
      </c>
      <c r="F201" s="41">
        <f t="shared" si="32"/>
        <v>345.60512999999997</v>
      </c>
      <c r="G201" s="41">
        <v>0</v>
      </c>
      <c r="H201" s="41">
        <f t="shared" si="33"/>
        <v>518.40769499999999</v>
      </c>
      <c r="I201" s="35"/>
      <c r="N201" s="35"/>
    </row>
    <row r="202" spans="1:14" s="36" customFormat="1" x14ac:dyDescent="0.3">
      <c r="A202" s="79">
        <f t="shared" si="34"/>
        <v>11</v>
      </c>
      <c r="B202" s="79"/>
      <c r="C202" s="41" t="s">
        <v>194</v>
      </c>
      <c r="D202" s="50">
        <f t="shared" si="30"/>
        <v>285.46127999999999</v>
      </c>
      <c r="E202" s="50">
        <f t="shared" si="31"/>
        <v>60.14385</v>
      </c>
      <c r="F202" s="41">
        <f t="shared" si="32"/>
        <v>345.60512999999997</v>
      </c>
      <c r="G202" s="41">
        <v>0</v>
      </c>
      <c r="H202" s="41">
        <f t="shared" si="33"/>
        <v>518.40769499999999</v>
      </c>
      <c r="I202" s="35"/>
      <c r="N202" s="35"/>
    </row>
    <row r="203" spans="1:14" s="36" customFormat="1" ht="15.75" customHeight="1" x14ac:dyDescent="0.3">
      <c r="A203" s="73" t="s">
        <v>190</v>
      </c>
      <c r="B203" s="74"/>
      <c r="C203" s="74"/>
      <c r="D203" s="74"/>
      <c r="E203" s="74"/>
      <c r="F203" s="74"/>
      <c r="G203" s="74"/>
      <c r="H203" s="75"/>
      <c r="I203" s="35"/>
    </row>
    <row r="204" spans="1:14" s="36" customFormat="1" ht="15.75" customHeight="1" x14ac:dyDescent="0.3">
      <c r="A204" s="73" t="s">
        <v>193</v>
      </c>
      <c r="B204" s="74"/>
      <c r="C204" s="74"/>
      <c r="D204" s="74"/>
      <c r="E204" s="74"/>
      <c r="F204" s="74"/>
      <c r="G204" s="74"/>
      <c r="H204" s="75"/>
      <c r="I204" s="52" t="s">
        <v>200</v>
      </c>
      <c r="J204" s="51" t="s">
        <v>201</v>
      </c>
    </row>
    <row r="205" spans="1:14" s="36" customFormat="1" ht="15.75" customHeight="1" x14ac:dyDescent="0.3">
      <c r="A205" s="65">
        <v>1</v>
      </c>
      <c r="B205" s="66"/>
      <c r="C205" s="41" t="s">
        <v>194</v>
      </c>
      <c r="D205" s="50">
        <f>(27.42)*(10.764)</f>
        <v>295.14888000000002</v>
      </c>
      <c r="E205" s="41">
        <f>0.75*(2.75+2.25+2.35)*10.764</f>
        <v>59.336549999999988</v>
      </c>
      <c r="F205" s="41">
        <f t="shared" ref="F205:F214" si="35">D205*(($F$153)+1)+(IF(E205&lt;101,E205,IF(E205&lt;201,E205/2,IF(E205&lt;=301,E205/3,E205/4))))</f>
        <v>354.48543000000001</v>
      </c>
      <c r="G205" s="41">
        <v>0</v>
      </c>
      <c r="H205" s="41">
        <f t="shared" ref="H205:H214" si="36">F205*(($H$153)+1)+(IF(G205&lt;101,G205,IF(G205&lt;201,G205/2,IF(G205&lt;=301,G205/3,G205/4))))</f>
        <v>531.72814500000004</v>
      </c>
      <c r="I205" s="35">
        <v>11300</v>
      </c>
      <c r="J205" s="35">
        <f>2600000/F168</f>
        <v>7523.0364780754271</v>
      </c>
    </row>
    <row r="206" spans="1:14" s="36" customFormat="1" ht="15.75" customHeight="1" x14ac:dyDescent="0.3">
      <c r="A206" s="65">
        <f>A205+1</f>
        <v>2</v>
      </c>
      <c r="B206" s="66"/>
      <c r="C206" s="41" t="s">
        <v>196</v>
      </c>
      <c r="D206" s="50">
        <f>(15.2)*(10.764)</f>
        <v>163.61279999999999</v>
      </c>
      <c r="E206" s="41">
        <f>0.75*(2.2+1.8)*10.764</f>
        <v>32.292000000000002</v>
      </c>
      <c r="F206" s="41">
        <f t="shared" si="35"/>
        <v>195.90479999999999</v>
      </c>
      <c r="G206" s="41">
        <v>0</v>
      </c>
      <c r="H206" s="41">
        <f t="shared" si="36"/>
        <v>293.85719999999998</v>
      </c>
      <c r="I206" s="35">
        <f>I205/1.45</f>
        <v>7793.1034482758623</v>
      </c>
      <c r="J206" s="35">
        <f>1600000/F205</f>
        <v>4513.5846627039082</v>
      </c>
    </row>
    <row r="207" spans="1:14" s="36" customFormat="1" ht="15.75" customHeight="1" x14ac:dyDescent="0.3">
      <c r="A207" s="65">
        <f t="shared" ref="A207:A209" si="37">A206+1</f>
        <v>3</v>
      </c>
      <c r="B207" s="66"/>
      <c r="C207" s="41" t="s">
        <v>196</v>
      </c>
      <c r="D207" s="50">
        <f>(14.88)*(10.764)</f>
        <v>160.16831999999999</v>
      </c>
      <c r="E207" s="41">
        <f>0.75*(2.2+1.8)*10.764</f>
        <v>32.292000000000002</v>
      </c>
      <c r="F207" s="41">
        <f t="shared" si="35"/>
        <v>192.46032</v>
      </c>
      <c r="G207" s="41">
        <v>0</v>
      </c>
      <c r="H207" s="41">
        <f t="shared" si="36"/>
        <v>288.69047999999998</v>
      </c>
      <c r="I207" s="35" t="s">
        <v>197</v>
      </c>
      <c r="J207" s="51">
        <v>4900</v>
      </c>
    </row>
    <row r="208" spans="1:14" s="36" customFormat="1" ht="15.75" customHeight="1" x14ac:dyDescent="0.3">
      <c r="A208" s="65">
        <f t="shared" si="37"/>
        <v>4</v>
      </c>
      <c r="B208" s="66"/>
      <c r="C208" s="41" t="s">
        <v>196</v>
      </c>
      <c r="D208" s="50">
        <f>(14.88)*(10.764)</f>
        <v>160.16831999999999</v>
      </c>
      <c r="E208" s="41">
        <f>0.75*(2.2+1.8)*10.764</f>
        <v>32.292000000000002</v>
      </c>
      <c r="F208" s="41">
        <f t="shared" si="35"/>
        <v>192.46032</v>
      </c>
      <c r="G208" s="41">
        <v>0</v>
      </c>
      <c r="H208" s="41">
        <f t="shared" si="36"/>
        <v>288.69047999999998</v>
      </c>
      <c r="I208" s="35" t="s">
        <v>202</v>
      </c>
      <c r="J208" s="51">
        <v>12000</v>
      </c>
    </row>
    <row r="209" spans="1:13" s="36" customFormat="1" ht="15.75" customHeight="1" x14ac:dyDescent="0.3">
      <c r="A209" s="65">
        <f t="shared" si="37"/>
        <v>5</v>
      </c>
      <c r="B209" s="66"/>
      <c r="C209" s="41" t="s">
        <v>196</v>
      </c>
      <c r="D209" s="50">
        <f>(15.62)*(10.764)</f>
        <v>168.13367999999997</v>
      </c>
      <c r="E209" s="41">
        <f>0.75*(2.3+1.8)*10.764</f>
        <v>33.099299999999992</v>
      </c>
      <c r="F209" s="41">
        <f t="shared" si="35"/>
        <v>201.23297999999997</v>
      </c>
      <c r="G209" s="41">
        <v>0</v>
      </c>
      <c r="H209" s="41">
        <f t="shared" si="36"/>
        <v>301.84946999999994</v>
      </c>
      <c r="I209" s="35"/>
    </row>
    <row r="210" spans="1:13" s="36" customFormat="1" x14ac:dyDescent="0.3">
      <c r="A210" s="65">
        <f t="shared" ref="A210:A216" si="38">A209+1</f>
        <v>6</v>
      </c>
      <c r="B210" s="66"/>
      <c r="C210" s="41" t="s">
        <v>196</v>
      </c>
      <c r="D210" s="50">
        <f>(15.37)*(10.764)</f>
        <v>165.44268</v>
      </c>
      <c r="E210" s="41">
        <f>0.75*(2.15+1.8)*10.764</f>
        <v>31.888350000000003</v>
      </c>
      <c r="F210" s="41">
        <f t="shared" si="35"/>
        <v>197.33103</v>
      </c>
      <c r="G210" s="41">
        <v>0</v>
      </c>
      <c r="H210" s="41">
        <f t="shared" si="36"/>
        <v>295.99654499999997</v>
      </c>
      <c r="I210" s="53" t="s">
        <v>203</v>
      </c>
      <c r="J210" s="51" t="s">
        <v>204</v>
      </c>
      <c r="K210" s="51">
        <v>4800</v>
      </c>
      <c r="L210" s="51" t="s">
        <v>205</v>
      </c>
      <c r="M210" s="54">
        <v>0.5</v>
      </c>
    </row>
    <row r="211" spans="1:13" s="36" customFormat="1" x14ac:dyDescent="0.3">
      <c r="A211" s="65">
        <f t="shared" si="38"/>
        <v>7</v>
      </c>
      <c r="B211" s="66"/>
      <c r="C211" s="41" t="s">
        <v>196</v>
      </c>
      <c r="D211" s="50">
        <f>(15.39)*(10.764)</f>
        <v>165.65796</v>
      </c>
      <c r="E211" s="41">
        <f>0.75*(2.65+1.8)*10.764</f>
        <v>35.924849999999999</v>
      </c>
      <c r="F211" s="41">
        <f t="shared" si="35"/>
        <v>201.58280999999999</v>
      </c>
      <c r="G211" s="41">
        <v>0</v>
      </c>
      <c r="H211" s="41">
        <f t="shared" si="36"/>
        <v>302.37421499999999</v>
      </c>
      <c r="I211" s="35"/>
    </row>
    <row r="212" spans="1:13" s="36" customFormat="1" ht="15.75" customHeight="1" x14ac:dyDescent="0.3">
      <c r="A212" s="65">
        <f t="shared" si="38"/>
        <v>8</v>
      </c>
      <c r="B212" s="66"/>
      <c r="C212" s="41" t="s">
        <v>194</v>
      </c>
      <c r="D212" s="50">
        <f t="shared" ref="D212:D213" si="39">(26.52)*(10.764)</f>
        <v>285.46127999999999</v>
      </c>
      <c r="E212" s="50">
        <f t="shared" ref="E212:E213" si="40">0.75*(1.95+2.75+2.75)*10.764</f>
        <v>60.14385</v>
      </c>
      <c r="F212" s="41">
        <f t="shared" si="35"/>
        <v>345.60512999999997</v>
      </c>
      <c r="G212" s="41">
        <f>4.61*10.764</f>
        <v>49.622039999999998</v>
      </c>
      <c r="H212" s="41">
        <f t="shared" si="36"/>
        <v>568.02973499999996</v>
      </c>
      <c r="I212" s="35" t="e">
        <f>4900*#REF!</f>
        <v>#REF!</v>
      </c>
    </row>
    <row r="213" spans="1:13" s="36" customFormat="1" ht="15.75" customHeight="1" x14ac:dyDescent="0.3">
      <c r="A213" s="65">
        <f t="shared" si="38"/>
        <v>9</v>
      </c>
      <c r="B213" s="66"/>
      <c r="C213" s="41" t="s">
        <v>194</v>
      </c>
      <c r="D213" s="50">
        <f t="shared" si="39"/>
        <v>285.46127999999999</v>
      </c>
      <c r="E213" s="50">
        <f t="shared" si="40"/>
        <v>60.14385</v>
      </c>
      <c r="F213" s="41">
        <f t="shared" si="35"/>
        <v>345.60512999999997</v>
      </c>
      <c r="G213" s="41">
        <f>1.88*10.764</f>
        <v>20.236319999999999</v>
      </c>
      <c r="H213" s="41">
        <f t="shared" si="36"/>
        <v>538.64401499999997</v>
      </c>
      <c r="I213" s="35" t="e">
        <f>4900*#REF!</f>
        <v>#REF!</v>
      </c>
    </row>
    <row r="214" spans="1:13" s="36" customFormat="1" ht="15.75" customHeight="1" x14ac:dyDescent="0.3">
      <c r="A214" s="65">
        <f t="shared" si="38"/>
        <v>10</v>
      </c>
      <c r="B214" s="66"/>
      <c r="C214" s="41" t="s">
        <v>196</v>
      </c>
      <c r="D214" s="50">
        <f>(15.28)*(10.764)</f>
        <v>164.47391999999999</v>
      </c>
      <c r="E214" s="41">
        <f>0.75*(2.2+1.8)*10.764</f>
        <v>32.292000000000002</v>
      </c>
      <c r="F214" s="41">
        <f t="shared" si="35"/>
        <v>196.76591999999999</v>
      </c>
      <c r="G214" s="41">
        <v>0</v>
      </c>
      <c r="H214" s="41">
        <f t="shared" si="36"/>
        <v>295.14887999999996</v>
      </c>
      <c r="I214" s="35" t="e">
        <f>4900*#REF!</f>
        <v>#REF!</v>
      </c>
    </row>
    <row r="215" spans="1:13" s="36" customFormat="1" ht="15.75" customHeight="1" x14ac:dyDescent="0.3">
      <c r="A215" s="65">
        <f t="shared" si="38"/>
        <v>11</v>
      </c>
      <c r="B215" s="66"/>
      <c r="C215" s="41" t="s">
        <v>196</v>
      </c>
      <c r="D215" s="50">
        <f>(14.88)*(10.764)</f>
        <v>160.16831999999999</v>
      </c>
      <c r="E215" s="41">
        <f>0.75*(2.2+1.8)*10.764</f>
        <v>32.292000000000002</v>
      </c>
      <c r="F215" s="41">
        <f t="shared" ref="F215:F216" si="41">D215*(($F$153)+1)+(IF(E215&lt;101,E215,IF(E215&lt;201,E215/2,IF(E215&lt;=301,E215/3,E215/4))))</f>
        <v>192.46032</v>
      </c>
      <c r="G215" s="41">
        <v>0</v>
      </c>
      <c r="H215" s="41">
        <f t="shared" ref="H215:H216" si="42">F215*(($H$153)+1)+(IF(G215&lt;101,G215,IF(G215&lt;201,G215/2,IF(G215&lt;=301,G215/3,G215/4))))</f>
        <v>288.69047999999998</v>
      </c>
      <c r="I215" s="35" t="e">
        <f>4900*#REF!</f>
        <v>#REF!</v>
      </c>
    </row>
    <row r="216" spans="1:13" s="36" customFormat="1" ht="15.75" customHeight="1" x14ac:dyDescent="0.3">
      <c r="A216" s="65">
        <f t="shared" si="38"/>
        <v>12</v>
      </c>
      <c r="B216" s="66"/>
      <c r="C216" s="41" t="s">
        <v>196</v>
      </c>
      <c r="D216" s="50">
        <f>(14.88)*(10.764)</f>
        <v>160.16831999999999</v>
      </c>
      <c r="E216" s="41">
        <f>0.75*(2.2+1.8)*10.764</f>
        <v>32.292000000000002</v>
      </c>
      <c r="F216" s="41">
        <f t="shared" si="41"/>
        <v>192.46032</v>
      </c>
      <c r="G216" s="41">
        <v>0</v>
      </c>
      <c r="H216" s="41">
        <f t="shared" si="42"/>
        <v>288.69047999999998</v>
      </c>
      <c r="I216" s="35" t="s">
        <v>197</v>
      </c>
      <c r="J216" s="51">
        <v>4900</v>
      </c>
    </row>
    <row r="217" spans="1:13" s="36" customFormat="1" ht="15.75" customHeight="1" x14ac:dyDescent="0.3">
      <c r="A217" s="73" t="s">
        <v>224</v>
      </c>
      <c r="B217" s="74"/>
      <c r="C217" s="74"/>
      <c r="D217" s="74"/>
      <c r="E217" s="74"/>
      <c r="F217" s="74"/>
      <c r="G217" s="74"/>
      <c r="H217" s="75"/>
      <c r="I217" s="52" t="s">
        <v>200</v>
      </c>
      <c r="J217" s="51" t="s">
        <v>201</v>
      </c>
    </row>
    <row r="218" spans="1:13" s="36" customFormat="1" ht="15.75" customHeight="1" x14ac:dyDescent="0.3">
      <c r="A218" s="65">
        <v>1</v>
      </c>
      <c r="B218" s="66"/>
      <c r="C218" s="41" t="s">
        <v>194</v>
      </c>
      <c r="D218" s="50">
        <f>(27.42)*(10.764)</f>
        <v>295.14888000000002</v>
      </c>
      <c r="E218" s="41">
        <f>0.75*(2.75+2.25+2.35)*10.764</f>
        <v>59.336549999999988</v>
      </c>
      <c r="F218" s="41">
        <f t="shared" ref="F218:F229" si="43">D218*(($F$153)+1)+(IF(E218&lt;101,E218,IF(E218&lt;201,E218/2,IF(E218&lt;=301,E218/3,E218/4))))</f>
        <v>354.48543000000001</v>
      </c>
      <c r="G218" s="41">
        <v>0</v>
      </c>
      <c r="H218" s="41">
        <f t="shared" ref="H218:H229" si="44">F218*(($H$153)+1)+(IF(G218&lt;101,G218,IF(G218&lt;201,G218/2,IF(G218&lt;=301,G218/3,G218/4))))</f>
        <v>531.72814500000004</v>
      </c>
      <c r="I218" s="35">
        <v>11300</v>
      </c>
      <c r="J218" s="35">
        <f>2600000/F181</f>
        <v>7369.2592089026539</v>
      </c>
    </row>
    <row r="219" spans="1:13" s="36" customFormat="1" ht="15.75" customHeight="1" x14ac:dyDescent="0.3">
      <c r="A219" s="65">
        <f>A218+1</f>
        <v>2</v>
      </c>
      <c r="B219" s="66"/>
      <c r="C219" s="41" t="s">
        <v>196</v>
      </c>
      <c r="D219" s="50">
        <f>(15.2)*(10.764)</f>
        <v>163.61279999999999</v>
      </c>
      <c r="E219" s="41">
        <f>0.75*(2.2+1.8)*10.764</f>
        <v>32.292000000000002</v>
      </c>
      <c r="F219" s="41">
        <f t="shared" si="43"/>
        <v>195.90479999999999</v>
      </c>
      <c r="G219" s="41">
        <v>0</v>
      </c>
      <c r="H219" s="41">
        <f t="shared" si="44"/>
        <v>293.85719999999998</v>
      </c>
      <c r="I219" s="35">
        <f>I218/1.45</f>
        <v>7793.1034482758623</v>
      </c>
      <c r="J219" s="35">
        <f>1600000/F218</f>
        <v>4513.5846627039082</v>
      </c>
    </row>
    <row r="220" spans="1:13" s="36" customFormat="1" ht="15.75" customHeight="1" x14ac:dyDescent="0.3">
      <c r="A220" s="65">
        <f t="shared" ref="A220:A229" si="45">A219+1</f>
        <v>3</v>
      </c>
      <c r="B220" s="66"/>
      <c r="C220" s="41" t="s">
        <v>196</v>
      </c>
      <c r="D220" s="50">
        <f>(14.88)*(10.764)</f>
        <v>160.16831999999999</v>
      </c>
      <c r="E220" s="41">
        <f>0.75*(2.2+1.8)*10.764</f>
        <v>32.292000000000002</v>
      </c>
      <c r="F220" s="41">
        <f t="shared" si="43"/>
        <v>192.46032</v>
      </c>
      <c r="G220" s="41">
        <v>0</v>
      </c>
      <c r="H220" s="41">
        <f t="shared" si="44"/>
        <v>288.69047999999998</v>
      </c>
      <c r="I220" s="35" t="s">
        <v>197</v>
      </c>
      <c r="J220" s="51">
        <v>4900</v>
      </c>
    </row>
    <row r="221" spans="1:13" s="36" customFormat="1" ht="15.75" customHeight="1" x14ac:dyDescent="0.3">
      <c r="A221" s="65">
        <f t="shared" si="45"/>
        <v>4</v>
      </c>
      <c r="B221" s="66"/>
      <c r="C221" s="41" t="s">
        <v>196</v>
      </c>
      <c r="D221" s="50">
        <f>(14.88)*(10.764)</f>
        <v>160.16831999999999</v>
      </c>
      <c r="E221" s="41">
        <f>0.75*(2.2+1.8)*10.764</f>
        <v>32.292000000000002</v>
      </c>
      <c r="F221" s="41">
        <f t="shared" si="43"/>
        <v>192.46032</v>
      </c>
      <c r="G221" s="41">
        <v>0</v>
      </c>
      <c r="H221" s="41">
        <f t="shared" si="44"/>
        <v>288.69047999999998</v>
      </c>
      <c r="I221" s="35" t="s">
        <v>202</v>
      </c>
      <c r="J221" s="51">
        <v>12000</v>
      </c>
    </row>
    <row r="222" spans="1:13" s="36" customFormat="1" ht="15.75" customHeight="1" x14ac:dyDescent="0.3">
      <c r="A222" s="65">
        <f t="shared" si="45"/>
        <v>5</v>
      </c>
      <c r="B222" s="66"/>
      <c r="C222" s="41" t="s">
        <v>196</v>
      </c>
      <c r="D222" s="50">
        <f>(15.62)*(10.764)</f>
        <v>168.13367999999997</v>
      </c>
      <c r="E222" s="41">
        <f>0.75*(2.3+1.8)*10.764</f>
        <v>33.099299999999992</v>
      </c>
      <c r="F222" s="41">
        <f t="shared" si="43"/>
        <v>201.23297999999997</v>
      </c>
      <c r="G222" s="41">
        <v>0</v>
      </c>
      <c r="H222" s="41">
        <f t="shared" si="44"/>
        <v>301.84946999999994</v>
      </c>
      <c r="I222" s="35"/>
    </row>
    <row r="223" spans="1:13" s="36" customFormat="1" x14ac:dyDescent="0.3">
      <c r="A223" s="65">
        <f t="shared" si="45"/>
        <v>6</v>
      </c>
      <c r="B223" s="66"/>
      <c r="C223" s="41" t="s">
        <v>196</v>
      </c>
      <c r="D223" s="50">
        <f>(15.37)*(10.764)</f>
        <v>165.44268</v>
      </c>
      <c r="E223" s="41">
        <f>0.75*(2.15+1.8)*10.764</f>
        <v>31.888350000000003</v>
      </c>
      <c r="F223" s="41">
        <f t="shared" si="43"/>
        <v>197.33103</v>
      </c>
      <c r="G223" s="41">
        <v>0</v>
      </c>
      <c r="H223" s="41">
        <f t="shared" si="44"/>
        <v>295.99654499999997</v>
      </c>
      <c r="I223" s="53" t="s">
        <v>203</v>
      </c>
      <c r="J223" s="51" t="s">
        <v>204</v>
      </c>
      <c r="K223" s="51">
        <v>4800</v>
      </c>
      <c r="L223" s="51" t="s">
        <v>205</v>
      </c>
      <c r="M223" s="54">
        <v>0.5</v>
      </c>
    </row>
    <row r="224" spans="1:13" s="36" customFormat="1" x14ac:dyDescent="0.3">
      <c r="A224" s="65">
        <f t="shared" si="45"/>
        <v>7</v>
      </c>
      <c r="B224" s="66"/>
      <c r="C224" s="41" t="s">
        <v>196</v>
      </c>
      <c r="D224" s="50">
        <f>(15.39)*(10.764)</f>
        <v>165.65796</v>
      </c>
      <c r="E224" s="41">
        <f>0.75*(2.65+1.8)*10.764</f>
        <v>35.924849999999999</v>
      </c>
      <c r="F224" s="41">
        <f t="shared" si="43"/>
        <v>201.58280999999999</v>
      </c>
      <c r="G224" s="41">
        <v>0</v>
      </c>
      <c r="H224" s="41">
        <f t="shared" si="44"/>
        <v>302.37421499999999</v>
      </c>
      <c r="I224" s="35"/>
    </row>
    <row r="225" spans="1:13" s="36" customFormat="1" ht="15.75" customHeight="1" x14ac:dyDescent="0.3">
      <c r="A225" s="65">
        <f t="shared" si="45"/>
        <v>8</v>
      </c>
      <c r="B225" s="66"/>
      <c r="C225" s="41" t="s">
        <v>194</v>
      </c>
      <c r="D225" s="50">
        <f t="shared" ref="D225:D226" si="46">(26.52)*(10.764)</f>
        <v>285.46127999999999</v>
      </c>
      <c r="E225" s="50">
        <f t="shared" ref="E225:E226" si="47">0.75*(1.95+2.75+2.75)*10.764</f>
        <v>60.14385</v>
      </c>
      <c r="F225" s="41">
        <f t="shared" si="43"/>
        <v>345.60512999999997</v>
      </c>
      <c r="G225" s="41">
        <v>0</v>
      </c>
      <c r="H225" s="41">
        <f t="shared" si="44"/>
        <v>518.40769499999999</v>
      </c>
      <c r="I225" s="35">
        <f>4900*F244</f>
        <v>0</v>
      </c>
    </row>
    <row r="226" spans="1:13" s="36" customFormat="1" ht="15.75" customHeight="1" x14ac:dyDescent="0.3">
      <c r="A226" s="65">
        <f t="shared" si="45"/>
        <v>9</v>
      </c>
      <c r="B226" s="66"/>
      <c r="C226" s="41" t="s">
        <v>194</v>
      </c>
      <c r="D226" s="50">
        <f t="shared" si="46"/>
        <v>285.46127999999999</v>
      </c>
      <c r="E226" s="50">
        <f t="shared" si="47"/>
        <v>60.14385</v>
      </c>
      <c r="F226" s="41">
        <f t="shared" si="43"/>
        <v>345.60512999999997</v>
      </c>
      <c r="G226" s="41">
        <v>0</v>
      </c>
      <c r="H226" s="41">
        <f t="shared" si="44"/>
        <v>518.40769499999999</v>
      </c>
      <c r="I226" s="35">
        <f>4900*F245</f>
        <v>0</v>
      </c>
    </row>
    <row r="227" spans="1:13" s="36" customFormat="1" ht="15.75" customHeight="1" x14ac:dyDescent="0.3">
      <c r="A227" s="65">
        <f t="shared" si="45"/>
        <v>10</v>
      </c>
      <c r="B227" s="66"/>
      <c r="C227" s="41" t="s">
        <v>196</v>
      </c>
      <c r="D227" s="50">
        <f>(15.28)*(10.764)</f>
        <v>164.47391999999999</v>
      </c>
      <c r="E227" s="41">
        <f>0.75*(2.2+1.8)*10.764</f>
        <v>32.292000000000002</v>
      </c>
      <c r="F227" s="41">
        <f t="shared" si="43"/>
        <v>196.76591999999999</v>
      </c>
      <c r="G227" s="41">
        <v>0</v>
      </c>
      <c r="H227" s="41">
        <f t="shared" si="44"/>
        <v>295.14887999999996</v>
      </c>
      <c r="I227" s="35">
        <f>4900*F246</f>
        <v>0</v>
      </c>
    </row>
    <row r="228" spans="1:13" s="36" customFormat="1" ht="15.75" customHeight="1" x14ac:dyDescent="0.3">
      <c r="A228" s="65">
        <f t="shared" si="45"/>
        <v>11</v>
      </c>
      <c r="B228" s="66"/>
      <c r="C228" s="41" t="s">
        <v>196</v>
      </c>
      <c r="D228" s="50">
        <f>(14.88)*(10.764)</f>
        <v>160.16831999999999</v>
      </c>
      <c r="E228" s="41">
        <f>0.75*(2.2+1.8)*10.764</f>
        <v>32.292000000000002</v>
      </c>
      <c r="F228" s="41">
        <f t="shared" si="43"/>
        <v>192.46032</v>
      </c>
      <c r="G228" s="41">
        <v>0</v>
      </c>
      <c r="H228" s="41">
        <f t="shared" si="44"/>
        <v>288.69047999999998</v>
      </c>
      <c r="I228" s="35">
        <f>4900*F247</f>
        <v>0</v>
      </c>
    </row>
    <row r="229" spans="1:13" s="36" customFormat="1" ht="15.75" customHeight="1" x14ac:dyDescent="0.3">
      <c r="A229" s="65">
        <f t="shared" si="45"/>
        <v>12</v>
      </c>
      <c r="B229" s="66"/>
      <c r="C229" s="41" t="s">
        <v>196</v>
      </c>
      <c r="D229" s="50">
        <f>(14.88)*(10.764)</f>
        <v>160.16831999999999</v>
      </c>
      <c r="E229" s="41">
        <f>0.75*(2.2+1.8)*10.764</f>
        <v>32.292000000000002</v>
      </c>
      <c r="F229" s="41">
        <f t="shared" si="43"/>
        <v>192.46032</v>
      </c>
      <c r="G229" s="41">
        <v>0</v>
      </c>
      <c r="H229" s="41">
        <f t="shared" si="44"/>
        <v>288.69047999999998</v>
      </c>
      <c r="I229" s="35" t="s">
        <v>197</v>
      </c>
      <c r="J229" s="51">
        <v>4900</v>
      </c>
    </row>
    <row r="230" spans="1:13" s="36" customFormat="1" ht="15.75" customHeight="1" x14ac:dyDescent="0.3">
      <c r="A230" s="73" t="s">
        <v>212</v>
      </c>
      <c r="B230" s="74"/>
      <c r="C230" s="74"/>
      <c r="D230" s="74"/>
      <c r="E230" s="74"/>
      <c r="F230" s="74"/>
      <c r="G230" s="74"/>
      <c r="H230" s="75"/>
      <c r="I230" s="52" t="s">
        <v>200</v>
      </c>
      <c r="J230" s="51" t="s">
        <v>201</v>
      </c>
    </row>
    <row r="231" spans="1:13" s="36" customFormat="1" ht="15.75" customHeight="1" x14ac:dyDescent="0.3">
      <c r="A231" s="65">
        <v>1</v>
      </c>
      <c r="B231" s="66"/>
      <c r="C231" s="65" t="s">
        <v>220</v>
      </c>
      <c r="D231" s="67"/>
      <c r="E231" s="67"/>
      <c r="F231" s="67"/>
      <c r="G231" s="67"/>
      <c r="H231" s="66"/>
      <c r="I231" s="35">
        <v>11300</v>
      </c>
      <c r="J231" s="35">
        <f>2600000/F194</f>
        <v>7523.0364780754271</v>
      </c>
    </row>
    <row r="232" spans="1:13" s="36" customFormat="1" ht="15.75" customHeight="1" x14ac:dyDescent="0.3">
      <c r="A232" s="65">
        <f>A231+1</f>
        <v>2</v>
      </c>
      <c r="B232" s="66"/>
      <c r="C232" s="41" t="s">
        <v>196</v>
      </c>
      <c r="D232" s="50">
        <f>(15.2)*(10.764)</f>
        <v>163.61279999999999</v>
      </c>
      <c r="E232" s="41">
        <f>0.75*(2.2+1.8)*10.764</f>
        <v>32.292000000000002</v>
      </c>
      <c r="F232" s="41">
        <f t="shared" ref="F232:F242" si="48">D232*(($F$153)+1)+(IF(E232&lt;101,E232,IF(E232&lt;201,E232/2,IF(E232&lt;=301,E232/3,E232/4))))</f>
        <v>195.90479999999999</v>
      </c>
      <c r="G232" s="41">
        <v>0</v>
      </c>
      <c r="H232" s="41">
        <f t="shared" ref="H232:H242" si="49">F232*(($H$153)+1)+(IF(G232&lt;101,G232,IF(G232&lt;201,G232/2,IF(G232&lt;=301,G232/3,G232/4))))</f>
        <v>293.85719999999998</v>
      </c>
      <c r="I232" s="35">
        <f>I231/1.45</f>
        <v>7793.1034482758623</v>
      </c>
      <c r="J232" s="35" t="e">
        <f>1600000/F231</f>
        <v>#DIV/0!</v>
      </c>
    </row>
    <row r="233" spans="1:13" s="36" customFormat="1" ht="15.75" customHeight="1" x14ac:dyDescent="0.3">
      <c r="A233" s="65">
        <f t="shared" ref="A233:A242" si="50">A232+1</f>
        <v>3</v>
      </c>
      <c r="B233" s="66"/>
      <c r="C233" s="41" t="s">
        <v>196</v>
      </c>
      <c r="D233" s="50">
        <f>(14.88)*(10.764)</f>
        <v>160.16831999999999</v>
      </c>
      <c r="E233" s="41">
        <f>0.75*(2.2+1.8)*10.764</f>
        <v>32.292000000000002</v>
      </c>
      <c r="F233" s="41">
        <f t="shared" si="48"/>
        <v>192.46032</v>
      </c>
      <c r="G233" s="41">
        <v>0</v>
      </c>
      <c r="H233" s="41">
        <f t="shared" si="49"/>
        <v>288.69047999999998</v>
      </c>
      <c r="I233" s="35" t="s">
        <v>197</v>
      </c>
      <c r="J233" s="51">
        <v>4900</v>
      </c>
    </row>
    <row r="234" spans="1:13" s="36" customFormat="1" ht="15.75" customHeight="1" x14ac:dyDescent="0.3">
      <c r="A234" s="65">
        <f t="shared" si="50"/>
        <v>4</v>
      </c>
      <c r="B234" s="66"/>
      <c r="C234" s="41" t="s">
        <v>196</v>
      </c>
      <c r="D234" s="50">
        <f>(14.88)*(10.764)</f>
        <v>160.16831999999999</v>
      </c>
      <c r="E234" s="41">
        <f>0.75*(2.2+1.8)*10.764</f>
        <v>32.292000000000002</v>
      </c>
      <c r="F234" s="41">
        <f t="shared" si="48"/>
        <v>192.46032</v>
      </c>
      <c r="G234" s="41">
        <v>0</v>
      </c>
      <c r="H234" s="41">
        <f t="shared" si="49"/>
        <v>288.69047999999998</v>
      </c>
      <c r="I234" s="35" t="s">
        <v>202</v>
      </c>
      <c r="J234" s="51">
        <v>12000</v>
      </c>
    </row>
    <row r="235" spans="1:13" s="36" customFormat="1" ht="15.75" customHeight="1" x14ac:dyDescent="0.3">
      <c r="A235" s="65">
        <f t="shared" si="50"/>
        <v>5</v>
      </c>
      <c r="B235" s="66"/>
      <c r="C235" s="41" t="s">
        <v>196</v>
      </c>
      <c r="D235" s="50">
        <f>(15.62)*(10.764)</f>
        <v>168.13367999999997</v>
      </c>
      <c r="E235" s="41">
        <f>0.75*(2.3+1.8)*10.764</f>
        <v>33.099299999999992</v>
      </c>
      <c r="F235" s="41">
        <f t="shared" si="48"/>
        <v>201.23297999999997</v>
      </c>
      <c r="G235" s="41">
        <v>0</v>
      </c>
      <c r="H235" s="41">
        <f t="shared" si="49"/>
        <v>301.84946999999994</v>
      </c>
      <c r="I235" s="35"/>
    </row>
    <row r="236" spans="1:13" s="36" customFormat="1" x14ac:dyDescent="0.3">
      <c r="A236" s="65">
        <f t="shared" si="50"/>
        <v>6</v>
      </c>
      <c r="B236" s="66"/>
      <c r="C236" s="41" t="s">
        <v>196</v>
      </c>
      <c r="D236" s="50">
        <f>(15.37)*(10.764)</f>
        <v>165.44268</v>
      </c>
      <c r="E236" s="41">
        <f>0.75*(2.15+1.8)*10.764</f>
        <v>31.888350000000003</v>
      </c>
      <c r="F236" s="41">
        <f t="shared" si="48"/>
        <v>197.33103</v>
      </c>
      <c r="G236" s="41">
        <v>0</v>
      </c>
      <c r="H236" s="41">
        <f t="shared" si="49"/>
        <v>295.99654499999997</v>
      </c>
      <c r="I236" s="53" t="s">
        <v>203</v>
      </c>
      <c r="J236" s="51" t="s">
        <v>204</v>
      </c>
      <c r="K236" s="51">
        <v>4800</v>
      </c>
      <c r="L236" s="51" t="s">
        <v>205</v>
      </c>
      <c r="M236" s="54">
        <v>0.5</v>
      </c>
    </row>
    <row r="237" spans="1:13" s="36" customFormat="1" x14ac:dyDescent="0.3">
      <c r="A237" s="65">
        <f t="shared" si="50"/>
        <v>7</v>
      </c>
      <c r="B237" s="66"/>
      <c r="C237" s="41" t="s">
        <v>196</v>
      </c>
      <c r="D237" s="50">
        <f>(15.39)*(10.764)</f>
        <v>165.65796</v>
      </c>
      <c r="E237" s="41">
        <f>0.75*(2.65+1.8)*10.764</f>
        <v>35.924849999999999</v>
      </c>
      <c r="F237" s="41">
        <f t="shared" si="48"/>
        <v>201.58280999999999</v>
      </c>
      <c r="G237" s="41">
        <v>0</v>
      </c>
      <c r="H237" s="41">
        <f t="shared" si="49"/>
        <v>302.37421499999999</v>
      </c>
      <c r="I237" s="35"/>
    </row>
    <row r="238" spans="1:13" s="36" customFormat="1" ht="15.75" customHeight="1" x14ac:dyDescent="0.3">
      <c r="A238" s="65">
        <f t="shared" si="50"/>
        <v>8</v>
      </c>
      <c r="B238" s="66"/>
      <c r="C238" s="41" t="s">
        <v>194</v>
      </c>
      <c r="D238" s="50">
        <f t="shared" ref="D238:D239" si="51">(26.52)*(10.764)</f>
        <v>285.46127999999999</v>
      </c>
      <c r="E238" s="50">
        <f t="shared" ref="E238:E239" si="52">0.75*(1.95+2.75+2.75)*10.764</f>
        <v>60.14385</v>
      </c>
      <c r="F238" s="41">
        <f t="shared" si="48"/>
        <v>345.60512999999997</v>
      </c>
      <c r="G238" s="41">
        <v>0</v>
      </c>
      <c r="H238" s="41">
        <f t="shared" si="49"/>
        <v>518.40769499999999</v>
      </c>
      <c r="I238" s="35">
        <f>4900*F258</f>
        <v>0</v>
      </c>
    </row>
    <row r="239" spans="1:13" s="36" customFormat="1" ht="15.75" customHeight="1" x14ac:dyDescent="0.3">
      <c r="A239" s="65">
        <f t="shared" si="50"/>
        <v>9</v>
      </c>
      <c r="B239" s="66"/>
      <c r="C239" s="41" t="s">
        <v>194</v>
      </c>
      <c r="D239" s="50">
        <f t="shared" si="51"/>
        <v>285.46127999999999</v>
      </c>
      <c r="E239" s="50">
        <f t="shared" si="52"/>
        <v>60.14385</v>
      </c>
      <c r="F239" s="41">
        <f t="shared" si="48"/>
        <v>345.60512999999997</v>
      </c>
      <c r="G239" s="41">
        <v>0</v>
      </c>
      <c r="H239" s="41">
        <f t="shared" si="49"/>
        <v>518.40769499999999</v>
      </c>
      <c r="I239" s="35">
        <f>4900*F259</f>
        <v>0</v>
      </c>
    </row>
    <row r="240" spans="1:13" s="36" customFormat="1" ht="15.75" customHeight="1" x14ac:dyDescent="0.3">
      <c r="A240" s="65">
        <f t="shared" si="50"/>
        <v>10</v>
      </c>
      <c r="B240" s="66"/>
      <c r="C240" s="41" t="s">
        <v>196</v>
      </c>
      <c r="D240" s="50">
        <f>(15.28)*(10.764)</f>
        <v>164.47391999999999</v>
      </c>
      <c r="E240" s="41">
        <f>0.75*(2.2+1.8)*10.764</f>
        <v>32.292000000000002</v>
      </c>
      <c r="F240" s="41">
        <f t="shared" si="48"/>
        <v>196.76591999999999</v>
      </c>
      <c r="G240" s="41">
        <v>0</v>
      </c>
      <c r="H240" s="41">
        <f t="shared" si="49"/>
        <v>295.14887999999996</v>
      </c>
      <c r="I240" s="35">
        <f>4900*F260</f>
        <v>0</v>
      </c>
    </row>
    <row r="241" spans="1:10" s="36" customFormat="1" ht="15.75" customHeight="1" x14ac:dyDescent="0.3">
      <c r="A241" s="65">
        <f t="shared" si="50"/>
        <v>11</v>
      </c>
      <c r="B241" s="66"/>
      <c r="C241" s="41" t="s">
        <v>196</v>
      </c>
      <c r="D241" s="50">
        <f>(14.88)*(10.764)</f>
        <v>160.16831999999999</v>
      </c>
      <c r="E241" s="41">
        <f>0.75*(2.2+1.8)*10.764</f>
        <v>32.292000000000002</v>
      </c>
      <c r="F241" s="41">
        <f t="shared" si="48"/>
        <v>192.46032</v>
      </c>
      <c r="G241" s="41">
        <v>0</v>
      </c>
      <c r="H241" s="41">
        <f t="shared" si="49"/>
        <v>288.69047999999998</v>
      </c>
      <c r="I241" s="35">
        <f>4900*F261</f>
        <v>0</v>
      </c>
    </row>
    <row r="242" spans="1:10" s="36" customFormat="1" ht="15.75" customHeight="1" x14ac:dyDescent="0.3">
      <c r="A242" s="65">
        <f t="shared" si="50"/>
        <v>12</v>
      </c>
      <c r="B242" s="66"/>
      <c r="C242" s="41" t="s">
        <v>196</v>
      </c>
      <c r="D242" s="50">
        <f>(14.88)*(10.764)</f>
        <v>160.16831999999999</v>
      </c>
      <c r="E242" s="41">
        <f>0.75*(2.2+1.8)*10.764</f>
        <v>32.292000000000002</v>
      </c>
      <c r="F242" s="41">
        <f t="shared" si="48"/>
        <v>192.46032</v>
      </c>
      <c r="G242" s="41">
        <v>0</v>
      </c>
      <c r="H242" s="41">
        <f t="shared" si="49"/>
        <v>288.69047999999998</v>
      </c>
      <c r="I242" s="35" t="s">
        <v>197</v>
      </c>
      <c r="J242" s="51">
        <v>4900</v>
      </c>
    </row>
    <row r="243" spans="1:10" s="34" customFormat="1" x14ac:dyDescent="0.3">
      <c r="A243" s="120" t="s">
        <v>69</v>
      </c>
      <c r="B243" s="120"/>
      <c r="C243" s="120"/>
      <c r="D243" s="120"/>
      <c r="E243" s="120"/>
      <c r="F243" s="120"/>
      <c r="G243" s="120"/>
      <c r="H243" s="120"/>
    </row>
    <row r="244" spans="1:10" s="34" customFormat="1" ht="31.8" customHeight="1" x14ac:dyDescent="0.3">
      <c r="A244" s="43" t="s">
        <v>149</v>
      </c>
      <c r="B244" s="118" t="s">
        <v>232</v>
      </c>
      <c r="C244" s="118"/>
      <c r="D244" s="118"/>
      <c r="E244" s="118"/>
      <c r="F244" s="118"/>
      <c r="G244" s="118"/>
      <c r="H244" s="118"/>
    </row>
    <row r="245" spans="1:10" s="34" customFormat="1" x14ac:dyDescent="0.3">
      <c r="A245" s="43" t="s">
        <v>149</v>
      </c>
      <c r="B245" s="115" t="str">
        <f>(IF(H152="Saleable area Loading :","We have considered Saleable area of Flats as per our Calculation.","We considered Saleable area of Flat as per Builder area Sheet."))</f>
        <v>We have considered Saleable area of Flats as per our Calculation.</v>
      </c>
      <c r="C245" s="116"/>
      <c r="D245" s="116"/>
      <c r="E245" s="116"/>
      <c r="F245" s="116"/>
      <c r="G245" s="116"/>
      <c r="H245" s="117"/>
    </row>
    <row r="246" spans="1:10" s="34" customFormat="1" x14ac:dyDescent="0.3">
      <c r="A246" s="43" t="s">
        <v>149</v>
      </c>
      <c r="B246" s="115" t="str">
        <f>(IF(H119="Saleable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6" s="116"/>
      <c r="D246" s="116"/>
      <c r="E246" s="116"/>
      <c r="F246" s="116"/>
      <c r="G246" s="116"/>
      <c r="H246" s="117"/>
    </row>
    <row r="247" spans="1:10" s="34" customFormat="1" x14ac:dyDescent="0.3">
      <c r="A247" s="43" t="s">
        <v>149</v>
      </c>
      <c r="B247" s="70" t="s">
        <v>119</v>
      </c>
      <c r="C247" s="71"/>
      <c r="D247" s="71"/>
      <c r="E247" s="71"/>
      <c r="F247" s="71"/>
      <c r="G247" s="71"/>
      <c r="H247" s="72"/>
      <c r="J247" s="55"/>
    </row>
    <row r="248" spans="1:10" s="34" customFormat="1" x14ac:dyDescent="0.3">
      <c r="A248" s="43" t="s">
        <v>149</v>
      </c>
      <c r="B248" s="70" t="s">
        <v>198</v>
      </c>
      <c r="C248" s="71"/>
      <c r="D248" s="71"/>
      <c r="E248" s="71"/>
      <c r="F248" s="71"/>
      <c r="G248" s="71"/>
      <c r="H248" s="72"/>
    </row>
    <row r="249" spans="1:10" s="34" customFormat="1" x14ac:dyDescent="0.3">
      <c r="A249" s="43" t="s">
        <v>149</v>
      </c>
      <c r="B249" s="70" t="s">
        <v>148</v>
      </c>
      <c r="C249" s="71"/>
      <c r="D249" s="71"/>
      <c r="E249" s="71"/>
      <c r="F249" s="71"/>
      <c r="G249" s="71"/>
      <c r="H249" s="72"/>
    </row>
    <row r="250" spans="1:10" s="34" customFormat="1" x14ac:dyDescent="0.3">
      <c r="A250" s="43" t="s">
        <v>149</v>
      </c>
      <c r="B250" s="70" t="s">
        <v>120</v>
      </c>
      <c r="C250" s="71"/>
      <c r="D250" s="71"/>
      <c r="E250" s="71"/>
      <c r="F250" s="71"/>
      <c r="G250" s="71"/>
      <c r="H250" s="72"/>
    </row>
    <row r="251" spans="1:10" s="34" customFormat="1" ht="34.5" customHeight="1" x14ac:dyDescent="0.3">
      <c r="A251" s="43" t="s">
        <v>149</v>
      </c>
      <c r="B251" s="70" t="s">
        <v>150</v>
      </c>
      <c r="C251" s="71"/>
      <c r="D251" s="71"/>
      <c r="E251" s="71"/>
      <c r="F251" s="71"/>
      <c r="G251" s="71"/>
      <c r="H251" s="72"/>
    </row>
    <row r="252" spans="1:10" s="34" customFormat="1" x14ac:dyDescent="0.3">
      <c r="A252" s="43" t="s">
        <v>149</v>
      </c>
      <c r="B252" s="70" t="s">
        <v>121</v>
      </c>
      <c r="C252" s="71"/>
      <c r="D252" s="71"/>
      <c r="E252" s="71"/>
      <c r="F252" s="71"/>
      <c r="G252" s="71"/>
      <c r="H252" s="72"/>
    </row>
    <row r="253" spans="1:10" s="34" customFormat="1" x14ac:dyDescent="0.3">
      <c r="A253" s="43" t="s">
        <v>149</v>
      </c>
      <c r="B253" s="70" t="s">
        <v>225</v>
      </c>
      <c r="C253" s="71"/>
      <c r="D253" s="71"/>
      <c r="E253" s="71"/>
      <c r="F253" s="71"/>
      <c r="G253" s="71"/>
      <c r="H253" s="72"/>
    </row>
    <row r="254" spans="1:10" s="34" customFormat="1" x14ac:dyDescent="0.3">
      <c r="A254" s="43" t="s">
        <v>149</v>
      </c>
      <c r="B254" s="70" t="s">
        <v>231</v>
      </c>
      <c r="C254" s="71"/>
      <c r="D254" s="71"/>
      <c r="E254" s="71"/>
      <c r="F254" s="71"/>
      <c r="G254" s="71"/>
      <c r="H254" s="72"/>
    </row>
    <row r="255" spans="1:10" x14ac:dyDescent="0.3">
      <c r="A255" s="113" t="s">
        <v>62</v>
      </c>
      <c r="B255" s="113"/>
      <c r="C255" s="113"/>
      <c r="D255" s="113"/>
      <c r="E255" s="113"/>
      <c r="F255" s="113"/>
      <c r="G255" s="113"/>
      <c r="H255" s="113"/>
    </row>
    <row r="256" spans="1:10" x14ac:dyDescent="0.3">
      <c r="A256" s="77" t="s">
        <v>63</v>
      </c>
      <c r="B256" s="77"/>
      <c r="C256" s="77"/>
      <c r="D256" s="77"/>
      <c r="E256" s="77"/>
      <c r="F256" s="77"/>
      <c r="G256" s="77"/>
      <c r="H256" s="77"/>
    </row>
    <row r="257" spans="1:8" ht="15.75" customHeight="1" x14ac:dyDescent="0.3">
      <c r="A257" s="78" t="s">
        <v>64</v>
      </c>
      <c r="B257" s="78"/>
      <c r="C257" s="78"/>
      <c r="D257" s="78"/>
      <c r="E257" s="78"/>
      <c r="F257" s="78"/>
      <c r="G257" s="78"/>
      <c r="H257" s="78"/>
    </row>
    <row r="258" spans="1:8" x14ac:dyDescent="0.3">
      <c r="A258" s="77" t="s">
        <v>65</v>
      </c>
      <c r="B258" s="77"/>
      <c r="C258" s="77"/>
      <c r="D258" s="77"/>
      <c r="E258" s="77"/>
      <c r="F258" s="77"/>
      <c r="G258" s="77"/>
      <c r="H258" s="77"/>
    </row>
    <row r="259" spans="1:8" x14ac:dyDescent="0.3">
      <c r="A259" s="77" t="s">
        <v>66</v>
      </c>
      <c r="B259" s="77"/>
      <c r="C259" s="77"/>
      <c r="D259" s="77"/>
      <c r="E259" s="77"/>
      <c r="F259" s="77"/>
      <c r="G259" s="77"/>
      <c r="H259" s="77"/>
    </row>
    <row r="260" spans="1:8" x14ac:dyDescent="0.3">
      <c r="A260" s="77" t="s">
        <v>122</v>
      </c>
      <c r="B260" s="77"/>
      <c r="C260" s="77"/>
      <c r="D260" s="77"/>
      <c r="E260" s="77"/>
      <c r="F260" s="77"/>
      <c r="G260" s="77"/>
      <c r="H260" s="77"/>
    </row>
    <row r="261" spans="1:8" x14ac:dyDescent="0.3">
      <c r="A261" s="110" t="s">
        <v>123</v>
      </c>
      <c r="B261" s="110"/>
      <c r="C261" s="110"/>
      <c r="D261" s="110"/>
      <c r="E261" s="110"/>
      <c r="F261" s="110"/>
      <c r="G261" s="110"/>
      <c r="H261" s="110"/>
    </row>
    <row r="262" spans="1:8" x14ac:dyDescent="0.3">
      <c r="A262" s="127" t="s">
        <v>77</v>
      </c>
      <c r="B262" s="127"/>
      <c r="C262" s="127" t="s">
        <v>183</v>
      </c>
      <c r="D262" s="127"/>
      <c r="E262" s="127" t="s">
        <v>105</v>
      </c>
      <c r="F262" s="127"/>
      <c r="G262" s="127" t="s">
        <v>233</v>
      </c>
      <c r="H262" s="127"/>
    </row>
    <row r="263" spans="1:8" x14ac:dyDescent="0.3">
      <c r="A263" s="126" t="s">
        <v>79</v>
      </c>
      <c r="B263" s="126"/>
      <c r="C263" s="126"/>
      <c r="D263" s="126"/>
      <c r="E263" s="126"/>
      <c r="F263" s="126"/>
      <c r="G263" s="126"/>
      <c r="H263" s="126"/>
    </row>
    <row r="264" spans="1:8" x14ac:dyDescent="0.3">
      <c r="A264" s="126"/>
      <c r="B264" s="126"/>
      <c r="C264" s="126"/>
      <c r="D264" s="126"/>
      <c r="E264" s="126"/>
      <c r="F264" s="126"/>
      <c r="G264" s="126"/>
      <c r="H264" s="126"/>
    </row>
    <row r="265" spans="1:8" x14ac:dyDescent="0.3">
      <c r="A265" s="126"/>
      <c r="B265" s="126"/>
      <c r="C265" s="126"/>
      <c r="D265" s="126"/>
      <c r="E265" s="126"/>
      <c r="F265" s="126"/>
      <c r="G265" s="126"/>
      <c r="H265" s="126"/>
    </row>
    <row r="266" spans="1:8" x14ac:dyDescent="0.3">
      <c r="A266" s="126"/>
      <c r="B266" s="126"/>
      <c r="C266" s="126"/>
      <c r="D266" s="126"/>
      <c r="E266" s="126"/>
      <c r="F266" s="126"/>
      <c r="G266" s="126"/>
      <c r="H266" s="126"/>
    </row>
    <row r="267" spans="1:8" x14ac:dyDescent="0.3">
      <c r="A267" s="37" t="s">
        <v>67</v>
      </c>
      <c r="B267" s="38"/>
      <c r="C267" s="38"/>
      <c r="D267" s="37" t="str">
        <f>E8</f>
        <v>Paramount Height</v>
      </c>
      <c r="F267" s="38"/>
      <c r="G267" s="38"/>
      <c r="H267" s="38"/>
    </row>
    <row r="268" spans="1:8" x14ac:dyDescent="0.3">
      <c r="A268" s="38"/>
      <c r="B268" s="38"/>
      <c r="C268" s="38"/>
      <c r="D268" s="38"/>
      <c r="E268" s="38"/>
      <c r="F268" s="38"/>
      <c r="G268" s="38"/>
      <c r="H268" s="38"/>
    </row>
    <row r="269" spans="1:8" x14ac:dyDescent="0.3">
      <c r="A269" s="38"/>
      <c r="B269" s="38"/>
      <c r="C269" s="38"/>
      <c r="D269" s="38"/>
      <c r="E269" s="38"/>
      <c r="F269" s="38"/>
      <c r="G269" s="38"/>
      <c r="H269" s="38"/>
    </row>
    <row r="270" spans="1:8" ht="15" customHeight="1" x14ac:dyDescent="0.3"/>
    <row r="277" spans="10:10" x14ac:dyDescent="0.3">
      <c r="J277" s="20" t="s">
        <v>206</v>
      </c>
    </row>
    <row r="309" spans="1:1" x14ac:dyDescent="0.3">
      <c r="A309" s="40" t="s">
        <v>161</v>
      </c>
    </row>
    <row r="351" spans="1:1" x14ac:dyDescent="0.3">
      <c r="A351" s="40" t="s">
        <v>68</v>
      </c>
    </row>
  </sheetData>
  <mergeCells count="430">
    <mergeCell ref="L147:M147"/>
    <mergeCell ref="A144:H144"/>
    <mergeCell ref="A187:B187"/>
    <mergeCell ref="L191:M191"/>
    <mergeCell ref="A192:B192"/>
    <mergeCell ref="A193:B193"/>
    <mergeCell ref="A194:B194"/>
    <mergeCell ref="A195:B195"/>
    <mergeCell ref="A196:B196"/>
    <mergeCell ref="A127:B127"/>
    <mergeCell ref="L127:M127"/>
    <mergeCell ref="A128:B128"/>
    <mergeCell ref="L179:M179"/>
    <mergeCell ref="A180:B180"/>
    <mergeCell ref="A181:B181"/>
    <mergeCell ref="A182:B182"/>
    <mergeCell ref="A183:B183"/>
    <mergeCell ref="A184:B184"/>
    <mergeCell ref="L149:M149"/>
    <mergeCell ref="L128:M128"/>
    <mergeCell ref="A129:B129"/>
    <mergeCell ref="L129:M129"/>
    <mergeCell ref="A130:B130"/>
    <mergeCell ref="L130:M130"/>
    <mergeCell ref="A131:B131"/>
    <mergeCell ref="L131:M131"/>
    <mergeCell ref="A134:B134"/>
    <mergeCell ref="L134:M134"/>
    <mergeCell ref="A135:B135"/>
    <mergeCell ref="A170:B170"/>
    <mergeCell ref="A171:B171"/>
    <mergeCell ref="A172:B172"/>
    <mergeCell ref="A173:B173"/>
    <mergeCell ref="L148:M148"/>
    <mergeCell ref="A154:H154"/>
    <mergeCell ref="L154:M154"/>
    <mergeCell ref="A150:B150"/>
    <mergeCell ref="L150:M150"/>
    <mergeCell ref="L167:M167"/>
    <mergeCell ref="A168:B168"/>
    <mergeCell ref="A169:B169"/>
    <mergeCell ref="L145:M145"/>
    <mergeCell ref="A146:B146"/>
    <mergeCell ref="L146:M146"/>
    <mergeCell ref="A149:B149"/>
    <mergeCell ref="A136:B136"/>
    <mergeCell ref="A148:B148"/>
    <mergeCell ref="A161:B161"/>
    <mergeCell ref="A159:B159"/>
    <mergeCell ref="A147:B147"/>
    <mergeCell ref="F94:H94"/>
    <mergeCell ref="F99:H99"/>
    <mergeCell ref="F101:H101"/>
    <mergeCell ref="A100:E100"/>
    <mergeCell ref="A97:E97"/>
    <mergeCell ref="A44:D44"/>
    <mergeCell ref="A77:B77"/>
    <mergeCell ref="A94:E94"/>
    <mergeCell ref="F98:H98"/>
    <mergeCell ref="A91:B91"/>
    <mergeCell ref="A92:B92"/>
    <mergeCell ref="A101:E101"/>
    <mergeCell ref="F97:H97"/>
    <mergeCell ref="A82:B82"/>
    <mergeCell ref="C82:H82"/>
    <mergeCell ref="A93:B93"/>
    <mergeCell ref="A83:B83"/>
    <mergeCell ref="E83:F83"/>
    <mergeCell ref="A60:C60"/>
    <mergeCell ref="E70:F79"/>
    <mergeCell ref="A95:E95"/>
    <mergeCell ref="A84:B84"/>
    <mergeCell ref="E84:F93"/>
    <mergeCell ref="F119:F120"/>
    <mergeCell ref="B251:H251"/>
    <mergeCell ref="A47:B47"/>
    <mergeCell ref="C47:H47"/>
    <mergeCell ref="B249:H249"/>
    <mergeCell ref="G84:H93"/>
    <mergeCell ref="A85:B85"/>
    <mergeCell ref="A86:B86"/>
    <mergeCell ref="A87:B87"/>
    <mergeCell ref="F96:H96"/>
    <mergeCell ref="A96:E96"/>
    <mergeCell ref="D119:D120"/>
    <mergeCell ref="A98:E98"/>
    <mergeCell ref="A123:B123"/>
    <mergeCell ref="A124:B124"/>
    <mergeCell ref="C51:H51"/>
    <mergeCell ref="A121:H121"/>
    <mergeCell ref="A143:H143"/>
    <mergeCell ref="G83:H83"/>
    <mergeCell ref="A99:E99"/>
    <mergeCell ref="F100:H100"/>
    <mergeCell ref="L132:M132"/>
    <mergeCell ref="A133:B133"/>
    <mergeCell ref="A122:H122"/>
    <mergeCell ref="E119:E120"/>
    <mergeCell ref="A125:B125"/>
    <mergeCell ref="A132:B132"/>
    <mergeCell ref="A126:B126"/>
    <mergeCell ref="A117:H117"/>
    <mergeCell ref="G119:G120"/>
    <mergeCell ref="L133:M133"/>
    <mergeCell ref="L135:M135"/>
    <mergeCell ref="L136:M136"/>
    <mergeCell ref="A140:B140"/>
    <mergeCell ref="L140:M140"/>
    <mergeCell ref="A141:B141"/>
    <mergeCell ref="L141:M141"/>
    <mergeCell ref="A142:B142"/>
    <mergeCell ref="L142:M142"/>
    <mergeCell ref="A137:B137"/>
    <mergeCell ref="L137:M137"/>
    <mergeCell ref="A138:B138"/>
    <mergeCell ref="L138:M138"/>
    <mergeCell ref="A139:B139"/>
    <mergeCell ref="L139:M139"/>
    <mergeCell ref="A174:B174"/>
    <mergeCell ref="A175:B175"/>
    <mergeCell ref="A176:B176"/>
    <mergeCell ref="A177:B177"/>
    <mergeCell ref="A178:B178"/>
    <mergeCell ref="A214:B214"/>
    <mergeCell ref="A203:H203"/>
    <mergeCell ref="A210:B210"/>
    <mergeCell ref="A211:B211"/>
    <mergeCell ref="A212:B212"/>
    <mergeCell ref="A213:B213"/>
    <mergeCell ref="A209:B209"/>
    <mergeCell ref="A200:B200"/>
    <mergeCell ref="A201:B201"/>
    <mergeCell ref="A202:B202"/>
    <mergeCell ref="A188:B188"/>
    <mergeCell ref="A189:B189"/>
    <mergeCell ref="A190:B190"/>
    <mergeCell ref="A205:B205"/>
    <mergeCell ref="A197:B197"/>
    <mergeCell ref="A198:B198"/>
    <mergeCell ref="A199:B199"/>
    <mergeCell ref="A185:B185"/>
    <mergeCell ref="A186:B186"/>
    <mergeCell ref="L155:M155"/>
    <mergeCell ref="A151:H151"/>
    <mergeCell ref="A152:A153"/>
    <mergeCell ref="A160:B160"/>
    <mergeCell ref="A157:B157"/>
    <mergeCell ref="A158:B158"/>
    <mergeCell ref="A103:E103"/>
    <mergeCell ref="G115:H115"/>
    <mergeCell ref="C109:D109"/>
    <mergeCell ref="E109:F109"/>
    <mergeCell ref="G109:H109"/>
    <mergeCell ref="A110:B110"/>
    <mergeCell ref="C110:D110"/>
    <mergeCell ref="E110:F110"/>
    <mergeCell ref="G110:H110"/>
    <mergeCell ref="C114:D114"/>
    <mergeCell ref="C119:C120"/>
    <mergeCell ref="C107:D107"/>
    <mergeCell ref="F103:H103"/>
    <mergeCell ref="L126:M126"/>
    <mergeCell ref="L125:M125"/>
    <mergeCell ref="L124:M124"/>
    <mergeCell ref="L123:M123"/>
    <mergeCell ref="C113:D113"/>
    <mergeCell ref="G107:H107"/>
    <mergeCell ref="A102:E102"/>
    <mergeCell ref="C108:D108"/>
    <mergeCell ref="E108:F108"/>
    <mergeCell ref="F102:H102"/>
    <mergeCell ref="E107:F107"/>
    <mergeCell ref="A107:B107"/>
    <mergeCell ref="C116:D116"/>
    <mergeCell ref="E116:F116"/>
    <mergeCell ref="G116:H116"/>
    <mergeCell ref="C115:D115"/>
    <mergeCell ref="A116:B116"/>
    <mergeCell ref="A115:B115"/>
    <mergeCell ref="E115:F115"/>
    <mergeCell ref="E113:F113"/>
    <mergeCell ref="G113:H113"/>
    <mergeCell ref="F32:H32"/>
    <mergeCell ref="F33:H33"/>
    <mergeCell ref="A39:H39"/>
    <mergeCell ref="A59:C59"/>
    <mergeCell ref="F35:H35"/>
    <mergeCell ref="A37:B37"/>
    <mergeCell ref="C37:H37"/>
    <mergeCell ref="D59:H59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38:B38"/>
    <mergeCell ref="C38:H38"/>
    <mergeCell ref="A69:B69"/>
    <mergeCell ref="A72:B72"/>
    <mergeCell ref="A68:B68"/>
    <mergeCell ref="A66:B66"/>
    <mergeCell ref="A70:B70"/>
    <mergeCell ref="G69:H69"/>
    <mergeCell ref="E69:F69"/>
    <mergeCell ref="A36:H36"/>
    <mergeCell ref="A35:B35"/>
    <mergeCell ref="C35:E35"/>
    <mergeCell ref="A40:D40"/>
    <mergeCell ref="E40:H40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3:C63"/>
    <mergeCell ref="D63:H63"/>
    <mergeCell ref="A64:C64"/>
    <mergeCell ref="D64:H64"/>
    <mergeCell ref="A263:H266"/>
    <mergeCell ref="A262:B262"/>
    <mergeCell ref="E262:F262"/>
    <mergeCell ref="C262:D262"/>
    <mergeCell ref="G262:H262"/>
    <mergeCell ref="A106:H106"/>
    <mergeCell ref="A104:E104"/>
    <mergeCell ref="F104:H104"/>
    <mergeCell ref="A105:E105"/>
    <mergeCell ref="F105:H105"/>
    <mergeCell ref="A155:H155"/>
    <mergeCell ref="A207:B207"/>
    <mergeCell ref="A258:H258"/>
    <mergeCell ref="A111:H111"/>
    <mergeCell ref="A261:H261"/>
    <mergeCell ref="A259:H259"/>
    <mergeCell ref="G70:H79"/>
    <mergeCell ref="A78:B78"/>
    <mergeCell ref="A79:B79"/>
    <mergeCell ref="A76:B76"/>
    <mergeCell ref="A255:H255"/>
    <mergeCell ref="A256:H256"/>
    <mergeCell ref="E112:F112"/>
    <mergeCell ref="B252:H252"/>
    <mergeCell ref="B250:H250"/>
    <mergeCell ref="B246:H246"/>
    <mergeCell ref="B247:H247"/>
    <mergeCell ref="A162:B162"/>
    <mergeCell ref="B244:H244"/>
    <mergeCell ref="B245:H245"/>
    <mergeCell ref="A208:B208"/>
    <mergeCell ref="E114:F114"/>
    <mergeCell ref="G114:H114"/>
    <mergeCell ref="C112:D112"/>
    <mergeCell ref="G112:H112"/>
    <mergeCell ref="B248:H248"/>
    <mergeCell ref="A243:H243"/>
    <mergeCell ref="B152:B153"/>
    <mergeCell ref="A204:H204"/>
    <mergeCell ref="A206:B206"/>
    <mergeCell ref="A118:H118"/>
    <mergeCell ref="B119:B120"/>
    <mergeCell ref="A119:A120"/>
    <mergeCell ref="C152:C153"/>
    <mergeCell ref="A163:B163"/>
    <mergeCell ref="A164:B164"/>
    <mergeCell ref="A166:B166"/>
    <mergeCell ref="A165:B165"/>
    <mergeCell ref="A167:H167"/>
    <mergeCell ref="A191:H191"/>
    <mergeCell ref="A179:H179"/>
    <mergeCell ref="A57:C58"/>
    <mergeCell ref="D57:H57"/>
    <mergeCell ref="D58:H58"/>
    <mergeCell ref="F152:F153"/>
    <mergeCell ref="G152:G153"/>
    <mergeCell ref="C184:H184"/>
    <mergeCell ref="C66:H66"/>
    <mergeCell ref="A74:B74"/>
    <mergeCell ref="A61:C61"/>
    <mergeCell ref="D61:H61"/>
    <mergeCell ref="C68:H68"/>
    <mergeCell ref="A71:B71"/>
    <mergeCell ref="A73:B73"/>
    <mergeCell ref="A62:C62"/>
    <mergeCell ref="D62:H62"/>
    <mergeCell ref="A65:C65"/>
    <mergeCell ref="D65:H65"/>
    <mergeCell ref="B253:H253"/>
    <mergeCell ref="E41:H41"/>
    <mergeCell ref="A41:D41"/>
    <mergeCell ref="A260:H260"/>
    <mergeCell ref="A257:H257"/>
    <mergeCell ref="A156:B156"/>
    <mergeCell ref="A112:B112"/>
    <mergeCell ref="D152:D153"/>
    <mergeCell ref="E152:E153"/>
    <mergeCell ref="A88:B88"/>
    <mergeCell ref="A89:B89"/>
    <mergeCell ref="A90:B90"/>
    <mergeCell ref="A80:B80"/>
    <mergeCell ref="C80:H80"/>
    <mergeCell ref="A75:B75"/>
    <mergeCell ref="F95:H95"/>
    <mergeCell ref="G108:H108"/>
    <mergeCell ref="A48:B48"/>
    <mergeCell ref="C48:E48"/>
    <mergeCell ref="G48:H48"/>
    <mergeCell ref="G50:H50"/>
    <mergeCell ref="D54:H54"/>
    <mergeCell ref="C50:E50"/>
    <mergeCell ref="A145:B145"/>
    <mergeCell ref="A232:B232"/>
    <mergeCell ref="A215:B215"/>
    <mergeCell ref="A216:B216"/>
    <mergeCell ref="A217:H217"/>
    <mergeCell ref="A218:B218"/>
    <mergeCell ref="A219:B219"/>
    <mergeCell ref="A220:B220"/>
    <mergeCell ref="A221:B221"/>
    <mergeCell ref="A222:B222"/>
    <mergeCell ref="A223:B223"/>
    <mergeCell ref="A242:B242"/>
    <mergeCell ref="C231:H231"/>
    <mergeCell ref="A108:B108"/>
    <mergeCell ref="A109:B109"/>
    <mergeCell ref="A113:B113"/>
    <mergeCell ref="A114:B114"/>
    <mergeCell ref="B254:H254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24:B224"/>
    <mergeCell ref="A225:B225"/>
    <mergeCell ref="A226:B226"/>
    <mergeCell ref="A227:B227"/>
    <mergeCell ref="A228:B228"/>
    <mergeCell ref="A229:B229"/>
    <mergeCell ref="A230:H230"/>
    <mergeCell ref="A231:B231"/>
  </mergeCells>
  <dataValidations count="8">
    <dataValidation type="list" allowBlank="1" showInputMessage="1" showErrorMessage="1" sqref="D119:D120" xr:uid="{00000000-0002-0000-0000-000000000000}">
      <formula1>"Carpet area,RERA Carpet area"</formula1>
    </dataValidation>
    <dataValidation type="list" allowBlank="1" showInputMessage="1" showErrorMessage="1" sqref="H119 H152" xr:uid="{00000000-0002-0000-0000-000001000000}">
      <formula1>"Saleable area Loading :,Builder Saleable Area"</formula1>
    </dataValidation>
    <dataValidation type="list" allowBlank="1" showInputMessage="1" showErrorMessage="1" sqref="H120 H153" xr:uid="{00000000-0002-0000-0000-000002000000}">
      <formula1>".45,.50,.55,.60"</formula1>
    </dataValidation>
    <dataValidation type="list" allowBlank="1" showInputMessage="1" showErrorMessage="1" sqref="B119:B120" xr:uid="{00000000-0002-0000-0000-000003000000}">
      <formula1>"Shop No. (Sale Plan),Sale / Rehab,Sale / Mhada"</formula1>
    </dataValidation>
    <dataValidation type="list" allowBlank="1" showInputMessage="1" showErrorMessage="1" sqref="E119:E120 G119:G120" xr:uid="{00000000-0002-0000-0000-000004000000}">
      <formula1>"Attached Loft area,Attached Otla area,Attached Mezzanine area"</formula1>
    </dataValidation>
    <dataValidation type="list" allowBlank="1" showInputMessage="1" showErrorMessage="1" sqref="D152:D153" xr:uid="{00000000-0002-0000-0000-000005000000}">
      <formula1>"Carpet Area,Carpet + Encl Balcony Area,RERA Carpet area"</formula1>
    </dataValidation>
    <dataValidation type="list" allowBlank="1" showInputMessage="1" showErrorMessage="1" sqref="E152:E153" xr:uid="{00000000-0002-0000-0000-000006000000}">
      <formula1>"Fungible area,Balcony Area,Chajja Area,Cornice Area,AP Area,WS Area"</formula1>
    </dataValidation>
    <dataValidation type="list" allowBlank="1" showInputMessage="1" showErrorMessage="1" sqref="B152:B153" xr:uid="{00000000-0002-0000-0000-000007000000}">
      <formula1>"Flat No. (Sale Plan),Sale / Rehab,Sale / Mhada"</formula1>
    </dataValidation>
  </dataValidation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266" max="16383" man="1"/>
    <brk id="308" max="16383" man="1"/>
    <brk id="35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1" t="s">
        <v>106</v>
      </c>
      <c r="C3" s="201"/>
      <c r="D3" s="201"/>
      <c r="E3" s="201"/>
      <c r="F3" s="201"/>
      <c r="G3" s="201"/>
      <c r="H3" s="201"/>
    </row>
    <row r="4" spans="1:9" x14ac:dyDescent="0.3">
      <c r="A4" s="2"/>
      <c r="B4" s="3" t="s">
        <v>107</v>
      </c>
      <c r="C4" s="3" t="s">
        <v>108</v>
      </c>
      <c r="D4" s="3" t="s">
        <v>70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N14" sqref="N1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2025-08-19T10:20:48Z</cp:lastPrinted>
  <dcterms:created xsi:type="dcterms:W3CDTF">2019-07-16T09:29:46Z</dcterms:created>
  <dcterms:modified xsi:type="dcterms:W3CDTF">2025-08-19T13:35:03Z</dcterms:modified>
</cp:coreProperties>
</file>