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rani\Downloads\dump August Miraroad\"/>
    </mc:Choice>
  </mc:AlternateContent>
  <xr:revisionPtr revIDLastSave="0" documentId="13_ncr:1_{98D64E02-3A00-40E1-9630-C8844A06E1B5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5" i="1" l="1"/>
  <c r="F205" i="1" s="1"/>
  <c r="I204" i="1" s="1"/>
  <c r="D204" i="1"/>
  <c r="F204" i="1" s="1"/>
  <c r="I203" i="1" s="1"/>
  <c r="D203" i="1"/>
  <c r="F203" i="1" s="1"/>
  <c r="I202" i="1" s="1"/>
  <c r="D202" i="1"/>
  <c r="F202" i="1" s="1"/>
  <c r="I201" i="1" s="1"/>
  <c r="D201" i="1"/>
  <c r="F201" i="1" s="1"/>
  <c r="I200" i="1" s="1"/>
  <c r="D200" i="1"/>
  <c r="F200" i="1" s="1"/>
  <c r="I199" i="1" s="1"/>
  <c r="D199" i="1"/>
  <c r="F199" i="1" s="1"/>
  <c r="I198" i="1" s="1"/>
  <c r="D198" i="1"/>
  <c r="F198" i="1" s="1"/>
  <c r="I197" i="1" s="1"/>
  <c r="D197" i="1"/>
  <c r="F197" i="1" s="1"/>
  <c r="I196" i="1" s="1"/>
  <c r="D196" i="1"/>
  <c r="F196" i="1" s="1"/>
  <c r="I195" i="1" s="1"/>
  <c r="D195" i="1"/>
  <c r="F195" i="1" s="1"/>
  <c r="I194" i="1" s="1"/>
  <c r="D194" i="1"/>
  <c r="F194" i="1" s="1"/>
  <c r="I193" i="1" s="1"/>
  <c r="D192" i="1"/>
  <c r="F192" i="1" s="1"/>
  <c r="D191" i="1"/>
  <c r="F191" i="1" s="1"/>
  <c r="D190" i="1"/>
  <c r="F190" i="1" s="1"/>
  <c r="D189" i="1"/>
  <c r="F189" i="1" s="1"/>
  <c r="D188" i="1"/>
  <c r="F188" i="1" s="1"/>
  <c r="D187" i="1"/>
  <c r="F187" i="1" s="1"/>
  <c r="D186" i="1"/>
  <c r="F186" i="1" s="1"/>
  <c r="D185" i="1"/>
  <c r="F185" i="1" s="1"/>
  <c r="D184" i="1"/>
  <c r="F184" i="1" s="1"/>
  <c r="D183" i="1"/>
  <c r="D182" i="1"/>
  <c r="D181" i="1"/>
  <c r="F181" i="1" s="1"/>
  <c r="I183" i="1"/>
  <c r="I181" i="1"/>
  <c r="I180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E154" i="1" l="1"/>
  <c r="C154" i="1"/>
  <c r="E82" i="1"/>
  <c r="C103" i="1" l="1"/>
  <c r="D117" i="1"/>
  <c r="D116" i="1"/>
  <c r="J114" i="1"/>
  <c r="D115" i="1"/>
  <c r="J113" i="1"/>
  <c r="D114" i="1"/>
  <c r="J112" i="1"/>
  <c r="D113" i="1"/>
  <c r="J111" i="1"/>
  <c r="D112" i="1"/>
  <c r="D111" i="1"/>
  <c r="J109" i="1"/>
  <c r="J110" i="1" s="1"/>
  <c r="J115" i="1" s="1"/>
  <c r="J116" i="1" s="1"/>
  <c r="D110" i="1"/>
  <c r="J108" i="1"/>
  <c r="J107" i="1"/>
  <c r="J106" i="1"/>
  <c r="J103" i="1"/>
  <c r="J105" i="1" s="1"/>
  <c r="E80" i="1"/>
  <c r="C109" i="1" l="1"/>
  <c r="E108" i="1" s="1"/>
  <c r="C108" i="1"/>
  <c r="D108" i="1" s="1"/>
  <c r="C88" i="1"/>
  <c r="C14" i="1"/>
  <c r="D109" i="1" l="1"/>
  <c r="I104" i="1" s="1"/>
  <c r="I105" i="1" s="1"/>
  <c r="G108" i="1"/>
  <c r="J104" i="1"/>
  <c r="E3" i="1"/>
  <c r="I103" i="1" l="1"/>
  <c r="C74" i="1"/>
  <c r="E87" i="1"/>
  <c r="E86" i="1"/>
  <c r="J85" i="1"/>
  <c r="E85" i="1"/>
  <c r="J84" i="1"/>
  <c r="E84" i="1"/>
  <c r="J83" i="1"/>
  <c r="E83" i="1"/>
  <c r="J82" i="1"/>
  <c r="E81" i="1"/>
  <c r="H75" i="1"/>
  <c r="F86" i="1" l="1"/>
  <c r="F84" i="1"/>
  <c r="F82" i="1"/>
  <c r="F80" i="1"/>
  <c r="J79" i="1"/>
  <c r="C78" i="1" s="1"/>
  <c r="E78" i="1" s="1"/>
  <c r="J77" i="1"/>
  <c r="F87" i="1"/>
  <c r="F85" i="1"/>
  <c r="F83" i="1"/>
  <c r="F81" i="1"/>
  <c r="J80" i="1"/>
  <c r="J81" i="1" s="1"/>
  <c r="J86" i="1" s="1"/>
  <c r="J87" i="1" s="1"/>
  <c r="C79" i="1" s="1"/>
  <c r="E79" i="1" s="1"/>
  <c r="J78" i="1"/>
  <c r="J74" i="1"/>
  <c r="J76" i="1" s="1"/>
  <c r="F78" i="1" l="1"/>
  <c r="J75" i="1" s="1"/>
  <c r="H78" i="1"/>
  <c r="D72" i="1" s="1"/>
  <c r="F79" i="1"/>
  <c r="G78" i="1"/>
  <c r="I75" i="1" l="1"/>
  <c r="I76" i="1" s="1"/>
  <c r="I74" i="1" l="1"/>
  <c r="C76" i="1" s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180" i="1"/>
  <c r="Q187" i="1"/>
  <c r="Q180" i="1"/>
  <c r="Q194" i="1"/>
  <c r="Q191" i="1"/>
  <c r="Q183" i="1"/>
  <c r="Q188" i="1"/>
  <c r="C118" i="1"/>
  <c r="J129" i="1"/>
  <c r="J128" i="1"/>
  <c r="J127" i="1"/>
  <c r="J126" i="1"/>
  <c r="S192" i="1"/>
  <c r="S205" i="1"/>
  <c r="S206" i="1"/>
  <c r="S207" i="1"/>
  <c r="S210" i="1"/>
  <c r="S212" i="1"/>
  <c r="S213" i="1"/>
  <c r="S214" i="1"/>
  <c r="S221" i="1"/>
  <c r="G149" i="1"/>
  <c r="G150" i="1"/>
  <c r="G151" i="1" l="1"/>
  <c r="Q215" i="1"/>
  <c r="T211" i="1"/>
  <c r="Q211" i="1"/>
  <c r="S183" i="1"/>
  <c r="K174" i="1"/>
  <c r="I145" i="1" l="1"/>
  <c r="U227" i="1"/>
  <c r="U226" i="1"/>
  <c r="U225" i="1"/>
  <c r="U224" i="1"/>
  <c r="U223" i="1"/>
  <c r="U222" i="1"/>
  <c r="U220" i="1"/>
  <c r="U219" i="1"/>
  <c r="U218" i="1"/>
  <c r="U217" i="1"/>
  <c r="U209" i="1"/>
  <c r="U215" i="1"/>
  <c r="U208" i="1"/>
  <c r="U191" i="1"/>
  <c r="U189" i="1"/>
  <c r="U183" i="1"/>
  <c r="U190" i="1"/>
  <c r="U187" i="1"/>
  <c r="U186" i="1"/>
  <c r="U185" i="1"/>
  <c r="U180" i="1"/>
  <c r="U188" i="1"/>
  <c r="U184" i="1"/>
  <c r="V180" i="1" l="1"/>
  <c r="V184" i="1"/>
  <c r="G155" i="1"/>
  <c r="G156" i="1"/>
  <c r="D221" i="1"/>
  <c r="S220" i="1" s="1"/>
  <c r="D220" i="1"/>
  <c r="S219" i="1" s="1"/>
  <c r="D219" i="1"/>
  <c r="S218" i="1" s="1"/>
  <c r="D218" i="1"/>
  <c r="S217" i="1" s="1"/>
  <c r="D217" i="1"/>
  <c r="S216" i="1" s="1"/>
  <c r="D216" i="1"/>
  <c r="S215" i="1" s="1"/>
  <c r="D228" i="1"/>
  <c r="S227" i="1" s="1"/>
  <c r="D227" i="1"/>
  <c r="S226" i="1" s="1"/>
  <c r="D226" i="1"/>
  <c r="S225" i="1" s="1"/>
  <c r="D225" i="1"/>
  <c r="S224" i="1" s="1"/>
  <c r="E224" i="1"/>
  <c r="D224" i="1"/>
  <c r="S223" i="1" s="1"/>
  <c r="E223" i="1"/>
  <c r="D223" i="1"/>
  <c r="Q224" i="1"/>
  <c r="Q223" i="1"/>
  <c r="Q222" i="1"/>
  <c r="E212" i="1"/>
  <c r="D212" i="1"/>
  <c r="D210" i="1"/>
  <c r="S209" i="1" s="1"/>
  <c r="D209" i="1"/>
  <c r="S208" i="1" s="1"/>
  <c r="Q208" i="1"/>
  <c r="S204" i="1"/>
  <c r="S203" i="1"/>
  <c r="S202" i="1"/>
  <c r="S201" i="1"/>
  <c r="S200" i="1"/>
  <c r="S199" i="1"/>
  <c r="S198" i="1"/>
  <c r="S197" i="1"/>
  <c r="S196" i="1"/>
  <c r="S195" i="1"/>
  <c r="S194" i="1"/>
  <c r="S193" i="1"/>
  <c r="E183" i="1"/>
  <c r="F183" i="1" s="1"/>
  <c r="S182" i="1" s="1"/>
  <c r="E182" i="1"/>
  <c r="F182" i="1" s="1"/>
  <c r="S181" i="1" s="1"/>
  <c r="S191" i="1"/>
  <c r="S190" i="1"/>
  <c r="S189" i="1"/>
  <c r="S188" i="1"/>
  <c r="S187" i="1"/>
  <c r="S186" i="1"/>
  <c r="S185" i="1"/>
  <c r="S184" i="1"/>
  <c r="D175" i="1"/>
  <c r="G175" i="1"/>
  <c r="D173" i="1"/>
  <c r="K172" i="1" s="1"/>
  <c r="D172" i="1"/>
  <c r="K171" i="1" s="1"/>
  <c r="D171" i="1"/>
  <c r="K170" i="1" s="1"/>
  <c r="D170" i="1"/>
  <c r="K169" i="1" s="1"/>
  <c r="D169" i="1"/>
  <c r="K168" i="1" s="1"/>
  <c r="D168" i="1"/>
  <c r="K167" i="1" s="1"/>
  <c r="D167" i="1"/>
  <c r="K166" i="1" s="1"/>
  <c r="D166" i="1"/>
  <c r="K165" i="1" s="1"/>
  <c r="D165" i="1"/>
  <c r="I164" i="1"/>
  <c r="A224" i="1"/>
  <c r="A225" i="1" s="1"/>
  <c r="A226" i="1" s="1"/>
  <c r="A227" i="1" s="1"/>
  <c r="A228" i="1" s="1"/>
  <c r="G223" i="1"/>
  <c r="G216" i="1"/>
  <c r="A217" i="1"/>
  <c r="A218" i="1" s="1"/>
  <c r="A219" i="1" s="1"/>
  <c r="A220" i="1" s="1"/>
  <c r="A221" i="1" s="1"/>
  <c r="A195" i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G194" i="1"/>
  <c r="E149" i="1" l="1"/>
  <c r="C150" i="1"/>
  <c r="E150" i="1"/>
  <c r="R182" i="1"/>
  <c r="U182" i="1"/>
  <c r="V182" i="1" s="1"/>
  <c r="W180" i="1" s="1"/>
  <c r="G154" i="1"/>
  <c r="R181" i="1"/>
  <c r="C156" i="1"/>
  <c r="S211" i="1"/>
  <c r="S180" i="1"/>
  <c r="G157" i="1"/>
  <c r="S222" i="1"/>
  <c r="L174" i="1"/>
  <c r="J174" i="1"/>
  <c r="C157" i="1"/>
  <c r="E156" i="1"/>
  <c r="C149" i="1"/>
  <c r="K164" i="1"/>
  <c r="E155" i="1"/>
  <c r="E157" i="1"/>
  <c r="C155" i="1"/>
  <c r="C151" i="1" l="1"/>
  <c r="G158" i="1"/>
  <c r="G159" i="1" s="1"/>
  <c r="E151" i="1"/>
  <c r="E158" i="1"/>
  <c r="C158" i="1"/>
  <c r="B232" i="1"/>
  <c r="C159" i="1" l="1"/>
  <c r="E159" i="1"/>
  <c r="E29" i="1"/>
  <c r="A182" i="1" l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G181" i="1"/>
  <c r="F146" i="1" l="1"/>
  <c r="B231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56" i="1"/>
  <c r="G209" i="1"/>
  <c r="A210" i="1"/>
  <c r="A166" i="1"/>
  <c r="A167" i="1" s="1"/>
  <c r="A168" i="1" s="1"/>
  <c r="A169" i="1" s="1"/>
  <c r="A170" i="1" s="1"/>
  <c r="A171" i="1" s="1"/>
  <c r="A172" i="1" s="1"/>
  <c r="A173" i="1" s="1"/>
  <c r="G165" i="1"/>
  <c r="J99" i="1"/>
  <c r="J98" i="1"/>
  <c r="J97" i="1"/>
  <c r="J96" i="1"/>
  <c r="D60" i="1"/>
  <c r="E42" i="1"/>
  <c r="E43" i="1" s="1"/>
  <c r="E26" i="1"/>
  <c r="E24" i="1"/>
  <c r="D68" i="1" l="1"/>
  <c r="D99" i="1"/>
  <c r="D100" i="1"/>
  <c r="D101" i="1"/>
  <c r="D95" i="1"/>
  <c r="D96" i="1"/>
  <c r="D97" i="1"/>
  <c r="D98" i="1"/>
  <c r="J88" i="1"/>
  <c r="J94" i="1"/>
  <c r="J95" i="1" s="1"/>
  <c r="J100" i="1" s="1"/>
  <c r="J101" i="1" s="1"/>
  <c r="C93" i="1" s="1"/>
  <c r="J92" i="1"/>
  <c r="J93" i="1"/>
  <c r="J91" i="1"/>
  <c r="D94" i="1" l="1"/>
  <c r="J90" i="1"/>
  <c r="E92" i="1"/>
  <c r="D93" i="1"/>
  <c r="G92" i="1"/>
  <c r="D92" i="1"/>
  <c r="I89" i="1" l="1"/>
  <c r="I90" i="1" s="1"/>
  <c r="J89" i="1"/>
  <c r="F73" i="1"/>
  <c r="D73" i="1"/>
  <c r="H119" i="1"/>
  <c r="J123" i="1" l="1"/>
  <c r="C123" i="1" s="1"/>
  <c r="D123" i="1" s="1"/>
  <c r="J124" i="1"/>
  <c r="J125" i="1" s="1"/>
  <c r="J130" i="1" s="1"/>
  <c r="J131" i="1" s="1"/>
  <c r="C124" i="1" s="1"/>
  <c r="E123" i="1" s="1"/>
  <c r="C121" i="1" s="1"/>
  <c r="D132" i="1"/>
  <c r="D128" i="1"/>
  <c r="J122" i="1"/>
  <c r="D130" i="1"/>
  <c r="D131" i="1"/>
  <c r="D127" i="1"/>
  <c r="J117" i="1"/>
  <c r="J119" i="1" s="1"/>
  <c r="D129" i="1"/>
  <c r="D125" i="1"/>
  <c r="D126" i="1"/>
  <c r="J121" i="1"/>
  <c r="I88" i="1"/>
  <c r="G123" i="1" l="1"/>
  <c r="G121" i="1" s="1"/>
  <c r="D124" i="1"/>
  <c r="I118" i="1" s="1"/>
  <c r="J118" i="1"/>
  <c r="I119" i="1" l="1"/>
  <c r="I117" i="1"/>
</calcChain>
</file>

<file path=xl/sharedStrings.xml><?xml version="1.0" encoding="utf-8"?>
<sst xmlns="http://schemas.openxmlformats.org/spreadsheetml/2006/main" count="462" uniqueCount="270">
  <si>
    <t xml:space="preserve">Valuation Report </t>
  </si>
  <si>
    <t>Date:</t>
  </si>
  <si>
    <t>CPC Name:</t>
  </si>
  <si>
    <t>Date Of Property Visit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</si>
  <si>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</si>
  <si>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</si>
  <si>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</si>
  <si>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</si>
  <si>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</si>
  <si>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</si>
  <si>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</si>
  <si>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</si>
  <si>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</si>
  <si>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</si>
  <si>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</si>
  <si>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</si>
  <si>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</si>
  <si>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</si>
  <si>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</si>
  <si>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</si>
  <si>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</si>
  <si>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</si>
  <si>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</si>
  <si>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</si>
  <si>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</si>
  <si>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</si>
  <si>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</si>
  <si>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</si>
  <si>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</si>
  <si>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</si>
  <si>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</si>
  <si>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</si>
  <si>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</si>
  <si>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</si>
  <si>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</si>
  <si>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</si>
  <si>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</si>
  <si>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</si>
  <si>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</si>
  <si>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</si>
  <si>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</si>
  <si>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</si>
  <si>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</si>
  <si>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</si>
  <si>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</si>
  <si>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</si>
  <si>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</si>
  <si>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</si>
  <si>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</si>
  <si>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</si>
  <si>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</si>
  <si>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</si>
  <si>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</si>
  <si>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</si>
  <si>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</si>
  <si>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</si>
  <si>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</si>
  <si>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</si>
  <si>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</si>
  <si>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</si>
  <si>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</si>
  <si>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</si>
  <si>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</si>
  <si>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</si>
  <si>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</si>
  <si>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</si>
  <si>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</si>
  <si>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</si>
  <si>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</si>
  <si>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</si>
  <si>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</si>
  <si>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</si>
  <si>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</si>
  <si>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</si>
  <si>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</si>
  <si>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</si>
  <si>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</si>
  <si>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</si>
  <si>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</si>
  <si>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</si>
  <si>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</si>
  <si>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</si>
  <si>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</si>
  <si>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</si>
  <si>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</si>
  <si>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</si>
  <si>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</si>
  <si>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</si>
  <si>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</si>
  <si>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</si>
  <si>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</si>
  <si>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</si>
  <si>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</si>
  <si>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</si>
  <si>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</si>
  <si>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</si>
  <si>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</si>
  <si>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</si>
  <si>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</si>
  <si>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</si>
  <si>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</si>
  <si>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</si>
  <si>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</si>
  <si>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</si>
  <si>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</si>
  <si>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</si>
  <si>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</si>
  <si>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</si>
  <si>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</si>
  <si>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</si>
  <si>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</si>
  <si>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</si>
  <si>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</si>
  <si>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</si>
  <si>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</si>
  <si>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</si>
  <si>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</si>
  <si>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</si>
  <si>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</si>
  <si>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</si>
  <si>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</si>
  <si>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</si>
  <si>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</si>
  <si>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</si>
  <si>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</si>
  <si>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</si>
  <si>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</si>
  <si>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</si>
  <si>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</si>
  <si>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</si>
  <si>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</si>
  <si>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</si>
  <si>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</si>
  <si>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</si>
  <si>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</si>
  <si>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</si>
  <si>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</si>
  <si>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</si>
  <si>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</si>
  <si>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</si>
  <si>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</si>
  <si>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</si>
  <si>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</si>
  <si>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</si>
  <si>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</si>
  <si>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</si>
  <si>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Vitrified tiles flooring, Kitchen Platform, Decorative</t>
  </si>
  <si>
    <t xml:space="preserve">Violations Observed if any : 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</si>
  <si>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</si>
  <si>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</si>
  <si>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</si>
  <si>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</si>
  <si>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</si>
  <si>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</si>
  <si>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</si>
  <si>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</si>
  <si>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</si>
  <si>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</si>
  <si>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</si>
  <si>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</si>
  <si>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</si>
  <si>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Location Link</t>
  </si>
  <si>
    <t>Locality</t>
  </si>
  <si>
    <t>Village</t>
  </si>
  <si>
    <t xml:space="preserve">O. Certificate No.: 
Approved upto : </t>
  </si>
  <si>
    <t>Axis Badlapur</t>
  </si>
  <si>
    <t>Name of the builder</t>
  </si>
  <si>
    <t>Pearl Heights</t>
  </si>
  <si>
    <t>Alif Builders</t>
  </si>
  <si>
    <t>P51700033623</t>
  </si>
  <si>
    <t>Survey No</t>
  </si>
  <si>
    <t>120/6 with land bearing S.No. 23, H.No. 3/1 &amp; S.No. 120, H.No. 5</t>
  </si>
  <si>
    <t>Ambarnath</t>
  </si>
  <si>
    <t>Thane</t>
  </si>
  <si>
    <t>Badlapur</t>
  </si>
  <si>
    <t>https://goo.gl/maps/HhX7S7KoUghJmshLA</t>
  </si>
  <si>
    <t>Evergreen Residency</t>
  </si>
  <si>
    <t>Kulgoan Badlapur Municipal Council</t>
  </si>
  <si>
    <t>KBNP/NRV/BP/1375-201</t>
  </si>
  <si>
    <t>KBNP/NRV/BP/1375/2021-2022/Unique No. 201</t>
  </si>
  <si>
    <t>As per RERA - 31/12/2026</t>
  </si>
  <si>
    <t>Building No.1 = Gr/Stilt + 1st to 7th Floor</t>
  </si>
  <si>
    <t>Building No.3 = Gr/Stilt + 1st to 6th Floor</t>
  </si>
  <si>
    <t>Kohari Chowk</t>
  </si>
  <si>
    <t>Jambhala Road</t>
  </si>
  <si>
    <t>Badlapur (West)</t>
  </si>
  <si>
    <t>1st Floor for Residential</t>
  </si>
  <si>
    <t>2nd to 7th Floor</t>
  </si>
  <si>
    <t>1st to 5th Floor for Residential</t>
  </si>
  <si>
    <t>1st Floor</t>
  </si>
  <si>
    <t>6th Floor</t>
  </si>
  <si>
    <t>Shop</t>
  </si>
  <si>
    <t>Gymnasium / Office</t>
  </si>
  <si>
    <t>Ground + 1st Floor</t>
  </si>
  <si>
    <t xml:space="preserve">Shop  </t>
  </si>
  <si>
    <t>We considered Gross carpet area = Net carpet + Enclose balcony + A.P Area.</t>
  </si>
  <si>
    <t>On Site, we meet Mr.Vishwas Shinde (7756026119).</t>
  </si>
  <si>
    <t>visitor</t>
  </si>
  <si>
    <t>cost sheet</t>
  </si>
  <si>
    <t>online</t>
  </si>
  <si>
    <t>1RK</t>
  </si>
  <si>
    <t>Rate</t>
  </si>
  <si>
    <t>2BHK</t>
  </si>
  <si>
    <t>1BHK</t>
  </si>
  <si>
    <t>Total Average</t>
  </si>
  <si>
    <t>mis</t>
  </si>
  <si>
    <t>Approved Plans, CC, Sale Plans, Builder Saleable Area</t>
  </si>
  <si>
    <t>Open Land</t>
  </si>
  <si>
    <t>Building</t>
  </si>
  <si>
    <t>Kohari street</t>
  </si>
  <si>
    <t>KBNP/NRV/BP/5835/2021-2022/Unique No.67</t>
  </si>
  <si>
    <t xml:space="preserve">Building No.1 = Gr/Stilt + 1st to 7th Floor
Building No.2 = Gr/Stilt + 1st to 5th Floor
</t>
  </si>
  <si>
    <t>Ground Floor for Commercial &amp; Parking</t>
  </si>
  <si>
    <t xml:space="preserve">Builder Saleable Area </t>
  </si>
  <si>
    <t>Building No. 1</t>
  </si>
  <si>
    <t>Ground Floor for Parking</t>
  </si>
  <si>
    <t>Adjoint Duplex House (Bunglow)</t>
  </si>
  <si>
    <t>Building No. 2</t>
  </si>
  <si>
    <t>Building No. 3</t>
  </si>
  <si>
    <t>Flats</t>
  </si>
  <si>
    <t>Duplex House</t>
  </si>
  <si>
    <t>Builder Saleable Area</t>
  </si>
  <si>
    <t>Building No.1 = Gr/Stilt + 1st to 7th Floor
Building No.2 = Gr/Stilt + 1st to 5th Floor
Building No. 2 (Adjoint duplex house) = Gr/St + 1st Floor
Building No.3 = Gr/Stilt + 1st to 6th Floor</t>
  </si>
  <si>
    <t xml:space="preserve">Building No. 2 (Adjoint duplex house) = Gr/St + 1st Floor
Building No.3 = Gr/Stilt + 1st to 6th Floor
</t>
  </si>
  <si>
    <t>Flats - 130, Shops - 9, Gymnasium/Office -1, Duplex house - 1</t>
  </si>
  <si>
    <t>rate sheet</t>
  </si>
  <si>
    <t>3.9 KM from Badlapur Railway Station</t>
  </si>
  <si>
    <t>Building No. 1
Building No. 2 (Adjoint duplex house of G+1)
Building No. 3</t>
  </si>
  <si>
    <t>3 Buildings</t>
  </si>
  <si>
    <t>Part 1
(Flat No.1)</t>
  </si>
  <si>
    <t>Part 2
(Flat No.2 to 4)</t>
  </si>
  <si>
    <t>Slab/Floor
Average of Part 1 &amp; 2</t>
  </si>
  <si>
    <t>Building No.2</t>
  </si>
  <si>
    <t>Building No.3</t>
  </si>
  <si>
    <t>6) Fungible Area = Enclosed Balcony + Flower Bed + Covered Balcony + Service Slab + Duct + Chajja + Wheather Shed area.</t>
  </si>
  <si>
    <t>Grill Charges</t>
  </si>
  <si>
    <t>3500 to 3700 &amp; OC</t>
  </si>
  <si>
    <t>Abhishek</t>
  </si>
  <si>
    <t>Zahid Iqbal Kohari</t>
  </si>
  <si>
    <t>Grand Total</t>
  </si>
  <si>
    <t>Office No. 1031, Wing J, Akshar Business Park, Plot No. 03 Sector 25, Near APMC Market, Vashi, Navi Mumbai, Maharashtra 400703 TEL: 022-46090378/79/80                                                                                             E mail : vsjcapf@gmail.com. Web site : www.vsjadon.com</t>
  </si>
  <si>
    <t xml:space="preserve">Building No.2 = Gr/Stilt + 1st to 5th Floor
</t>
  </si>
  <si>
    <t>Building No. 2 (Adjoint duplex house) = Gr/St + 1st Floor</t>
  </si>
  <si>
    <t>3700 to 3800</t>
  </si>
  <si>
    <t>rushikesh</t>
  </si>
  <si>
    <t>verbal</t>
  </si>
  <si>
    <t xml:space="preserve">Recommended Rates of the Property have been revised on 28/11/2023.
</t>
  </si>
  <si>
    <t>Latitude,Longitude</t>
  </si>
  <si>
    <t>19.1513825,73.2665692</t>
  </si>
  <si>
    <t>KBNP/NRV/B.P./184/2023-2024/Unique No. 120</t>
  </si>
  <si>
    <t xml:space="preserve">Building No.1 = Gr/Stilt + 1st to 7th Floor
</t>
  </si>
  <si>
    <t>From provided mail</t>
  </si>
  <si>
    <t>KBNP/NRV/BP/184-120</t>
  </si>
  <si>
    <t>Approved Floor plan No. For Building 1</t>
  </si>
  <si>
    <t>Approved Floor plan No.  
For Building 2, 3 &amp; Adjoint Duplex House</t>
  </si>
  <si>
    <t>We have updated revised C.C &amp; Plans for Building 1 (On 29/02/2024).</t>
  </si>
  <si>
    <t>Layout :</t>
  </si>
  <si>
    <t>Site Person - Contact Details ( Name &amp; Contact No.)</t>
  </si>
  <si>
    <t>Miss. Manjiri 7719987987</t>
  </si>
  <si>
    <t>Mr. Vishwas Shinde 7756026119</t>
  </si>
  <si>
    <t>JVK/KBNP/NRV/761/2024-2025
Approved Upto : Bldg No.3 = Gr/St + 1st to 6th Floor
Residential Units = 36 Nos.</t>
  </si>
  <si>
    <t>We have updated OC from Rera for Bldg No.3 (On 25/11/2024).</t>
  </si>
  <si>
    <t>KBMC/TPD/2024-25/0001
Approved Upto : Bldg No.2 = Gr/St + 1st to 5th Floor
Duplex House = Gr/St + 1st Floor</t>
  </si>
  <si>
    <t>We have updated OC from for Bldg No.2 &amp; Duplex house (On 30/01/2025).</t>
  </si>
  <si>
    <t>Building No. 1 = Construction work is in process at the time of Visit.
Building No. 2, 2 (Duplex house) &amp; 3 = All work Completed. OC Received.</t>
  </si>
  <si>
    <t>Sudhir Bhosale</t>
  </si>
  <si>
    <t>Pranita Mhatre</t>
  </si>
  <si>
    <t>All work Completed. OC Received.</t>
  </si>
  <si>
    <t>Building Details Floor Wise</t>
  </si>
  <si>
    <t xml:space="preserve">Details of Residential &amp; Commercial in Building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</si>
</sst>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0.0"/>
    <numFmt numFmtId="166" formatCode="_(* #,##0.00_);_(* \(#,##0.00\);_(* &quot;-&quot;??_);_(@_)"/>
    <numFmt numFmtId="167" formatCode="_(* #,##0_);_(* \(#,##0\);_(* &quot;-&quot;??_);_(@_)"/>
    <numFmt numFmtId="168" formatCode="_ * #,##0_ ;_ * \-#,##0_ ;_ * &quot;-&quot;??_ ;_ @_ "/>
    <numFmt numFmtId="169" formatCode="[&gt;0]0&quot;BHK&quot;;&quot;1RK&quot;"/>
  </numFmts>
  <fonts count="28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12"/>
      <color rgb="FF00B0F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6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44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7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0" fontId="17" fillId="0" borderId="0" xfId="0" applyFont="1" applyProtection="1">
      <protection hidden="1"/>
    </xf>
    <xf numFmtId="0" fontId="17" fillId="0" borderId="11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7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10" xfId="1" applyFont="1" applyBorder="1"/>
    <xf numFmtId="0" fontId="17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4" fillId="2" borderId="30" xfId="0" applyFont="1" applyFill="1" applyBorder="1"/>
    <xf numFmtId="0" fontId="25" fillId="0" borderId="31" xfId="0" applyFont="1" applyBorder="1"/>
    <xf numFmtId="0" fontId="25" fillId="0" borderId="1" xfId="0" applyFont="1" applyBorder="1"/>
    <xf numFmtId="0" fontId="25" fillId="0" borderId="5" xfId="0" applyFont="1" applyBorder="1"/>
    <xf numFmtId="0" fontId="8" fillId="0" borderId="1" xfId="1" applyFont="1" applyBorder="1" applyAlignment="1" applyProtection="1">
      <alignment vertical="top"/>
      <protection locked="0"/>
    </xf>
    <xf numFmtId="169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165" fontId="7" fillId="0" borderId="0" xfId="1" applyNumberFormat="1" applyFont="1" applyAlignment="1">
      <alignment horizontal="center" vertical="center"/>
    </xf>
    <xf numFmtId="2" fontId="7" fillId="0" borderId="0" xfId="1" applyNumberFormat="1" applyFont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0" fontId="7" fillId="0" borderId="0" xfId="1" applyFont="1" applyAlignment="1">
      <alignment vertical="center"/>
    </xf>
    <xf numFmtId="1" fontId="6" fillId="0" borderId="0" xfId="1" applyNumberFormat="1" applyFont="1" applyAlignment="1" applyProtection="1">
      <alignment horizontal="center" vertical="center" wrapText="1"/>
      <protection locked="0"/>
    </xf>
    <xf numFmtId="0" fontId="7" fillId="0" borderId="1" xfId="1" applyFont="1" applyBorder="1" applyAlignment="1">
      <alignment horizontal="center" vertical="center"/>
    </xf>
    <xf numFmtId="2" fontId="6" fillId="0" borderId="8" xfId="1" applyNumberFormat="1" applyFont="1" applyBorder="1" applyAlignment="1" applyProtection="1">
      <alignment horizontal="center" vertical="center" wrapText="1"/>
      <protection locked="0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 vertical="center"/>
    </xf>
    <xf numFmtId="0" fontId="7" fillId="3" borderId="0" xfId="1" applyFont="1" applyFill="1" applyAlignment="1">
      <alignment vertical="center"/>
    </xf>
    <xf numFmtId="1" fontId="7" fillId="3" borderId="0" xfId="1" applyNumberFormat="1" applyFont="1" applyFill="1" applyAlignment="1">
      <alignment horizontal="center" vertical="center"/>
    </xf>
    <xf numFmtId="0" fontId="7" fillId="3" borderId="0" xfId="1" applyFont="1" applyFill="1" applyAlignment="1">
      <alignment horizontal="center" vertical="center"/>
    </xf>
    <xf numFmtId="165" fontId="15" fillId="0" borderId="0" xfId="1" applyNumberFormat="1" applyFont="1" applyAlignment="1">
      <alignment vertical="center"/>
    </xf>
    <xf numFmtId="1" fontId="15" fillId="0" borderId="0" xfId="1" applyNumberFormat="1" applyFont="1" applyAlignment="1">
      <alignment horizontal="center" vertical="center"/>
    </xf>
    <xf numFmtId="0" fontId="27" fillId="0" borderId="0" xfId="1" applyFont="1" applyAlignment="1">
      <alignment vertical="center"/>
    </xf>
    <xf numFmtId="1" fontId="27" fillId="0" borderId="0" xfId="1" applyNumberFormat="1" applyFont="1" applyAlignment="1">
      <alignment horizontal="center" vertical="center"/>
    </xf>
    <xf numFmtId="169" fontId="12" fillId="0" borderId="1" xfId="1" applyNumberFormat="1" applyFont="1" applyBorder="1" applyAlignment="1" applyProtection="1">
      <alignment horizontal="center" vertical="center" wrapText="1"/>
      <protection locked="0"/>
    </xf>
    <xf numFmtId="1" fontId="12" fillId="0" borderId="1" xfId="1" applyNumberFormat="1" applyFont="1" applyBorder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/>
      <protection locked="0"/>
    </xf>
    <xf numFmtId="0" fontId="24" fillId="2" borderId="15" xfId="0" applyFont="1" applyFill="1" applyBorder="1"/>
    <xf numFmtId="0" fontId="25" fillId="0" borderId="9" xfId="0" applyFont="1" applyBorder="1"/>
    <xf numFmtId="0" fontId="7" fillId="2" borderId="0" xfId="1" applyFont="1" applyFill="1"/>
    <xf numFmtId="14" fontId="7" fillId="2" borderId="0" xfId="1" applyNumberFormat="1" applyFont="1" applyFill="1"/>
    <xf numFmtId="0" fontId="7" fillId="2" borderId="0" xfId="0" applyFont="1" applyFill="1" applyAlignment="1">
      <alignment horizontal="center" vertical="center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7" fillId="0" borderId="8" xfId="1" applyFont="1" applyBorder="1" applyAlignment="1" applyProtection="1">
      <alignment vertical="top" wrapText="1"/>
      <protection locked="0"/>
    </xf>
    <xf numFmtId="0" fontId="7" fillId="0" borderId="5" xfId="1" applyFont="1" applyBorder="1" applyAlignment="1" applyProtection="1">
      <alignment vertical="top" wrapText="1"/>
      <protection locked="0"/>
    </xf>
    <xf numFmtId="0" fontId="12" fillId="0" borderId="1" xfId="1" applyFont="1" applyBorder="1" applyAlignment="1" applyProtection="1">
      <alignment horizontal="center" wrapText="1"/>
      <protection locked="0"/>
    </xf>
    <xf numFmtId="9" fontId="12" fillId="0" borderId="1" xfId="1" applyNumberFormat="1" applyFont="1" applyBorder="1" applyAlignment="1" applyProtection="1">
      <alignment horizontal="center" vertical="center" wrapText="1"/>
      <protection hidden="1"/>
    </xf>
    <xf numFmtId="0" fontId="12" fillId="0" borderId="7" xfId="1" applyFont="1" applyBorder="1" applyAlignment="1" applyProtection="1">
      <alignment horizontal="center" wrapText="1"/>
      <protection locked="0"/>
    </xf>
    <xf numFmtId="9" fontId="12" fillId="0" borderId="7" xfId="1" applyNumberFormat="1" applyFont="1" applyBorder="1" applyAlignment="1" applyProtection="1">
      <alignment horizontal="center" vertical="center" wrapText="1"/>
      <protection hidden="1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13" fillId="0" borderId="4" xfId="1" applyFont="1" applyBorder="1" applyAlignment="1" applyProtection="1">
      <alignment horizontal="center" vertical="center"/>
      <protection locked="0"/>
    </xf>
    <xf numFmtId="0" fontId="13" fillId="0" borderId="1" xfId="1" applyFont="1" applyBorder="1" applyAlignment="1" applyProtection="1">
      <alignment horizontal="center" vertical="center"/>
      <protection locked="0"/>
    </xf>
    <xf numFmtId="9" fontId="13" fillId="0" borderId="8" xfId="1" applyNumberFormat="1" applyFont="1" applyBorder="1" applyAlignment="1" applyProtection="1">
      <alignment horizontal="center" vertical="center" wrapText="1"/>
      <protection locked="0"/>
    </xf>
    <xf numFmtId="0" fontId="13" fillId="0" borderId="9" xfId="1" applyFont="1" applyBorder="1" applyAlignment="1" applyProtection="1">
      <alignment horizontal="center" vertical="center" wrapText="1"/>
      <protection locked="0"/>
    </xf>
    <xf numFmtId="0" fontId="13" fillId="0" borderId="8" xfId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1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18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29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10" xfId="8" applyFont="1" applyFill="1" applyBorder="1" applyAlignment="1" applyProtection="1">
      <alignment horizontal="center" vertical="center" wrapText="1"/>
      <protection locked="0"/>
    </xf>
    <xf numFmtId="9" fontId="7" fillId="0" borderId="12" xfId="8" applyFont="1" applyFill="1" applyBorder="1" applyAlignment="1" applyProtection="1">
      <alignment horizontal="center" vertical="center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23" xfId="1" applyFont="1" applyBorder="1" applyAlignment="1" applyProtection="1">
      <alignment horizontal="left" vertical="top" wrapText="1"/>
      <protection locked="0"/>
    </xf>
    <xf numFmtId="0" fontId="13" fillId="0" borderId="37" xfId="1" applyFont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6" fillId="0" borderId="3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left" vertical="top" wrapText="1"/>
      <protection locked="0"/>
    </xf>
    <xf numFmtId="0" fontId="13" fillId="0" borderId="21" xfId="1" applyFont="1" applyBorder="1" applyAlignment="1" applyProtection="1">
      <alignment horizontal="left" vertical="top" wrapText="1"/>
      <protection locked="0"/>
    </xf>
    <xf numFmtId="0" fontId="13" fillId="0" borderId="37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34" xfId="1" applyFont="1" applyBorder="1" applyAlignment="1" applyProtection="1">
      <alignment horizontal="left" vertical="top" wrapText="1"/>
      <protection locked="0"/>
    </xf>
    <xf numFmtId="0" fontId="13" fillId="0" borderId="35" xfId="1" applyFont="1" applyBorder="1" applyAlignment="1" applyProtection="1">
      <alignment horizontal="left" vertical="top" wrapText="1"/>
      <protection locked="0"/>
    </xf>
    <xf numFmtId="0" fontId="13" fillId="0" borderId="36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7" fillId="0" borderId="0" xfId="1" applyFont="1" applyAlignment="1">
      <alignment horizontal="center" vertical="center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26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26" fillId="0" borderId="1" xfId="10" applyFill="1" applyBorder="1" applyAlignment="1" applyProtection="1">
      <alignment horizontal="left" vertical="center" wrapText="1"/>
      <protection locked="0"/>
    </xf>
    <xf numFmtId="0" fontId="12" fillId="0" borderId="1" xfId="1" applyFont="1" applyBorder="1" applyAlignment="1" applyProtection="1">
      <alignment horizontal="left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68" fontId="12" fillId="0" borderId="1" xfId="9" applyNumberFormat="1" applyFont="1" applyFill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0" borderId="16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3" fillId="0" borderId="21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0" fontId="8" fillId="0" borderId="16" xfId="1" applyFont="1" applyBorder="1" applyAlignment="1" applyProtection="1">
      <alignment horizontal="center" vertical="top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14" fontId="8" fillId="0" borderId="8" xfId="1" applyNumberFormat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0" fontId="12" fillId="0" borderId="25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/>
      <protection locked="0"/>
    </xf>
    <xf numFmtId="0" fontId="12" fillId="0" borderId="26" xfId="1" applyFont="1" applyBorder="1" applyAlignment="1" applyProtection="1">
      <alignment horizontal="left" vertical="top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14" fontId="6" fillId="0" borderId="9" xfId="1" applyNumberFormat="1" applyFont="1" applyBorder="1" applyAlignment="1" applyProtection="1">
      <alignment horizontal="left" vertical="top" wrapText="1"/>
      <protection locked="0"/>
    </xf>
    <xf numFmtId="0" fontId="6" fillId="0" borderId="21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9" fontId="12" fillId="0" borderId="3" xfId="1" applyNumberFormat="1" applyFont="1" applyBorder="1" applyAlignment="1" applyProtection="1">
      <alignment horizontal="center" vertical="center" wrapText="1"/>
      <protection hidden="1"/>
    </xf>
    <xf numFmtId="9" fontId="12" fillId="0" borderId="39" xfId="1" applyNumberFormat="1" applyFont="1" applyBorder="1" applyAlignment="1" applyProtection="1">
      <alignment horizontal="center" vertical="center" wrapText="1"/>
      <protection hidden="1"/>
    </xf>
    <xf numFmtId="9" fontId="12" fillId="0" borderId="41" xfId="1" applyNumberFormat="1" applyFont="1" applyBorder="1" applyAlignment="1" applyProtection="1">
      <alignment horizontal="center" vertical="center" wrapText="1"/>
      <protection hidden="1"/>
    </xf>
    <xf numFmtId="9" fontId="12" fillId="0" borderId="38" xfId="1" applyNumberFormat="1" applyFont="1" applyBorder="1" applyAlignment="1" applyProtection="1">
      <alignment horizontal="center" vertical="center" wrapText="1"/>
      <protection hidden="1"/>
    </xf>
    <xf numFmtId="9" fontId="12" fillId="0" borderId="40" xfId="1" applyNumberFormat="1" applyFont="1" applyBorder="1" applyAlignment="1" applyProtection="1">
      <alignment horizontal="center" vertical="center" wrapText="1"/>
      <protection hidden="1"/>
    </xf>
    <xf numFmtId="9" fontId="12" fillId="0" borderId="42" xfId="1" applyNumberFormat="1" applyFont="1" applyBorder="1" applyAlignment="1" applyProtection="1">
      <alignment horizontal="center" vertical="center" wrapText="1"/>
      <protection hidden="1"/>
    </xf>
    <xf numFmtId="0" fontId="13" fillId="0" borderId="32" xfId="1" applyFont="1" applyBorder="1" applyAlignment="1" applyProtection="1">
      <alignment horizontal="left" vertical="top" wrapText="1"/>
      <protection locked="0"/>
    </xf>
    <xf numFmtId="0" fontId="13" fillId="0" borderId="33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8" fillId="0" borderId="17" xfId="1" applyFont="1" applyBorder="1" applyAlignment="1" applyProtection="1">
      <alignment horizontal="left" vertical="top" wrapText="1"/>
      <protection locked="0"/>
    </xf>
    <xf numFmtId="0" fontId="8" fillId="0" borderId="18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2" fontId="12" fillId="0" borderId="1" xfId="1" applyNumberFormat="1" applyFont="1" applyBorder="1" applyAlignment="1" applyProtection="1">
      <alignment horizontal="left" vertical="top" wrapText="1"/>
      <protection locked="0"/>
    </xf>
    <xf numFmtId="165" fontId="12" fillId="0" borderId="1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1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68" fontId="13" fillId="0" borderId="1" xfId="9" applyNumberFormat="1" applyFont="1" applyFill="1" applyBorder="1" applyAlignment="1" applyProtection="1">
      <alignment horizontal="left" vertical="top"/>
      <protection locked="0"/>
    </xf>
    <xf numFmtId="1" fontId="6" fillId="0" borderId="3" xfId="0" applyNumberFormat="1" applyFont="1" applyBorder="1" applyAlignment="1" applyProtection="1">
      <alignment horizontal="center" vertical="center" wrapText="1"/>
      <protection locked="0"/>
    </xf>
    <xf numFmtId="1" fontId="6" fillId="0" borderId="16" xfId="0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0" fontId="15" fillId="0" borderId="1" xfId="1" applyFont="1" applyBorder="1" applyAlignment="1" applyProtection="1">
      <alignment horizontal="left" vertical="top" wrapText="1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2" fillId="0" borderId="9" xfId="1" applyFont="1" applyBorder="1" applyAlignment="1" applyProtection="1">
      <alignment horizontal="left" vertical="top" wrapText="1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7" fillId="0" borderId="8" xfId="1" applyFont="1" applyBorder="1" applyAlignment="1" applyProtection="1">
      <alignment horizontal="left"/>
      <protection locked="0"/>
    </xf>
    <xf numFmtId="0" fontId="7" fillId="0" borderId="21" xfId="1" applyFont="1" applyBorder="1" applyAlignment="1" applyProtection="1">
      <alignment horizontal="left"/>
      <protection locked="0"/>
    </xf>
    <xf numFmtId="0" fontId="7" fillId="0" borderId="9" xfId="1" applyFont="1" applyBorder="1" applyAlignment="1" applyProtection="1">
      <alignment horizontal="left"/>
      <protection locked="0"/>
    </xf>
    <xf numFmtId="0" fontId="12" fillId="0" borderId="17" xfId="1" applyFont="1" applyBorder="1" applyAlignment="1" applyProtection="1">
      <alignment horizontal="left" vertical="top"/>
      <protection locked="0"/>
    </xf>
    <xf numFmtId="0" fontId="12" fillId="0" borderId="24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26" xfId="1" applyFont="1" applyBorder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2" fontId="12" fillId="0" borderId="1" xfId="1" applyNumberFormat="1" applyFont="1" applyBorder="1" applyAlignment="1" applyProtection="1">
      <alignment horizontal="left" vertical="top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4.png"/><Relationship Id="rId1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552451</xdr:colOff>
      <xdr:row>333</xdr:row>
      <xdr:rowOff>28575</xdr:rowOff>
    </xdr:from>
    <xdr:to>
      <xdr:col>6</xdr:col>
      <xdr:colOff>770175</xdr:colOff>
      <xdr:row>366</xdr:row>
      <xdr:rowOff>47324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/>
      </xdr:nvGrpSpPr>
      <xdr:grpSpPr>
        <a:xfrm>
          <a:off x="552451" y="66093975"/>
          <a:ext cx="5262164" cy="6556709"/>
          <a:chOff x="552451" y="72618600"/>
          <a:chExt cx="5132624" cy="6619574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552451" y="72618600"/>
            <a:ext cx="5132624" cy="32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553108" y="75998174"/>
            <a:ext cx="5130527" cy="324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 editAs="oneCell">
    <xdr:from>
      <xdr:col>8</xdr:col>
      <xdr:colOff>76200</xdr:colOff>
      <xdr:row>52</xdr:row>
      <xdr:rowOff>304800</xdr:rowOff>
    </xdr:from>
    <xdr:to>
      <xdr:col>15</xdr:col>
      <xdr:colOff>770724</xdr:colOff>
      <xdr:row>54</xdr:row>
      <xdr:rowOff>333268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00825" y="12392025"/>
          <a:ext cx="6409524" cy="857143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299</xdr:row>
      <xdr:rowOff>28576</xdr:rowOff>
    </xdr:from>
    <xdr:to>
      <xdr:col>7</xdr:col>
      <xdr:colOff>576450</xdr:colOff>
      <xdr:row>318</xdr:row>
      <xdr:rowOff>33394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152400" y="59357896"/>
          <a:ext cx="6268590" cy="3769098"/>
          <a:chOff x="152400" y="64617601"/>
          <a:chExt cx="6120000" cy="3805293"/>
        </a:xfrm>
      </xdr:grpSpPr>
      <xdr:pic>
        <xdr:nvPicPr>
          <xdr:cNvPr id="6" name="Picture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2400" y="64617601"/>
            <a:ext cx="6120000" cy="3805293"/>
          </a:xfrm>
          <a:prstGeom prst="rect">
            <a:avLst/>
          </a:prstGeom>
          <a:ln>
            <a:solidFill>
              <a:sysClr val="windowText" lastClr="000000"/>
            </a:solidFill>
          </a:ln>
        </xdr:spPr>
      </xdr:pic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/>
        </xdr:nvSpPr>
        <xdr:spPr>
          <a:xfrm>
            <a:off x="3733800" y="65322450"/>
            <a:ext cx="1857375" cy="1676400"/>
          </a:xfrm>
          <a:prstGeom prst="rect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  <xdr:sp macro="" textlink="">
        <xdr:nvSpPr>
          <xdr:cNvPr id="8" name="Rectangle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/>
        </xdr:nvSpPr>
        <xdr:spPr>
          <a:xfrm rot="21104121">
            <a:off x="2381250" y="66389250"/>
            <a:ext cx="1276350" cy="657225"/>
          </a:xfrm>
          <a:prstGeom prst="rect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  <xdr:sp macro="" textlink="">
        <xdr:nvSpPr>
          <xdr:cNvPr id="9" name="Rectangle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/>
        </xdr:nvSpPr>
        <xdr:spPr>
          <a:xfrm rot="20220101">
            <a:off x="547919" y="67344307"/>
            <a:ext cx="1325451" cy="772862"/>
          </a:xfrm>
          <a:prstGeom prst="rect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 txBox="1"/>
        </xdr:nvSpPr>
        <xdr:spPr>
          <a:xfrm>
            <a:off x="352425" y="66998850"/>
            <a:ext cx="923523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400" b="1">
                <a:solidFill>
                  <a:srgbClr val="FF0000"/>
                </a:solidFill>
              </a:rPr>
              <a:t>Building 3</a:t>
            </a:r>
          </a:p>
        </xdr:txBody>
      </xdr:sp>
      <xdr:sp macro="" textlink="">
        <xdr:nvSpPr>
          <xdr:cNvPr id="57" name="TextBox 56">
            <a:extLst>
              <a:ext uri="{FF2B5EF4-FFF2-40B4-BE49-F238E27FC236}">
                <a16:creationId xmlns:a16="http://schemas.microsoft.com/office/drawing/2014/main" id="{00000000-0008-0000-0000-000039000000}"/>
              </a:ext>
            </a:extLst>
          </xdr:cNvPr>
          <xdr:cNvSpPr txBox="1"/>
        </xdr:nvSpPr>
        <xdr:spPr>
          <a:xfrm>
            <a:off x="4410075" y="64893825"/>
            <a:ext cx="923523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400" b="1">
                <a:solidFill>
                  <a:srgbClr val="FF0000"/>
                </a:solidFill>
              </a:rPr>
              <a:t>Building 1</a:t>
            </a:r>
          </a:p>
        </xdr:txBody>
      </xdr:sp>
      <xdr:sp macro="" textlink="">
        <xdr:nvSpPr>
          <xdr:cNvPr id="58" name="TextBox 57">
            <a:extLst>
              <a:ext uri="{FF2B5EF4-FFF2-40B4-BE49-F238E27FC236}">
                <a16:creationId xmlns:a16="http://schemas.microsoft.com/office/drawing/2014/main" id="{00000000-0008-0000-0000-00003A000000}"/>
              </a:ext>
            </a:extLst>
          </xdr:cNvPr>
          <xdr:cNvSpPr txBox="1"/>
        </xdr:nvSpPr>
        <xdr:spPr>
          <a:xfrm>
            <a:off x="1752600" y="66179700"/>
            <a:ext cx="923523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400" b="1">
                <a:solidFill>
                  <a:srgbClr val="FF0000"/>
                </a:solidFill>
              </a:rPr>
              <a:t>Building 2</a:t>
            </a:r>
          </a:p>
        </xdr:txBody>
      </xdr:sp>
    </xdr:grpSp>
    <xdr:clientData/>
  </xdr:twoCellAnchor>
  <xdr:twoCellAnchor>
    <xdr:from>
      <xdr:col>12</xdr:col>
      <xdr:colOff>431484</xdr:colOff>
      <xdr:row>251</xdr:row>
      <xdr:rowOff>88900</xdr:rowOff>
    </xdr:from>
    <xdr:to>
      <xdr:col>13</xdr:col>
      <xdr:colOff>871026</xdr:colOff>
      <xdr:row>253</xdr:row>
      <xdr:rowOff>163277</xdr:rowOff>
    </xdr:to>
    <xdr:sp macro="" textlink="">
      <xdr:nvSpPr>
        <xdr:cNvPr id="78" name="Rectangl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>
        <a:xfrm>
          <a:off x="10870884" y="53644800"/>
          <a:ext cx="1265042" cy="468077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sz="1200" b="1">
              <a:solidFill>
                <a:srgbClr val="FF0000"/>
              </a:solidFill>
            </a:rPr>
            <a:t>Building No.1</a:t>
          </a:r>
        </a:p>
        <a:p>
          <a:r>
            <a:rPr lang="en-US" sz="1200" b="1">
              <a:solidFill>
                <a:srgbClr val="FF0000"/>
              </a:solidFill>
            </a:rPr>
            <a:t>Part II</a:t>
          </a:r>
          <a:endParaRPr lang="en-IN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246445</xdr:colOff>
      <xdr:row>278</xdr:row>
      <xdr:rowOff>37488</xdr:rowOff>
    </xdr:from>
    <xdr:to>
      <xdr:col>11</xdr:col>
      <xdr:colOff>563945</xdr:colOff>
      <xdr:row>279</xdr:row>
      <xdr:rowOff>120843</xdr:rowOff>
    </xdr:to>
    <xdr:sp macro="" textlink="">
      <xdr:nvSpPr>
        <xdr:cNvPr id="93" name="Rectangl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>
        <a:xfrm>
          <a:off x="8695120" y="58035213"/>
          <a:ext cx="1069975" cy="283380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sz="1200" b="1">
              <a:solidFill>
                <a:srgbClr val="FF0000"/>
              </a:solidFill>
            </a:rPr>
            <a:t>Building No.</a:t>
          </a:r>
          <a:r>
            <a:rPr lang="en-US" sz="1200" b="1">
              <a:solidFill>
                <a:srgbClr val="FF0000"/>
              </a:solidFill>
            </a:rPr>
            <a:t>3</a:t>
          </a:r>
        </a:p>
      </xdr:txBody>
    </xdr:sp>
    <xdr:clientData/>
  </xdr:twoCellAnchor>
  <xdr:twoCellAnchor>
    <xdr:from>
      <xdr:col>8</xdr:col>
      <xdr:colOff>833480</xdr:colOff>
      <xdr:row>254</xdr:row>
      <xdr:rowOff>63195</xdr:rowOff>
    </xdr:from>
    <xdr:to>
      <xdr:col>16</xdr:col>
      <xdr:colOff>341235</xdr:colOff>
      <xdr:row>295</xdr:row>
      <xdr:rowOff>140395</xdr:rowOff>
    </xdr:to>
    <xdr:grpSp>
      <xdr:nvGrpSpPr>
        <xdr:cNvPr id="17" name="Group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pSpPr/>
      </xdr:nvGrpSpPr>
      <xdr:grpSpPr>
        <a:xfrm>
          <a:off x="7531460" y="50484735"/>
          <a:ext cx="6198115" cy="8192500"/>
          <a:chOff x="276226" y="53454299"/>
          <a:chExt cx="6051513" cy="8268700"/>
        </a:xfrm>
      </xdr:grpSpPr>
      <xdr:pic>
        <xdr:nvPicPr>
          <xdr:cNvPr id="47" name="Picture 46" descr="https://vsjcllp.vsjadon.com/upload/insp-234004-1525.jpg">
            <a:extLst>
              <a:ext uri="{FF2B5EF4-FFF2-40B4-BE49-F238E27FC236}">
                <a16:creationId xmlns:a16="http://schemas.microsoft.com/office/drawing/2014/main" id="{00000000-0008-0000-0000-00002F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209801" y="59950350"/>
            <a:ext cx="2433822" cy="177264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3" name="Picture 52" descr="https://vsjcllp.vsjadon.com/upload/insp-234004-843.jpg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267200" y="53454299"/>
            <a:ext cx="1866900" cy="248227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4" name="Picture 53" descr="https://vsjcllp.vsjadon.com/upload/insp-234004-845.jpg">
            <a:extLst>
              <a:ext uri="{FF2B5EF4-FFF2-40B4-BE49-F238E27FC236}">
                <a16:creationId xmlns:a16="http://schemas.microsoft.com/office/drawing/2014/main" id="{00000000-0008-0000-0000-00003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905001" y="56013350"/>
            <a:ext cx="1548106" cy="20584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5" name="Picture 54" descr="https://vsjcllp.vsjadon.com/upload/insp-234004-844.jpg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98538" y="56013350"/>
            <a:ext cx="1548106" cy="20584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6" name="Picture 55" descr="https://vsjcllp.vsjadon.com/upload/insp-234004-847.jpg">
            <a:extLst>
              <a:ext uri="{FF2B5EF4-FFF2-40B4-BE49-F238E27FC236}">
                <a16:creationId xmlns:a16="http://schemas.microsoft.com/office/drawing/2014/main" id="{00000000-0008-0000-0000-00003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019550" y="58140600"/>
            <a:ext cx="2308189" cy="173355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0" name="Picture 59" descr="https://vsjcllp.vsjadon.com/upload/insp-234004-849.jpg">
            <a:extLst>
              <a:ext uri="{FF2B5EF4-FFF2-40B4-BE49-F238E27FC236}">
                <a16:creationId xmlns:a16="http://schemas.microsoft.com/office/drawing/2014/main" id="{00000000-0008-0000-0000-00003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638426" y="58139013"/>
            <a:ext cx="1303790" cy="173355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1" name="Picture 60" descr="https://vsjcllp.vsjadon.com/upload/insp-234004-851.jpg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76226" y="58142188"/>
            <a:ext cx="2299672" cy="173355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3" name="Picture 62" descr="https://vsjcllp.vsjadon.com/upload/insp-234004-861.jpg">
            <a:extLst>
              <a:ext uri="{FF2B5EF4-FFF2-40B4-BE49-F238E27FC236}">
                <a16:creationId xmlns:a16="http://schemas.microsoft.com/office/drawing/2014/main" id="{00000000-0008-0000-0000-00003F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81000" y="53454299"/>
            <a:ext cx="1866900" cy="248227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4" name="Picture 63" descr="https://vsjcllp.vsjadon.com/upload/insp-234004-862.jpg">
            <a:extLst>
              <a:ext uri="{FF2B5EF4-FFF2-40B4-BE49-F238E27FC236}">
                <a16:creationId xmlns:a16="http://schemas.microsoft.com/office/drawing/2014/main" id="{00000000-0008-0000-0000-000040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552826" y="56016525"/>
            <a:ext cx="2730608" cy="20584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8" name="Picture 67" descr="https://vsjcllp.vsjadon.com/upload/insp-234004-874.jpg">
            <a:extLst>
              <a:ext uri="{FF2B5EF4-FFF2-40B4-BE49-F238E27FC236}">
                <a16:creationId xmlns:a16="http://schemas.microsoft.com/office/drawing/2014/main" id="{00000000-0008-0000-0000-00004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324100" y="53454299"/>
            <a:ext cx="1866900" cy="248227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69" name="Rectangle 68">
            <a:extLst>
              <a:ext uri="{FF2B5EF4-FFF2-40B4-BE49-F238E27FC236}">
                <a16:creationId xmlns:a16="http://schemas.microsoft.com/office/drawing/2014/main" id="{00000000-0008-0000-0000-000045000000}"/>
              </a:ext>
            </a:extLst>
          </xdr:cNvPr>
          <xdr:cNvSpPr/>
        </xdr:nvSpPr>
        <xdr:spPr>
          <a:xfrm>
            <a:off x="3545388" y="56239561"/>
            <a:ext cx="1073150" cy="286555"/>
          </a:xfrm>
          <a:prstGeom prst="rect">
            <a:avLst/>
          </a:prstGeom>
        </xdr:spPr>
        <xdr:txBody>
          <a:bodyPr wrap="square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>
                <a:solidFill>
                  <a:srgbClr val="FF0000"/>
                </a:solidFill>
              </a:rPr>
              <a:t>Duplex House</a:t>
            </a:r>
            <a:endParaRPr lang="en-IN" sz="1200" b="1">
              <a:solidFill>
                <a:srgbClr val="FF0000"/>
              </a:solidFill>
            </a:endParaRPr>
          </a:p>
        </xdr:txBody>
      </xdr:sp>
      <xdr:cxnSp macro="">
        <xdr:nvCxnSpPr>
          <xdr:cNvPr id="70" name="Straight Arrow Connector 69">
            <a:extLst>
              <a:ext uri="{FF2B5EF4-FFF2-40B4-BE49-F238E27FC236}">
                <a16:creationId xmlns:a16="http://schemas.microsoft.com/office/drawing/2014/main" id="{00000000-0008-0000-0000-000046000000}"/>
              </a:ext>
            </a:extLst>
          </xdr:cNvPr>
          <xdr:cNvCxnSpPr/>
        </xdr:nvCxnSpPr>
        <xdr:spPr>
          <a:xfrm>
            <a:off x="4137025" y="56254956"/>
            <a:ext cx="190500" cy="342900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71" name="Rectangle 70">
            <a:extLst>
              <a:ext uri="{FF2B5EF4-FFF2-40B4-BE49-F238E27FC236}">
                <a16:creationId xmlns:a16="http://schemas.microsoft.com/office/drawing/2014/main" id="{00000000-0008-0000-0000-000047000000}"/>
              </a:ext>
            </a:extLst>
          </xdr:cNvPr>
          <xdr:cNvSpPr/>
        </xdr:nvSpPr>
        <xdr:spPr>
          <a:xfrm>
            <a:off x="1943101" y="57794525"/>
            <a:ext cx="1073150" cy="286555"/>
          </a:xfrm>
          <a:prstGeom prst="rect">
            <a:avLst/>
          </a:prstGeom>
        </xdr:spPr>
        <xdr:txBody>
          <a:bodyPr wrap="square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>
                <a:solidFill>
                  <a:srgbClr val="FF0000"/>
                </a:solidFill>
              </a:rPr>
              <a:t>Duplex House</a:t>
            </a:r>
            <a:endParaRPr lang="en-IN" sz="1200" b="1">
              <a:solidFill>
                <a:srgbClr val="FF0000"/>
              </a:solidFill>
            </a:endParaRPr>
          </a:p>
        </xdr:txBody>
      </xdr:sp>
      <xdr:sp macro="" textlink="">
        <xdr:nvSpPr>
          <xdr:cNvPr id="72" name="Rectangle 71">
            <a:extLst>
              <a:ext uri="{FF2B5EF4-FFF2-40B4-BE49-F238E27FC236}">
                <a16:creationId xmlns:a16="http://schemas.microsoft.com/office/drawing/2014/main" id="{00000000-0008-0000-0000-000048000000}"/>
              </a:ext>
            </a:extLst>
          </xdr:cNvPr>
          <xdr:cNvSpPr/>
        </xdr:nvSpPr>
        <xdr:spPr>
          <a:xfrm>
            <a:off x="1901739" y="57572907"/>
            <a:ext cx="1073150" cy="286555"/>
          </a:xfrm>
          <a:prstGeom prst="rect">
            <a:avLst/>
          </a:prstGeom>
        </xdr:spPr>
        <xdr:txBody>
          <a:bodyPr wrap="square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IN" sz="1200" b="1">
                <a:solidFill>
                  <a:srgbClr val="FF0000"/>
                </a:solidFill>
              </a:rPr>
              <a:t>Building No.</a:t>
            </a:r>
            <a:r>
              <a:rPr lang="en-US" sz="1200" b="1">
                <a:solidFill>
                  <a:srgbClr val="FF0000"/>
                </a:solidFill>
              </a:rPr>
              <a:t>2 </a:t>
            </a:r>
            <a:r>
              <a:rPr lang="en-US" sz="1800" b="1" kern="12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Duplex House</a:t>
            </a:r>
            <a:endParaRPr lang="en-IN" sz="1200">
              <a:effectLst/>
            </a:endParaRPr>
          </a:p>
          <a:p>
            <a:endParaRPr lang="en-IN" sz="1200" b="1">
              <a:solidFill>
                <a:srgbClr val="FF0000"/>
              </a:solidFill>
            </a:endParaRPr>
          </a:p>
        </xdr:txBody>
      </xdr:sp>
      <xdr:sp macro="" textlink="">
        <xdr:nvSpPr>
          <xdr:cNvPr id="73" name="Rectangle 72">
            <a:extLst>
              <a:ext uri="{FF2B5EF4-FFF2-40B4-BE49-F238E27FC236}">
                <a16:creationId xmlns:a16="http://schemas.microsoft.com/office/drawing/2014/main" id="{00000000-0008-0000-0000-000049000000}"/>
              </a:ext>
            </a:extLst>
          </xdr:cNvPr>
          <xdr:cNvSpPr/>
        </xdr:nvSpPr>
        <xdr:spPr>
          <a:xfrm>
            <a:off x="276226" y="56005659"/>
            <a:ext cx="1073150" cy="286555"/>
          </a:xfrm>
          <a:prstGeom prst="rect">
            <a:avLst/>
          </a:prstGeom>
        </xdr:spPr>
        <xdr:txBody>
          <a:bodyPr wrap="square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200" b="1">
                <a:solidFill>
                  <a:srgbClr val="FF0000"/>
                </a:solidFill>
              </a:rPr>
              <a:t>Building No.</a:t>
            </a:r>
            <a:r>
              <a:rPr lang="en-US" sz="1200" b="1">
                <a:solidFill>
                  <a:srgbClr val="FF0000"/>
                </a:solidFill>
              </a:rPr>
              <a:t>2</a:t>
            </a:r>
            <a:endParaRPr lang="en-IN" sz="1200" b="1">
              <a:solidFill>
                <a:srgbClr val="FF0000"/>
              </a:solidFill>
            </a:endParaRPr>
          </a:p>
        </xdr:txBody>
      </xdr:sp>
      <xdr:sp macro="" textlink="">
        <xdr:nvSpPr>
          <xdr:cNvPr id="74" name="Rectangle 73">
            <a:extLst>
              <a:ext uri="{FF2B5EF4-FFF2-40B4-BE49-F238E27FC236}">
                <a16:creationId xmlns:a16="http://schemas.microsoft.com/office/drawing/2014/main" id="{00000000-0008-0000-0000-00004A000000}"/>
              </a:ext>
            </a:extLst>
          </xdr:cNvPr>
          <xdr:cNvSpPr/>
        </xdr:nvSpPr>
        <xdr:spPr>
          <a:xfrm>
            <a:off x="343813" y="53523517"/>
            <a:ext cx="1152525" cy="474427"/>
          </a:xfrm>
          <a:prstGeom prst="rect">
            <a:avLst/>
          </a:prstGeom>
        </xdr:spPr>
        <xdr:txBody>
          <a:bodyPr wrap="square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200" b="1">
                <a:solidFill>
                  <a:srgbClr val="FF0000"/>
                </a:solidFill>
              </a:rPr>
              <a:t>Building No.1</a:t>
            </a:r>
          </a:p>
          <a:p>
            <a:r>
              <a:rPr lang="en-US" sz="1200" b="1">
                <a:solidFill>
                  <a:srgbClr val="FF0000"/>
                </a:solidFill>
              </a:rPr>
              <a:t>Part I</a:t>
            </a:r>
            <a:endParaRPr lang="en-IN" sz="1200" b="1">
              <a:solidFill>
                <a:srgbClr val="FF0000"/>
              </a:solidFill>
            </a:endParaRPr>
          </a:p>
        </xdr:txBody>
      </xdr:sp>
      <xdr:sp macro="" textlink="">
        <xdr:nvSpPr>
          <xdr:cNvPr id="75" name="Rectangle 74">
            <a:extLst>
              <a:ext uri="{FF2B5EF4-FFF2-40B4-BE49-F238E27FC236}">
                <a16:creationId xmlns:a16="http://schemas.microsoft.com/office/drawing/2014/main" id="{00000000-0008-0000-0000-00004B000000}"/>
              </a:ext>
            </a:extLst>
          </xdr:cNvPr>
          <xdr:cNvSpPr/>
        </xdr:nvSpPr>
        <xdr:spPr>
          <a:xfrm>
            <a:off x="3076575" y="53454299"/>
            <a:ext cx="1152525" cy="474427"/>
          </a:xfrm>
          <a:prstGeom prst="rect">
            <a:avLst/>
          </a:prstGeom>
        </xdr:spPr>
        <xdr:txBody>
          <a:bodyPr wrap="square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200" b="1">
                <a:solidFill>
                  <a:srgbClr val="FF0000"/>
                </a:solidFill>
              </a:rPr>
              <a:t>Building No.1</a:t>
            </a:r>
          </a:p>
          <a:p>
            <a:r>
              <a:rPr lang="en-US" sz="1200" b="1">
                <a:solidFill>
                  <a:srgbClr val="FF0000"/>
                </a:solidFill>
              </a:rPr>
              <a:t>Part II</a:t>
            </a:r>
            <a:endParaRPr lang="en-IN" sz="1200" b="1">
              <a:solidFill>
                <a:srgbClr val="FF0000"/>
              </a:solidFill>
            </a:endParaRPr>
          </a:p>
        </xdr:txBody>
      </xdr:sp>
    </xdr:grpSp>
    <xdr:clientData/>
  </xdr:twoCellAnchor>
  <xdr:twoCellAnchor>
    <xdr:from>
      <xdr:col>0</xdr:col>
      <xdr:colOff>388620</xdr:colOff>
      <xdr:row>256</xdr:row>
      <xdr:rowOff>60960</xdr:rowOff>
    </xdr:from>
    <xdr:to>
      <xdr:col>7</xdr:col>
      <xdr:colOff>83820</xdr:colOff>
      <xdr:row>295</xdr:row>
      <xdr:rowOff>22860</xdr:rowOff>
    </xdr:to>
    <xdr:grpSp>
      <xdr:nvGrpSpPr>
        <xdr:cNvPr id="27" name="Group 26">
          <a:extLst>
            <a:ext uri="{FF2B5EF4-FFF2-40B4-BE49-F238E27FC236}">
              <a16:creationId xmlns:a16="http://schemas.microsoft.com/office/drawing/2014/main" id="{15DE8CAB-C87F-8DA3-440A-335BC82D757F}"/>
            </a:ext>
          </a:extLst>
        </xdr:cNvPr>
        <xdr:cNvGrpSpPr/>
      </xdr:nvGrpSpPr>
      <xdr:grpSpPr>
        <a:xfrm>
          <a:off x="388620" y="50878740"/>
          <a:ext cx="5539740" cy="7680960"/>
          <a:chOff x="388620" y="52764856"/>
          <a:chExt cx="5539409" cy="7707795"/>
        </a:xfrm>
      </xdr:grpSpPr>
      <xdr:grpSp>
        <xdr:nvGrpSpPr>
          <xdr:cNvPr id="4" name="Group 3">
            <a:extLst>
              <a:ext uri="{FF2B5EF4-FFF2-40B4-BE49-F238E27FC236}">
                <a16:creationId xmlns:a16="http://schemas.microsoft.com/office/drawing/2014/main" id="{7904AF62-D818-E178-AD2A-7D97B5A06CBA}"/>
              </a:ext>
            </a:extLst>
          </xdr:cNvPr>
          <xdr:cNvGrpSpPr/>
        </xdr:nvGrpSpPr>
        <xdr:grpSpPr>
          <a:xfrm>
            <a:off x="388620" y="52772476"/>
            <a:ext cx="5539409" cy="7700175"/>
            <a:chOff x="977518" y="323280"/>
            <a:chExt cx="5122889" cy="7672088"/>
          </a:xfrm>
        </xdr:grpSpPr>
        <xdr:pic>
          <xdr:nvPicPr>
            <xdr:cNvPr id="13" name="Picture 12">
              <a:extLst>
                <a:ext uri="{FF2B5EF4-FFF2-40B4-BE49-F238E27FC236}">
                  <a16:creationId xmlns:a16="http://schemas.microsoft.com/office/drawing/2014/main" id="{F646F809-ABC3-4F8E-FF49-F670B577DDD6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435248" y="5835368"/>
              <a:ext cx="1624519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4" name="Picture 13">
              <a:extLst>
                <a:ext uri="{FF2B5EF4-FFF2-40B4-BE49-F238E27FC236}">
                  <a16:creationId xmlns:a16="http://schemas.microsoft.com/office/drawing/2014/main" id="{88EAFAC0-D308-C6D9-ECD8-1FBFB7175E01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10956" y="3553123"/>
              <a:ext cx="1624519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5" name="Picture 14">
              <a:extLst>
                <a:ext uri="{FF2B5EF4-FFF2-40B4-BE49-F238E27FC236}">
                  <a16:creationId xmlns:a16="http://schemas.microsoft.com/office/drawing/2014/main" id="{489B3A1A-81B4-AC96-E189-6826138AD098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743422" y="3553123"/>
              <a:ext cx="1624519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6" name="Picture 15">
              <a:extLst>
                <a:ext uri="{FF2B5EF4-FFF2-40B4-BE49-F238E27FC236}">
                  <a16:creationId xmlns:a16="http://schemas.microsoft.com/office/drawing/2014/main" id="{1F6B68A3-BE13-20A7-EB6E-5E14C63EDB59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704300" y="5835368"/>
              <a:ext cx="1617750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8" name="Picture 17">
              <a:extLst>
                <a:ext uri="{FF2B5EF4-FFF2-40B4-BE49-F238E27FC236}">
                  <a16:creationId xmlns:a16="http://schemas.microsoft.com/office/drawing/2014/main" id="{0ABE4524-4F4A-23BE-FDBB-A9466A62F4FD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475888" y="3553123"/>
              <a:ext cx="1624519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9" name="Picture 18">
              <a:extLst>
                <a:ext uri="{FF2B5EF4-FFF2-40B4-BE49-F238E27FC236}">
                  <a16:creationId xmlns:a16="http://schemas.microsoft.com/office/drawing/2014/main" id="{8DEB9DD4-8C41-128F-1BC8-FD6F524555F6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167195" y="323280"/>
              <a:ext cx="2337200" cy="3107598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0" name="Picture 19">
              <a:extLst>
                <a:ext uri="{FF2B5EF4-FFF2-40B4-BE49-F238E27FC236}">
                  <a16:creationId xmlns:a16="http://schemas.microsoft.com/office/drawing/2014/main" id="{FE990484-B100-8218-63EA-AD80E11D0617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77518" y="5835368"/>
              <a:ext cx="1624519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1" name="Picture 20">
              <a:extLst>
                <a:ext uri="{FF2B5EF4-FFF2-40B4-BE49-F238E27FC236}">
                  <a16:creationId xmlns:a16="http://schemas.microsoft.com/office/drawing/2014/main" id="{42A3202E-E491-9B8C-7CC8-F7F6529D9A74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640511" y="323280"/>
              <a:ext cx="2337200" cy="3107598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22" name="Rectangle 21">
            <a:extLst>
              <a:ext uri="{FF2B5EF4-FFF2-40B4-BE49-F238E27FC236}">
                <a16:creationId xmlns:a16="http://schemas.microsoft.com/office/drawing/2014/main" id="{097CEC0D-6D31-4DAB-97AB-EF5A552BB4B4}"/>
              </a:ext>
            </a:extLst>
          </xdr:cNvPr>
          <xdr:cNvSpPr/>
        </xdr:nvSpPr>
        <xdr:spPr>
          <a:xfrm>
            <a:off x="1954033" y="52764856"/>
            <a:ext cx="1180161" cy="471380"/>
          </a:xfrm>
          <a:prstGeom prst="rect">
            <a:avLst/>
          </a:prstGeom>
        </xdr:spPr>
        <xdr:txBody>
          <a:bodyPr wrap="square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200" b="1">
                <a:solidFill>
                  <a:srgbClr val="FF0000"/>
                </a:solidFill>
              </a:rPr>
              <a:t>Building No.1</a:t>
            </a:r>
          </a:p>
          <a:p>
            <a:r>
              <a:rPr lang="en-US" sz="1200" b="1">
                <a:solidFill>
                  <a:srgbClr val="FF0000"/>
                </a:solidFill>
              </a:rPr>
              <a:t>Part I</a:t>
            </a:r>
            <a:endParaRPr lang="en-IN" sz="1200" b="1">
              <a:solidFill>
                <a:srgbClr val="FF0000"/>
              </a:solidFill>
            </a:endParaRPr>
          </a:p>
        </xdr:txBody>
      </xdr:sp>
      <xdr:sp macro="" textlink="">
        <xdr:nvSpPr>
          <xdr:cNvPr id="23" name="Rectangle 22">
            <a:extLst>
              <a:ext uri="{FF2B5EF4-FFF2-40B4-BE49-F238E27FC236}">
                <a16:creationId xmlns:a16="http://schemas.microsoft.com/office/drawing/2014/main" id="{6E9D4E50-203E-F9FD-B7B7-9027CDDD5D98}"/>
              </a:ext>
            </a:extLst>
          </xdr:cNvPr>
          <xdr:cNvSpPr/>
        </xdr:nvSpPr>
        <xdr:spPr>
          <a:xfrm>
            <a:off x="3385930" y="52802956"/>
            <a:ext cx="1182150" cy="471380"/>
          </a:xfrm>
          <a:prstGeom prst="rect">
            <a:avLst/>
          </a:prstGeom>
        </xdr:spPr>
        <xdr:txBody>
          <a:bodyPr wrap="square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200" b="1">
                <a:solidFill>
                  <a:srgbClr val="FF0000"/>
                </a:solidFill>
              </a:rPr>
              <a:t>Building No.1</a:t>
            </a:r>
          </a:p>
          <a:p>
            <a:r>
              <a:rPr lang="en-US" sz="1200" b="1">
                <a:solidFill>
                  <a:srgbClr val="FF0000"/>
                </a:solidFill>
              </a:rPr>
              <a:t>Part II</a:t>
            </a:r>
            <a:endParaRPr lang="en-IN" sz="1200" b="1">
              <a:solidFill>
                <a:srgbClr val="FF0000"/>
              </a:solidFill>
            </a:endParaRPr>
          </a:p>
        </xdr:txBody>
      </xdr:sp>
      <xdr:sp macro="" textlink="">
        <xdr:nvSpPr>
          <xdr:cNvPr id="24" name="Rectangle 23">
            <a:extLst>
              <a:ext uri="{FF2B5EF4-FFF2-40B4-BE49-F238E27FC236}">
                <a16:creationId xmlns:a16="http://schemas.microsoft.com/office/drawing/2014/main" id="{72617235-BAAF-4F9E-A1A2-AC5B4275763D}"/>
              </a:ext>
            </a:extLst>
          </xdr:cNvPr>
          <xdr:cNvSpPr/>
        </xdr:nvSpPr>
        <xdr:spPr>
          <a:xfrm>
            <a:off x="411480" y="56037811"/>
            <a:ext cx="1096518" cy="285240"/>
          </a:xfrm>
          <a:prstGeom prst="rect">
            <a:avLst/>
          </a:prstGeom>
        </xdr:spPr>
        <xdr:txBody>
          <a:bodyPr wrap="square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200" b="1">
                <a:solidFill>
                  <a:srgbClr val="FF0000"/>
                </a:solidFill>
              </a:rPr>
              <a:t>Building No.</a:t>
            </a:r>
            <a:r>
              <a:rPr lang="en-US" sz="1200" b="1">
                <a:solidFill>
                  <a:srgbClr val="FF0000"/>
                </a:solidFill>
              </a:rPr>
              <a:t>2</a:t>
            </a:r>
            <a:endParaRPr lang="en-IN" sz="1200" b="1">
              <a:solidFill>
                <a:srgbClr val="FF0000"/>
              </a:solidFill>
            </a:endParaRPr>
          </a:p>
        </xdr:txBody>
      </xdr:sp>
      <xdr:sp macro="" textlink="">
        <xdr:nvSpPr>
          <xdr:cNvPr id="25" name="Rectangle 24">
            <a:extLst>
              <a:ext uri="{FF2B5EF4-FFF2-40B4-BE49-F238E27FC236}">
                <a16:creationId xmlns:a16="http://schemas.microsoft.com/office/drawing/2014/main" id="{92232D15-0762-FFDB-EABA-2E1CF7DFA5F7}"/>
              </a:ext>
            </a:extLst>
          </xdr:cNvPr>
          <xdr:cNvSpPr/>
        </xdr:nvSpPr>
        <xdr:spPr>
          <a:xfrm>
            <a:off x="4105017" y="56042293"/>
            <a:ext cx="1105054" cy="286137"/>
          </a:xfrm>
          <a:prstGeom prst="rect">
            <a:avLst/>
          </a:prstGeom>
        </xdr:spPr>
        <xdr:txBody>
          <a:bodyPr wrap="square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200" b="1">
                <a:solidFill>
                  <a:srgbClr val="FF0000"/>
                </a:solidFill>
              </a:rPr>
              <a:t>Building No.</a:t>
            </a:r>
            <a:r>
              <a:rPr lang="en-US" sz="1200" b="1">
                <a:solidFill>
                  <a:srgbClr val="FF0000"/>
                </a:solidFill>
              </a:rPr>
              <a:t>3</a:t>
            </a:r>
            <a:endParaRPr lang="en-IN" sz="1200" b="1">
              <a:solidFill>
                <a:srgbClr val="FF0000"/>
              </a:solidFill>
            </a:endParaRPr>
          </a:p>
        </xdr:txBody>
      </xdr:sp>
      <xdr:sp macro="" textlink="">
        <xdr:nvSpPr>
          <xdr:cNvPr id="26" name="Rectangle 25">
            <a:extLst>
              <a:ext uri="{FF2B5EF4-FFF2-40B4-BE49-F238E27FC236}">
                <a16:creationId xmlns:a16="http://schemas.microsoft.com/office/drawing/2014/main" id="{4C73E441-0963-4B89-8A6B-0EFAAD123500}"/>
              </a:ext>
            </a:extLst>
          </xdr:cNvPr>
          <xdr:cNvSpPr/>
        </xdr:nvSpPr>
        <xdr:spPr>
          <a:xfrm>
            <a:off x="2281693" y="56014951"/>
            <a:ext cx="1273787" cy="314194"/>
          </a:xfrm>
          <a:prstGeom prst="rect">
            <a:avLst/>
          </a:prstGeom>
        </xdr:spPr>
        <xdr:txBody>
          <a:bodyPr wrap="square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>
                <a:solidFill>
                  <a:srgbClr val="FF0000"/>
                </a:solidFill>
              </a:rPr>
              <a:t>Bldg.</a:t>
            </a:r>
            <a:r>
              <a:rPr lang="en-US" sz="1200" b="1" baseline="0">
                <a:solidFill>
                  <a:srgbClr val="FF0000"/>
                </a:solidFill>
              </a:rPr>
              <a:t> No. 2 </a:t>
            </a:r>
            <a:r>
              <a:rPr lang="en-US" sz="1200" b="1">
                <a:solidFill>
                  <a:srgbClr val="FF0000"/>
                </a:solidFill>
              </a:rPr>
              <a:t>Duplex House</a:t>
            </a:r>
            <a:endParaRPr lang="en-IN" sz="1200" b="1">
              <a:solidFill>
                <a:srgbClr val="FF0000"/>
              </a:solidFill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15</xdr:col>
      <xdr:colOff>101974</xdr:colOff>
      <xdr:row>53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2706" y="2868706"/>
          <a:ext cx="13011150" cy="73152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HhX7S7KoUghJmshLA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W332"/>
  <sheetViews>
    <sheetView tabSelected="1" showWhiteSpace="0" view="pageBreakPreview" topLeftCell="A84" zoomScaleNormal="100" zoomScaleSheetLayoutView="100" zoomScalePageLayoutView="89" workbookViewId="0">
      <selection activeCell="A106" sqref="A106:H106"/>
    </sheetView>
  </sheetViews>
  <sheetFormatPr defaultColWidth="9.109375" defaultRowHeight="15.6" x14ac:dyDescent="0.3"/>
  <cols>
    <col min="1" max="1" width="11.44140625" style="39" customWidth="1"/>
    <col min="2" max="2" width="12" style="39" customWidth="1"/>
    <col min="3" max="3" width="12.6640625" style="39" customWidth="1"/>
    <col min="4" max="4" width="14.109375" style="39" customWidth="1"/>
    <col min="5" max="7" width="11.6640625" style="39" customWidth="1"/>
    <col min="8" max="8" width="12.44140625" style="39" customWidth="1"/>
    <col min="9" max="9" width="17.44140625" style="20" customWidth="1"/>
    <col min="10" max="10" width="11.44140625" style="20" customWidth="1"/>
    <col min="11" max="12" width="11.33203125" style="20" bestFit="1" customWidth="1"/>
    <col min="13" max="13" width="11.88671875" style="20" customWidth="1"/>
    <col min="14" max="14" width="12.5546875" style="20" customWidth="1"/>
    <col min="15" max="15" width="9.88671875" style="20" customWidth="1"/>
    <col min="16" max="16" width="11.6640625" style="20" customWidth="1"/>
    <col min="17" max="247" width="9.109375" style="20"/>
    <col min="248" max="248" width="8.6640625" style="20" customWidth="1"/>
    <col min="249" max="249" width="9.88671875" style="20" customWidth="1"/>
    <col min="250" max="250" width="14.44140625" style="20" customWidth="1"/>
    <col min="251" max="251" width="7.33203125" style="20" customWidth="1"/>
    <col min="252" max="252" width="5.5546875" style="20" customWidth="1"/>
    <col min="253" max="253" width="9" style="20" customWidth="1"/>
    <col min="254" max="255" width="9.88671875" style="20" customWidth="1"/>
    <col min="256" max="256" width="11.109375" style="20" customWidth="1"/>
    <col min="257" max="257" width="2.88671875" style="20" customWidth="1"/>
    <col min="258" max="258" width="3.5546875" style="20" customWidth="1"/>
    <col min="259" max="503" width="9.109375" style="20"/>
    <col min="504" max="504" width="8.6640625" style="20" customWidth="1"/>
    <col min="505" max="505" width="9.88671875" style="20" customWidth="1"/>
    <col min="506" max="506" width="14.44140625" style="20" customWidth="1"/>
    <col min="507" max="507" width="7.33203125" style="20" customWidth="1"/>
    <col min="508" max="508" width="5.5546875" style="20" customWidth="1"/>
    <col min="509" max="509" width="9" style="20" customWidth="1"/>
    <col min="510" max="511" width="9.88671875" style="20" customWidth="1"/>
    <col min="512" max="512" width="11.109375" style="20" customWidth="1"/>
    <col min="513" max="513" width="2.88671875" style="20" customWidth="1"/>
    <col min="514" max="514" width="3.5546875" style="20" customWidth="1"/>
    <col min="515" max="759" width="9.109375" style="20"/>
    <col min="760" max="760" width="8.6640625" style="20" customWidth="1"/>
    <col min="761" max="761" width="9.88671875" style="20" customWidth="1"/>
    <col min="762" max="762" width="14.44140625" style="20" customWidth="1"/>
    <col min="763" max="763" width="7.33203125" style="20" customWidth="1"/>
    <col min="764" max="764" width="5.5546875" style="20" customWidth="1"/>
    <col min="765" max="765" width="9" style="20" customWidth="1"/>
    <col min="766" max="767" width="9.88671875" style="20" customWidth="1"/>
    <col min="768" max="768" width="11.109375" style="20" customWidth="1"/>
    <col min="769" max="769" width="2.88671875" style="20" customWidth="1"/>
    <col min="770" max="770" width="3.5546875" style="20" customWidth="1"/>
    <col min="771" max="1015" width="9.109375" style="20"/>
    <col min="1016" max="1016" width="8.6640625" style="20" customWidth="1"/>
    <col min="1017" max="1017" width="9.88671875" style="20" customWidth="1"/>
    <col min="1018" max="1018" width="14.44140625" style="20" customWidth="1"/>
    <col min="1019" max="1019" width="7.33203125" style="20" customWidth="1"/>
    <col min="1020" max="1020" width="5.5546875" style="20" customWidth="1"/>
    <col min="1021" max="1021" width="9" style="20" customWidth="1"/>
    <col min="1022" max="1023" width="9.88671875" style="20" customWidth="1"/>
    <col min="1024" max="1024" width="11.109375" style="20" customWidth="1"/>
    <col min="1025" max="1025" width="2.88671875" style="20" customWidth="1"/>
    <col min="1026" max="1026" width="3.5546875" style="20" customWidth="1"/>
    <col min="1027" max="1271" width="9.109375" style="20"/>
    <col min="1272" max="1272" width="8.6640625" style="20" customWidth="1"/>
    <col min="1273" max="1273" width="9.88671875" style="20" customWidth="1"/>
    <col min="1274" max="1274" width="14.44140625" style="20" customWidth="1"/>
    <col min="1275" max="1275" width="7.33203125" style="20" customWidth="1"/>
    <col min="1276" max="1276" width="5.5546875" style="20" customWidth="1"/>
    <col min="1277" max="1277" width="9" style="20" customWidth="1"/>
    <col min="1278" max="1279" width="9.88671875" style="20" customWidth="1"/>
    <col min="1280" max="1280" width="11.109375" style="20" customWidth="1"/>
    <col min="1281" max="1281" width="2.88671875" style="20" customWidth="1"/>
    <col min="1282" max="1282" width="3.5546875" style="20" customWidth="1"/>
    <col min="1283" max="1527" width="9.109375" style="20"/>
    <col min="1528" max="1528" width="8.6640625" style="20" customWidth="1"/>
    <col min="1529" max="1529" width="9.88671875" style="20" customWidth="1"/>
    <col min="1530" max="1530" width="14.44140625" style="20" customWidth="1"/>
    <col min="1531" max="1531" width="7.33203125" style="20" customWidth="1"/>
    <col min="1532" max="1532" width="5.5546875" style="20" customWidth="1"/>
    <col min="1533" max="1533" width="9" style="20" customWidth="1"/>
    <col min="1534" max="1535" width="9.88671875" style="20" customWidth="1"/>
    <col min="1536" max="1536" width="11.109375" style="20" customWidth="1"/>
    <col min="1537" max="1537" width="2.88671875" style="20" customWidth="1"/>
    <col min="1538" max="1538" width="3.5546875" style="20" customWidth="1"/>
    <col min="1539" max="1783" width="9.109375" style="20"/>
    <col min="1784" max="1784" width="8.6640625" style="20" customWidth="1"/>
    <col min="1785" max="1785" width="9.88671875" style="20" customWidth="1"/>
    <col min="1786" max="1786" width="14.44140625" style="20" customWidth="1"/>
    <col min="1787" max="1787" width="7.33203125" style="20" customWidth="1"/>
    <col min="1788" max="1788" width="5.5546875" style="20" customWidth="1"/>
    <col min="1789" max="1789" width="9" style="20" customWidth="1"/>
    <col min="1790" max="1791" width="9.88671875" style="20" customWidth="1"/>
    <col min="1792" max="1792" width="11.109375" style="20" customWidth="1"/>
    <col min="1793" max="1793" width="2.88671875" style="20" customWidth="1"/>
    <col min="1794" max="1794" width="3.5546875" style="20" customWidth="1"/>
    <col min="1795" max="2039" width="9.109375" style="20"/>
    <col min="2040" max="2040" width="8.6640625" style="20" customWidth="1"/>
    <col min="2041" max="2041" width="9.88671875" style="20" customWidth="1"/>
    <col min="2042" max="2042" width="14.44140625" style="20" customWidth="1"/>
    <col min="2043" max="2043" width="7.33203125" style="20" customWidth="1"/>
    <col min="2044" max="2044" width="5.5546875" style="20" customWidth="1"/>
    <col min="2045" max="2045" width="9" style="20" customWidth="1"/>
    <col min="2046" max="2047" width="9.88671875" style="20" customWidth="1"/>
    <col min="2048" max="2048" width="11.109375" style="20" customWidth="1"/>
    <col min="2049" max="2049" width="2.88671875" style="20" customWidth="1"/>
    <col min="2050" max="2050" width="3.5546875" style="20" customWidth="1"/>
    <col min="2051" max="2295" width="9.109375" style="20"/>
    <col min="2296" max="2296" width="8.6640625" style="20" customWidth="1"/>
    <col min="2297" max="2297" width="9.88671875" style="20" customWidth="1"/>
    <col min="2298" max="2298" width="14.44140625" style="20" customWidth="1"/>
    <col min="2299" max="2299" width="7.33203125" style="20" customWidth="1"/>
    <col min="2300" max="2300" width="5.5546875" style="20" customWidth="1"/>
    <col min="2301" max="2301" width="9" style="20" customWidth="1"/>
    <col min="2302" max="2303" width="9.88671875" style="20" customWidth="1"/>
    <col min="2304" max="2304" width="11.109375" style="20" customWidth="1"/>
    <col min="2305" max="2305" width="2.88671875" style="20" customWidth="1"/>
    <col min="2306" max="2306" width="3.5546875" style="20" customWidth="1"/>
    <col min="2307" max="2551" width="9.109375" style="20"/>
    <col min="2552" max="2552" width="8.6640625" style="20" customWidth="1"/>
    <col min="2553" max="2553" width="9.88671875" style="20" customWidth="1"/>
    <col min="2554" max="2554" width="14.44140625" style="20" customWidth="1"/>
    <col min="2555" max="2555" width="7.33203125" style="20" customWidth="1"/>
    <col min="2556" max="2556" width="5.5546875" style="20" customWidth="1"/>
    <col min="2557" max="2557" width="9" style="20" customWidth="1"/>
    <col min="2558" max="2559" width="9.88671875" style="20" customWidth="1"/>
    <col min="2560" max="2560" width="11.109375" style="20" customWidth="1"/>
    <col min="2561" max="2561" width="2.88671875" style="20" customWidth="1"/>
    <col min="2562" max="2562" width="3.5546875" style="20" customWidth="1"/>
    <col min="2563" max="2807" width="9.109375" style="20"/>
    <col min="2808" max="2808" width="8.6640625" style="20" customWidth="1"/>
    <col min="2809" max="2809" width="9.88671875" style="20" customWidth="1"/>
    <col min="2810" max="2810" width="14.44140625" style="20" customWidth="1"/>
    <col min="2811" max="2811" width="7.33203125" style="20" customWidth="1"/>
    <col min="2812" max="2812" width="5.5546875" style="20" customWidth="1"/>
    <col min="2813" max="2813" width="9" style="20" customWidth="1"/>
    <col min="2814" max="2815" width="9.88671875" style="20" customWidth="1"/>
    <col min="2816" max="2816" width="11.109375" style="20" customWidth="1"/>
    <col min="2817" max="2817" width="2.88671875" style="20" customWidth="1"/>
    <col min="2818" max="2818" width="3.5546875" style="20" customWidth="1"/>
    <col min="2819" max="3063" width="9.109375" style="20"/>
    <col min="3064" max="3064" width="8.6640625" style="20" customWidth="1"/>
    <col min="3065" max="3065" width="9.88671875" style="20" customWidth="1"/>
    <col min="3066" max="3066" width="14.44140625" style="20" customWidth="1"/>
    <col min="3067" max="3067" width="7.33203125" style="20" customWidth="1"/>
    <col min="3068" max="3068" width="5.5546875" style="20" customWidth="1"/>
    <col min="3069" max="3069" width="9" style="20" customWidth="1"/>
    <col min="3070" max="3071" width="9.88671875" style="20" customWidth="1"/>
    <col min="3072" max="3072" width="11.109375" style="20" customWidth="1"/>
    <col min="3073" max="3073" width="2.88671875" style="20" customWidth="1"/>
    <col min="3074" max="3074" width="3.5546875" style="20" customWidth="1"/>
    <col min="3075" max="3319" width="9.109375" style="20"/>
    <col min="3320" max="3320" width="8.6640625" style="20" customWidth="1"/>
    <col min="3321" max="3321" width="9.88671875" style="20" customWidth="1"/>
    <col min="3322" max="3322" width="14.44140625" style="20" customWidth="1"/>
    <col min="3323" max="3323" width="7.33203125" style="20" customWidth="1"/>
    <col min="3324" max="3324" width="5.5546875" style="20" customWidth="1"/>
    <col min="3325" max="3325" width="9" style="20" customWidth="1"/>
    <col min="3326" max="3327" width="9.88671875" style="20" customWidth="1"/>
    <col min="3328" max="3328" width="11.109375" style="20" customWidth="1"/>
    <col min="3329" max="3329" width="2.88671875" style="20" customWidth="1"/>
    <col min="3330" max="3330" width="3.5546875" style="20" customWidth="1"/>
    <col min="3331" max="3575" width="9.109375" style="20"/>
    <col min="3576" max="3576" width="8.6640625" style="20" customWidth="1"/>
    <col min="3577" max="3577" width="9.88671875" style="20" customWidth="1"/>
    <col min="3578" max="3578" width="14.44140625" style="20" customWidth="1"/>
    <col min="3579" max="3579" width="7.33203125" style="20" customWidth="1"/>
    <col min="3580" max="3580" width="5.5546875" style="20" customWidth="1"/>
    <col min="3581" max="3581" width="9" style="20" customWidth="1"/>
    <col min="3582" max="3583" width="9.88671875" style="20" customWidth="1"/>
    <col min="3584" max="3584" width="11.109375" style="20" customWidth="1"/>
    <col min="3585" max="3585" width="2.88671875" style="20" customWidth="1"/>
    <col min="3586" max="3586" width="3.5546875" style="20" customWidth="1"/>
    <col min="3587" max="3831" width="9.109375" style="20"/>
    <col min="3832" max="3832" width="8.6640625" style="20" customWidth="1"/>
    <col min="3833" max="3833" width="9.88671875" style="20" customWidth="1"/>
    <col min="3834" max="3834" width="14.44140625" style="20" customWidth="1"/>
    <col min="3835" max="3835" width="7.33203125" style="20" customWidth="1"/>
    <col min="3836" max="3836" width="5.5546875" style="20" customWidth="1"/>
    <col min="3837" max="3837" width="9" style="20" customWidth="1"/>
    <col min="3838" max="3839" width="9.88671875" style="20" customWidth="1"/>
    <col min="3840" max="3840" width="11.109375" style="20" customWidth="1"/>
    <col min="3841" max="3841" width="2.88671875" style="20" customWidth="1"/>
    <col min="3842" max="3842" width="3.5546875" style="20" customWidth="1"/>
    <col min="3843" max="4087" width="9.109375" style="20"/>
    <col min="4088" max="4088" width="8.6640625" style="20" customWidth="1"/>
    <col min="4089" max="4089" width="9.88671875" style="20" customWidth="1"/>
    <col min="4090" max="4090" width="14.44140625" style="20" customWidth="1"/>
    <col min="4091" max="4091" width="7.33203125" style="20" customWidth="1"/>
    <col min="4092" max="4092" width="5.5546875" style="20" customWidth="1"/>
    <col min="4093" max="4093" width="9" style="20" customWidth="1"/>
    <col min="4094" max="4095" width="9.88671875" style="20" customWidth="1"/>
    <col min="4096" max="4096" width="11.109375" style="20" customWidth="1"/>
    <col min="4097" max="4097" width="2.88671875" style="20" customWidth="1"/>
    <col min="4098" max="4098" width="3.5546875" style="20" customWidth="1"/>
    <col min="4099" max="4343" width="9.109375" style="20"/>
    <col min="4344" max="4344" width="8.6640625" style="20" customWidth="1"/>
    <col min="4345" max="4345" width="9.88671875" style="20" customWidth="1"/>
    <col min="4346" max="4346" width="14.44140625" style="20" customWidth="1"/>
    <col min="4347" max="4347" width="7.33203125" style="20" customWidth="1"/>
    <col min="4348" max="4348" width="5.5546875" style="20" customWidth="1"/>
    <col min="4349" max="4349" width="9" style="20" customWidth="1"/>
    <col min="4350" max="4351" width="9.88671875" style="20" customWidth="1"/>
    <col min="4352" max="4352" width="11.109375" style="20" customWidth="1"/>
    <col min="4353" max="4353" width="2.88671875" style="20" customWidth="1"/>
    <col min="4354" max="4354" width="3.5546875" style="20" customWidth="1"/>
    <col min="4355" max="4599" width="9.109375" style="20"/>
    <col min="4600" max="4600" width="8.6640625" style="20" customWidth="1"/>
    <col min="4601" max="4601" width="9.88671875" style="20" customWidth="1"/>
    <col min="4602" max="4602" width="14.44140625" style="20" customWidth="1"/>
    <col min="4603" max="4603" width="7.33203125" style="20" customWidth="1"/>
    <col min="4604" max="4604" width="5.5546875" style="20" customWidth="1"/>
    <col min="4605" max="4605" width="9" style="20" customWidth="1"/>
    <col min="4606" max="4607" width="9.88671875" style="20" customWidth="1"/>
    <col min="4608" max="4608" width="11.109375" style="20" customWidth="1"/>
    <col min="4609" max="4609" width="2.88671875" style="20" customWidth="1"/>
    <col min="4610" max="4610" width="3.5546875" style="20" customWidth="1"/>
    <col min="4611" max="4855" width="9.109375" style="20"/>
    <col min="4856" max="4856" width="8.6640625" style="20" customWidth="1"/>
    <col min="4857" max="4857" width="9.88671875" style="20" customWidth="1"/>
    <col min="4858" max="4858" width="14.44140625" style="20" customWidth="1"/>
    <col min="4859" max="4859" width="7.33203125" style="20" customWidth="1"/>
    <col min="4860" max="4860" width="5.5546875" style="20" customWidth="1"/>
    <col min="4861" max="4861" width="9" style="20" customWidth="1"/>
    <col min="4862" max="4863" width="9.88671875" style="20" customWidth="1"/>
    <col min="4864" max="4864" width="11.109375" style="20" customWidth="1"/>
    <col min="4865" max="4865" width="2.88671875" style="20" customWidth="1"/>
    <col min="4866" max="4866" width="3.5546875" style="20" customWidth="1"/>
    <col min="4867" max="5111" width="9.109375" style="20"/>
    <col min="5112" max="5112" width="8.6640625" style="20" customWidth="1"/>
    <col min="5113" max="5113" width="9.88671875" style="20" customWidth="1"/>
    <col min="5114" max="5114" width="14.44140625" style="20" customWidth="1"/>
    <col min="5115" max="5115" width="7.33203125" style="20" customWidth="1"/>
    <col min="5116" max="5116" width="5.5546875" style="20" customWidth="1"/>
    <col min="5117" max="5117" width="9" style="20" customWidth="1"/>
    <col min="5118" max="5119" width="9.88671875" style="20" customWidth="1"/>
    <col min="5120" max="5120" width="11.109375" style="20" customWidth="1"/>
    <col min="5121" max="5121" width="2.88671875" style="20" customWidth="1"/>
    <col min="5122" max="5122" width="3.5546875" style="20" customWidth="1"/>
    <col min="5123" max="5367" width="9.109375" style="20"/>
    <col min="5368" max="5368" width="8.6640625" style="20" customWidth="1"/>
    <col min="5369" max="5369" width="9.88671875" style="20" customWidth="1"/>
    <col min="5370" max="5370" width="14.44140625" style="20" customWidth="1"/>
    <col min="5371" max="5371" width="7.33203125" style="20" customWidth="1"/>
    <col min="5372" max="5372" width="5.5546875" style="20" customWidth="1"/>
    <col min="5373" max="5373" width="9" style="20" customWidth="1"/>
    <col min="5374" max="5375" width="9.88671875" style="20" customWidth="1"/>
    <col min="5376" max="5376" width="11.109375" style="20" customWidth="1"/>
    <col min="5377" max="5377" width="2.88671875" style="20" customWidth="1"/>
    <col min="5378" max="5378" width="3.5546875" style="20" customWidth="1"/>
    <col min="5379" max="5623" width="9.109375" style="20"/>
    <col min="5624" max="5624" width="8.6640625" style="20" customWidth="1"/>
    <col min="5625" max="5625" width="9.88671875" style="20" customWidth="1"/>
    <col min="5626" max="5626" width="14.44140625" style="20" customWidth="1"/>
    <col min="5627" max="5627" width="7.33203125" style="20" customWidth="1"/>
    <col min="5628" max="5628" width="5.5546875" style="20" customWidth="1"/>
    <col min="5629" max="5629" width="9" style="20" customWidth="1"/>
    <col min="5630" max="5631" width="9.88671875" style="20" customWidth="1"/>
    <col min="5632" max="5632" width="11.109375" style="20" customWidth="1"/>
    <col min="5633" max="5633" width="2.88671875" style="20" customWidth="1"/>
    <col min="5634" max="5634" width="3.5546875" style="20" customWidth="1"/>
    <col min="5635" max="5879" width="9.109375" style="20"/>
    <col min="5880" max="5880" width="8.6640625" style="20" customWidth="1"/>
    <col min="5881" max="5881" width="9.88671875" style="20" customWidth="1"/>
    <col min="5882" max="5882" width="14.44140625" style="20" customWidth="1"/>
    <col min="5883" max="5883" width="7.33203125" style="20" customWidth="1"/>
    <col min="5884" max="5884" width="5.5546875" style="20" customWidth="1"/>
    <col min="5885" max="5885" width="9" style="20" customWidth="1"/>
    <col min="5886" max="5887" width="9.88671875" style="20" customWidth="1"/>
    <col min="5888" max="5888" width="11.109375" style="20" customWidth="1"/>
    <col min="5889" max="5889" width="2.88671875" style="20" customWidth="1"/>
    <col min="5890" max="5890" width="3.5546875" style="20" customWidth="1"/>
    <col min="5891" max="6135" width="9.109375" style="20"/>
    <col min="6136" max="6136" width="8.6640625" style="20" customWidth="1"/>
    <col min="6137" max="6137" width="9.88671875" style="20" customWidth="1"/>
    <col min="6138" max="6138" width="14.44140625" style="20" customWidth="1"/>
    <col min="6139" max="6139" width="7.33203125" style="20" customWidth="1"/>
    <col min="6140" max="6140" width="5.5546875" style="20" customWidth="1"/>
    <col min="6141" max="6141" width="9" style="20" customWidth="1"/>
    <col min="6142" max="6143" width="9.88671875" style="20" customWidth="1"/>
    <col min="6144" max="6144" width="11.109375" style="20" customWidth="1"/>
    <col min="6145" max="6145" width="2.88671875" style="20" customWidth="1"/>
    <col min="6146" max="6146" width="3.5546875" style="20" customWidth="1"/>
    <col min="6147" max="6391" width="9.109375" style="20"/>
    <col min="6392" max="6392" width="8.6640625" style="20" customWidth="1"/>
    <col min="6393" max="6393" width="9.88671875" style="20" customWidth="1"/>
    <col min="6394" max="6394" width="14.44140625" style="20" customWidth="1"/>
    <col min="6395" max="6395" width="7.33203125" style="20" customWidth="1"/>
    <col min="6396" max="6396" width="5.5546875" style="20" customWidth="1"/>
    <col min="6397" max="6397" width="9" style="20" customWidth="1"/>
    <col min="6398" max="6399" width="9.88671875" style="20" customWidth="1"/>
    <col min="6400" max="6400" width="11.109375" style="20" customWidth="1"/>
    <col min="6401" max="6401" width="2.88671875" style="20" customWidth="1"/>
    <col min="6402" max="6402" width="3.5546875" style="20" customWidth="1"/>
    <col min="6403" max="6647" width="9.109375" style="20"/>
    <col min="6648" max="6648" width="8.6640625" style="20" customWidth="1"/>
    <col min="6649" max="6649" width="9.88671875" style="20" customWidth="1"/>
    <col min="6650" max="6650" width="14.44140625" style="20" customWidth="1"/>
    <col min="6651" max="6651" width="7.33203125" style="20" customWidth="1"/>
    <col min="6652" max="6652" width="5.5546875" style="20" customWidth="1"/>
    <col min="6653" max="6653" width="9" style="20" customWidth="1"/>
    <col min="6654" max="6655" width="9.88671875" style="20" customWidth="1"/>
    <col min="6656" max="6656" width="11.109375" style="20" customWidth="1"/>
    <col min="6657" max="6657" width="2.88671875" style="20" customWidth="1"/>
    <col min="6658" max="6658" width="3.5546875" style="20" customWidth="1"/>
    <col min="6659" max="6903" width="9.109375" style="20"/>
    <col min="6904" max="6904" width="8.6640625" style="20" customWidth="1"/>
    <col min="6905" max="6905" width="9.88671875" style="20" customWidth="1"/>
    <col min="6906" max="6906" width="14.44140625" style="20" customWidth="1"/>
    <col min="6907" max="6907" width="7.33203125" style="20" customWidth="1"/>
    <col min="6908" max="6908" width="5.5546875" style="20" customWidth="1"/>
    <col min="6909" max="6909" width="9" style="20" customWidth="1"/>
    <col min="6910" max="6911" width="9.88671875" style="20" customWidth="1"/>
    <col min="6912" max="6912" width="11.109375" style="20" customWidth="1"/>
    <col min="6913" max="6913" width="2.88671875" style="20" customWidth="1"/>
    <col min="6914" max="6914" width="3.5546875" style="20" customWidth="1"/>
    <col min="6915" max="7159" width="9.109375" style="20"/>
    <col min="7160" max="7160" width="8.6640625" style="20" customWidth="1"/>
    <col min="7161" max="7161" width="9.88671875" style="20" customWidth="1"/>
    <col min="7162" max="7162" width="14.44140625" style="20" customWidth="1"/>
    <col min="7163" max="7163" width="7.33203125" style="20" customWidth="1"/>
    <col min="7164" max="7164" width="5.5546875" style="20" customWidth="1"/>
    <col min="7165" max="7165" width="9" style="20" customWidth="1"/>
    <col min="7166" max="7167" width="9.88671875" style="20" customWidth="1"/>
    <col min="7168" max="7168" width="11.109375" style="20" customWidth="1"/>
    <col min="7169" max="7169" width="2.88671875" style="20" customWidth="1"/>
    <col min="7170" max="7170" width="3.5546875" style="20" customWidth="1"/>
    <col min="7171" max="7415" width="9.109375" style="20"/>
    <col min="7416" max="7416" width="8.6640625" style="20" customWidth="1"/>
    <col min="7417" max="7417" width="9.88671875" style="20" customWidth="1"/>
    <col min="7418" max="7418" width="14.44140625" style="20" customWidth="1"/>
    <col min="7419" max="7419" width="7.33203125" style="20" customWidth="1"/>
    <col min="7420" max="7420" width="5.5546875" style="20" customWidth="1"/>
    <col min="7421" max="7421" width="9" style="20" customWidth="1"/>
    <col min="7422" max="7423" width="9.88671875" style="20" customWidth="1"/>
    <col min="7424" max="7424" width="11.109375" style="20" customWidth="1"/>
    <col min="7425" max="7425" width="2.88671875" style="20" customWidth="1"/>
    <col min="7426" max="7426" width="3.5546875" style="20" customWidth="1"/>
    <col min="7427" max="7671" width="9.109375" style="20"/>
    <col min="7672" max="7672" width="8.6640625" style="20" customWidth="1"/>
    <col min="7673" max="7673" width="9.88671875" style="20" customWidth="1"/>
    <col min="7674" max="7674" width="14.44140625" style="20" customWidth="1"/>
    <col min="7675" max="7675" width="7.33203125" style="20" customWidth="1"/>
    <col min="7676" max="7676" width="5.5546875" style="20" customWidth="1"/>
    <col min="7677" max="7677" width="9" style="20" customWidth="1"/>
    <col min="7678" max="7679" width="9.88671875" style="20" customWidth="1"/>
    <col min="7680" max="7680" width="11.109375" style="20" customWidth="1"/>
    <col min="7681" max="7681" width="2.88671875" style="20" customWidth="1"/>
    <col min="7682" max="7682" width="3.5546875" style="20" customWidth="1"/>
    <col min="7683" max="7927" width="9.109375" style="20"/>
    <col min="7928" max="7928" width="8.6640625" style="20" customWidth="1"/>
    <col min="7929" max="7929" width="9.88671875" style="20" customWidth="1"/>
    <col min="7930" max="7930" width="14.44140625" style="20" customWidth="1"/>
    <col min="7931" max="7931" width="7.33203125" style="20" customWidth="1"/>
    <col min="7932" max="7932" width="5.5546875" style="20" customWidth="1"/>
    <col min="7933" max="7933" width="9" style="20" customWidth="1"/>
    <col min="7934" max="7935" width="9.88671875" style="20" customWidth="1"/>
    <col min="7936" max="7936" width="11.109375" style="20" customWidth="1"/>
    <col min="7937" max="7937" width="2.88671875" style="20" customWidth="1"/>
    <col min="7938" max="7938" width="3.5546875" style="20" customWidth="1"/>
    <col min="7939" max="8183" width="9.109375" style="20"/>
    <col min="8184" max="8184" width="8.6640625" style="20" customWidth="1"/>
    <col min="8185" max="8185" width="9.88671875" style="20" customWidth="1"/>
    <col min="8186" max="8186" width="14.44140625" style="20" customWidth="1"/>
    <col min="8187" max="8187" width="7.33203125" style="20" customWidth="1"/>
    <col min="8188" max="8188" width="5.5546875" style="20" customWidth="1"/>
    <col min="8189" max="8189" width="9" style="20" customWidth="1"/>
    <col min="8190" max="8191" width="9.88671875" style="20" customWidth="1"/>
    <col min="8192" max="8192" width="11.109375" style="20" customWidth="1"/>
    <col min="8193" max="8193" width="2.88671875" style="20" customWidth="1"/>
    <col min="8194" max="8194" width="3.5546875" style="20" customWidth="1"/>
    <col min="8195" max="8439" width="9.109375" style="20"/>
    <col min="8440" max="8440" width="8.6640625" style="20" customWidth="1"/>
    <col min="8441" max="8441" width="9.88671875" style="20" customWidth="1"/>
    <col min="8442" max="8442" width="14.44140625" style="20" customWidth="1"/>
    <col min="8443" max="8443" width="7.33203125" style="20" customWidth="1"/>
    <col min="8444" max="8444" width="5.5546875" style="20" customWidth="1"/>
    <col min="8445" max="8445" width="9" style="20" customWidth="1"/>
    <col min="8446" max="8447" width="9.88671875" style="20" customWidth="1"/>
    <col min="8448" max="8448" width="11.109375" style="20" customWidth="1"/>
    <col min="8449" max="8449" width="2.88671875" style="20" customWidth="1"/>
    <col min="8450" max="8450" width="3.5546875" style="20" customWidth="1"/>
    <col min="8451" max="8695" width="9.109375" style="20"/>
    <col min="8696" max="8696" width="8.6640625" style="20" customWidth="1"/>
    <col min="8697" max="8697" width="9.88671875" style="20" customWidth="1"/>
    <col min="8698" max="8698" width="14.44140625" style="20" customWidth="1"/>
    <col min="8699" max="8699" width="7.33203125" style="20" customWidth="1"/>
    <col min="8700" max="8700" width="5.5546875" style="20" customWidth="1"/>
    <col min="8701" max="8701" width="9" style="20" customWidth="1"/>
    <col min="8702" max="8703" width="9.88671875" style="20" customWidth="1"/>
    <col min="8704" max="8704" width="11.109375" style="20" customWidth="1"/>
    <col min="8705" max="8705" width="2.88671875" style="20" customWidth="1"/>
    <col min="8706" max="8706" width="3.5546875" style="20" customWidth="1"/>
    <col min="8707" max="8951" width="9.109375" style="20"/>
    <col min="8952" max="8952" width="8.6640625" style="20" customWidth="1"/>
    <col min="8953" max="8953" width="9.88671875" style="20" customWidth="1"/>
    <col min="8954" max="8954" width="14.44140625" style="20" customWidth="1"/>
    <col min="8955" max="8955" width="7.33203125" style="20" customWidth="1"/>
    <col min="8956" max="8956" width="5.5546875" style="20" customWidth="1"/>
    <col min="8957" max="8957" width="9" style="20" customWidth="1"/>
    <col min="8958" max="8959" width="9.88671875" style="20" customWidth="1"/>
    <col min="8960" max="8960" width="11.109375" style="20" customWidth="1"/>
    <col min="8961" max="8961" width="2.88671875" style="20" customWidth="1"/>
    <col min="8962" max="8962" width="3.5546875" style="20" customWidth="1"/>
    <col min="8963" max="9207" width="9.109375" style="20"/>
    <col min="9208" max="9208" width="8.6640625" style="20" customWidth="1"/>
    <col min="9209" max="9209" width="9.88671875" style="20" customWidth="1"/>
    <col min="9210" max="9210" width="14.44140625" style="20" customWidth="1"/>
    <col min="9211" max="9211" width="7.33203125" style="20" customWidth="1"/>
    <col min="9212" max="9212" width="5.5546875" style="20" customWidth="1"/>
    <col min="9213" max="9213" width="9" style="20" customWidth="1"/>
    <col min="9214" max="9215" width="9.88671875" style="20" customWidth="1"/>
    <col min="9216" max="9216" width="11.109375" style="20" customWidth="1"/>
    <col min="9217" max="9217" width="2.88671875" style="20" customWidth="1"/>
    <col min="9218" max="9218" width="3.5546875" style="20" customWidth="1"/>
    <col min="9219" max="9463" width="9.109375" style="20"/>
    <col min="9464" max="9464" width="8.6640625" style="20" customWidth="1"/>
    <col min="9465" max="9465" width="9.88671875" style="20" customWidth="1"/>
    <col min="9466" max="9466" width="14.44140625" style="20" customWidth="1"/>
    <col min="9467" max="9467" width="7.33203125" style="20" customWidth="1"/>
    <col min="9468" max="9468" width="5.5546875" style="20" customWidth="1"/>
    <col min="9469" max="9469" width="9" style="20" customWidth="1"/>
    <col min="9470" max="9471" width="9.88671875" style="20" customWidth="1"/>
    <col min="9472" max="9472" width="11.109375" style="20" customWidth="1"/>
    <col min="9473" max="9473" width="2.88671875" style="20" customWidth="1"/>
    <col min="9474" max="9474" width="3.5546875" style="20" customWidth="1"/>
    <col min="9475" max="9719" width="9.109375" style="20"/>
    <col min="9720" max="9720" width="8.6640625" style="20" customWidth="1"/>
    <col min="9721" max="9721" width="9.88671875" style="20" customWidth="1"/>
    <col min="9722" max="9722" width="14.44140625" style="20" customWidth="1"/>
    <col min="9723" max="9723" width="7.33203125" style="20" customWidth="1"/>
    <col min="9724" max="9724" width="5.5546875" style="20" customWidth="1"/>
    <col min="9725" max="9725" width="9" style="20" customWidth="1"/>
    <col min="9726" max="9727" width="9.88671875" style="20" customWidth="1"/>
    <col min="9728" max="9728" width="11.109375" style="20" customWidth="1"/>
    <col min="9729" max="9729" width="2.88671875" style="20" customWidth="1"/>
    <col min="9730" max="9730" width="3.5546875" style="20" customWidth="1"/>
    <col min="9731" max="9975" width="9.109375" style="20"/>
    <col min="9976" max="9976" width="8.6640625" style="20" customWidth="1"/>
    <col min="9977" max="9977" width="9.88671875" style="20" customWidth="1"/>
    <col min="9978" max="9978" width="14.44140625" style="20" customWidth="1"/>
    <col min="9979" max="9979" width="7.33203125" style="20" customWidth="1"/>
    <col min="9980" max="9980" width="5.5546875" style="20" customWidth="1"/>
    <col min="9981" max="9981" width="9" style="20" customWidth="1"/>
    <col min="9982" max="9983" width="9.88671875" style="20" customWidth="1"/>
    <col min="9984" max="9984" width="11.109375" style="20" customWidth="1"/>
    <col min="9985" max="9985" width="2.88671875" style="20" customWidth="1"/>
    <col min="9986" max="9986" width="3.5546875" style="20" customWidth="1"/>
    <col min="9987" max="10231" width="9.109375" style="20"/>
    <col min="10232" max="10232" width="8.6640625" style="20" customWidth="1"/>
    <col min="10233" max="10233" width="9.88671875" style="20" customWidth="1"/>
    <col min="10234" max="10234" width="14.44140625" style="20" customWidth="1"/>
    <col min="10235" max="10235" width="7.33203125" style="20" customWidth="1"/>
    <col min="10236" max="10236" width="5.5546875" style="20" customWidth="1"/>
    <col min="10237" max="10237" width="9" style="20" customWidth="1"/>
    <col min="10238" max="10239" width="9.88671875" style="20" customWidth="1"/>
    <col min="10240" max="10240" width="11.109375" style="20" customWidth="1"/>
    <col min="10241" max="10241" width="2.88671875" style="20" customWidth="1"/>
    <col min="10242" max="10242" width="3.5546875" style="20" customWidth="1"/>
    <col min="10243" max="10487" width="9.109375" style="20"/>
    <col min="10488" max="10488" width="8.6640625" style="20" customWidth="1"/>
    <col min="10489" max="10489" width="9.88671875" style="20" customWidth="1"/>
    <col min="10490" max="10490" width="14.44140625" style="20" customWidth="1"/>
    <col min="10491" max="10491" width="7.33203125" style="20" customWidth="1"/>
    <col min="10492" max="10492" width="5.5546875" style="20" customWidth="1"/>
    <col min="10493" max="10493" width="9" style="20" customWidth="1"/>
    <col min="10494" max="10495" width="9.88671875" style="20" customWidth="1"/>
    <col min="10496" max="10496" width="11.109375" style="20" customWidth="1"/>
    <col min="10497" max="10497" width="2.88671875" style="20" customWidth="1"/>
    <col min="10498" max="10498" width="3.5546875" style="20" customWidth="1"/>
    <col min="10499" max="10743" width="9.109375" style="20"/>
    <col min="10744" max="10744" width="8.6640625" style="20" customWidth="1"/>
    <col min="10745" max="10745" width="9.88671875" style="20" customWidth="1"/>
    <col min="10746" max="10746" width="14.44140625" style="20" customWidth="1"/>
    <col min="10747" max="10747" width="7.33203125" style="20" customWidth="1"/>
    <col min="10748" max="10748" width="5.5546875" style="20" customWidth="1"/>
    <col min="10749" max="10749" width="9" style="20" customWidth="1"/>
    <col min="10750" max="10751" width="9.88671875" style="20" customWidth="1"/>
    <col min="10752" max="10752" width="11.109375" style="20" customWidth="1"/>
    <col min="10753" max="10753" width="2.88671875" style="20" customWidth="1"/>
    <col min="10754" max="10754" width="3.5546875" style="20" customWidth="1"/>
    <col min="10755" max="10999" width="9.109375" style="20"/>
    <col min="11000" max="11000" width="8.6640625" style="20" customWidth="1"/>
    <col min="11001" max="11001" width="9.88671875" style="20" customWidth="1"/>
    <col min="11002" max="11002" width="14.44140625" style="20" customWidth="1"/>
    <col min="11003" max="11003" width="7.33203125" style="20" customWidth="1"/>
    <col min="11004" max="11004" width="5.5546875" style="20" customWidth="1"/>
    <col min="11005" max="11005" width="9" style="20" customWidth="1"/>
    <col min="11006" max="11007" width="9.88671875" style="20" customWidth="1"/>
    <col min="11008" max="11008" width="11.109375" style="20" customWidth="1"/>
    <col min="11009" max="11009" width="2.88671875" style="20" customWidth="1"/>
    <col min="11010" max="11010" width="3.5546875" style="20" customWidth="1"/>
    <col min="11011" max="11255" width="9.109375" style="20"/>
    <col min="11256" max="11256" width="8.6640625" style="20" customWidth="1"/>
    <col min="11257" max="11257" width="9.88671875" style="20" customWidth="1"/>
    <col min="11258" max="11258" width="14.44140625" style="20" customWidth="1"/>
    <col min="11259" max="11259" width="7.33203125" style="20" customWidth="1"/>
    <col min="11260" max="11260" width="5.5546875" style="20" customWidth="1"/>
    <col min="11261" max="11261" width="9" style="20" customWidth="1"/>
    <col min="11262" max="11263" width="9.88671875" style="20" customWidth="1"/>
    <col min="11264" max="11264" width="11.109375" style="20" customWidth="1"/>
    <col min="11265" max="11265" width="2.88671875" style="20" customWidth="1"/>
    <col min="11266" max="11266" width="3.5546875" style="20" customWidth="1"/>
    <col min="11267" max="11511" width="9.109375" style="20"/>
    <col min="11512" max="11512" width="8.6640625" style="20" customWidth="1"/>
    <col min="11513" max="11513" width="9.88671875" style="20" customWidth="1"/>
    <col min="11514" max="11514" width="14.44140625" style="20" customWidth="1"/>
    <col min="11515" max="11515" width="7.33203125" style="20" customWidth="1"/>
    <col min="11516" max="11516" width="5.5546875" style="20" customWidth="1"/>
    <col min="11517" max="11517" width="9" style="20" customWidth="1"/>
    <col min="11518" max="11519" width="9.88671875" style="20" customWidth="1"/>
    <col min="11520" max="11520" width="11.109375" style="20" customWidth="1"/>
    <col min="11521" max="11521" width="2.88671875" style="20" customWidth="1"/>
    <col min="11522" max="11522" width="3.5546875" style="20" customWidth="1"/>
    <col min="11523" max="11767" width="9.109375" style="20"/>
    <col min="11768" max="11768" width="8.6640625" style="20" customWidth="1"/>
    <col min="11769" max="11769" width="9.88671875" style="20" customWidth="1"/>
    <col min="11770" max="11770" width="14.44140625" style="20" customWidth="1"/>
    <col min="11771" max="11771" width="7.33203125" style="20" customWidth="1"/>
    <col min="11772" max="11772" width="5.5546875" style="20" customWidth="1"/>
    <col min="11773" max="11773" width="9" style="20" customWidth="1"/>
    <col min="11774" max="11775" width="9.88671875" style="20" customWidth="1"/>
    <col min="11776" max="11776" width="11.109375" style="20" customWidth="1"/>
    <col min="11777" max="11777" width="2.88671875" style="20" customWidth="1"/>
    <col min="11778" max="11778" width="3.5546875" style="20" customWidth="1"/>
    <col min="11779" max="12023" width="9.109375" style="20"/>
    <col min="12024" max="12024" width="8.6640625" style="20" customWidth="1"/>
    <col min="12025" max="12025" width="9.88671875" style="20" customWidth="1"/>
    <col min="12026" max="12026" width="14.44140625" style="20" customWidth="1"/>
    <col min="12027" max="12027" width="7.33203125" style="20" customWidth="1"/>
    <col min="12028" max="12028" width="5.5546875" style="20" customWidth="1"/>
    <col min="12029" max="12029" width="9" style="20" customWidth="1"/>
    <col min="12030" max="12031" width="9.88671875" style="20" customWidth="1"/>
    <col min="12032" max="12032" width="11.109375" style="20" customWidth="1"/>
    <col min="12033" max="12033" width="2.88671875" style="20" customWidth="1"/>
    <col min="12034" max="12034" width="3.5546875" style="20" customWidth="1"/>
    <col min="12035" max="12279" width="9.109375" style="20"/>
    <col min="12280" max="12280" width="8.6640625" style="20" customWidth="1"/>
    <col min="12281" max="12281" width="9.88671875" style="20" customWidth="1"/>
    <col min="12282" max="12282" width="14.44140625" style="20" customWidth="1"/>
    <col min="12283" max="12283" width="7.33203125" style="20" customWidth="1"/>
    <col min="12284" max="12284" width="5.5546875" style="20" customWidth="1"/>
    <col min="12285" max="12285" width="9" style="20" customWidth="1"/>
    <col min="12286" max="12287" width="9.88671875" style="20" customWidth="1"/>
    <col min="12288" max="12288" width="11.109375" style="20" customWidth="1"/>
    <col min="12289" max="12289" width="2.88671875" style="20" customWidth="1"/>
    <col min="12290" max="12290" width="3.5546875" style="20" customWidth="1"/>
    <col min="12291" max="12535" width="9.109375" style="20"/>
    <col min="12536" max="12536" width="8.6640625" style="20" customWidth="1"/>
    <col min="12537" max="12537" width="9.88671875" style="20" customWidth="1"/>
    <col min="12538" max="12538" width="14.44140625" style="20" customWidth="1"/>
    <col min="12539" max="12539" width="7.33203125" style="20" customWidth="1"/>
    <col min="12540" max="12540" width="5.5546875" style="20" customWidth="1"/>
    <col min="12541" max="12541" width="9" style="20" customWidth="1"/>
    <col min="12542" max="12543" width="9.88671875" style="20" customWidth="1"/>
    <col min="12544" max="12544" width="11.109375" style="20" customWidth="1"/>
    <col min="12545" max="12545" width="2.88671875" style="20" customWidth="1"/>
    <col min="12546" max="12546" width="3.5546875" style="20" customWidth="1"/>
    <col min="12547" max="12791" width="9.109375" style="20"/>
    <col min="12792" max="12792" width="8.6640625" style="20" customWidth="1"/>
    <col min="12793" max="12793" width="9.88671875" style="20" customWidth="1"/>
    <col min="12794" max="12794" width="14.44140625" style="20" customWidth="1"/>
    <col min="12795" max="12795" width="7.33203125" style="20" customWidth="1"/>
    <col min="12796" max="12796" width="5.5546875" style="20" customWidth="1"/>
    <col min="12797" max="12797" width="9" style="20" customWidth="1"/>
    <col min="12798" max="12799" width="9.88671875" style="20" customWidth="1"/>
    <col min="12800" max="12800" width="11.109375" style="20" customWidth="1"/>
    <col min="12801" max="12801" width="2.88671875" style="20" customWidth="1"/>
    <col min="12802" max="12802" width="3.5546875" style="20" customWidth="1"/>
    <col min="12803" max="13047" width="9.109375" style="20"/>
    <col min="13048" max="13048" width="8.6640625" style="20" customWidth="1"/>
    <col min="13049" max="13049" width="9.88671875" style="20" customWidth="1"/>
    <col min="13050" max="13050" width="14.44140625" style="20" customWidth="1"/>
    <col min="13051" max="13051" width="7.33203125" style="20" customWidth="1"/>
    <col min="13052" max="13052" width="5.5546875" style="20" customWidth="1"/>
    <col min="13053" max="13053" width="9" style="20" customWidth="1"/>
    <col min="13054" max="13055" width="9.88671875" style="20" customWidth="1"/>
    <col min="13056" max="13056" width="11.109375" style="20" customWidth="1"/>
    <col min="13057" max="13057" width="2.88671875" style="20" customWidth="1"/>
    <col min="13058" max="13058" width="3.5546875" style="20" customWidth="1"/>
    <col min="13059" max="13303" width="9.109375" style="20"/>
    <col min="13304" max="13304" width="8.6640625" style="20" customWidth="1"/>
    <col min="13305" max="13305" width="9.88671875" style="20" customWidth="1"/>
    <col min="13306" max="13306" width="14.44140625" style="20" customWidth="1"/>
    <col min="13307" max="13307" width="7.33203125" style="20" customWidth="1"/>
    <col min="13308" max="13308" width="5.5546875" style="20" customWidth="1"/>
    <col min="13309" max="13309" width="9" style="20" customWidth="1"/>
    <col min="13310" max="13311" width="9.88671875" style="20" customWidth="1"/>
    <col min="13312" max="13312" width="11.109375" style="20" customWidth="1"/>
    <col min="13313" max="13313" width="2.88671875" style="20" customWidth="1"/>
    <col min="13314" max="13314" width="3.5546875" style="20" customWidth="1"/>
    <col min="13315" max="13559" width="9.109375" style="20"/>
    <col min="13560" max="13560" width="8.6640625" style="20" customWidth="1"/>
    <col min="13561" max="13561" width="9.88671875" style="20" customWidth="1"/>
    <col min="13562" max="13562" width="14.44140625" style="20" customWidth="1"/>
    <col min="13563" max="13563" width="7.33203125" style="20" customWidth="1"/>
    <col min="13564" max="13564" width="5.5546875" style="20" customWidth="1"/>
    <col min="13565" max="13565" width="9" style="20" customWidth="1"/>
    <col min="13566" max="13567" width="9.88671875" style="20" customWidth="1"/>
    <col min="13568" max="13568" width="11.109375" style="20" customWidth="1"/>
    <col min="13569" max="13569" width="2.88671875" style="20" customWidth="1"/>
    <col min="13570" max="13570" width="3.5546875" style="20" customWidth="1"/>
    <col min="13571" max="13815" width="9.109375" style="20"/>
    <col min="13816" max="13816" width="8.6640625" style="20" customWidth="1"/>
    <col min="13817" max="13817" width="9.88671875" style="20" customWidth="1"/>
    <col min="13818" max="13818" width="14.44140625" style="20" customWidth="1"/>
    <col min="13819" max="13819" width="7.33203125" style="20" customWidth="1"/>
    <col min="13820" max="13820" width="5.5546875" style="20" customWidth="1"/>
    <col min="13821" max="13821" width="9" style="20" customWidth="1"/>
    <col min="13822" max="13823" width="9.88671875" style="20" customWidth="1"/>
    <col min="13824" max="13824" width="11.109375" style="20" customWidth="1"/>
    <col min="13825" max="13825" width="2.88671875" style="20" customWidth="1"/>
    <col min="13826" max="13826" width="3.5546875" style="20" customWidth="1"/>
    <col min="13827" max="14071" width="9.109375" style="20"/>
    <col min="14072" max="14072" width="8.6640625" style="20" customWidth="1"/>
    <col min="14073" max="14073" width="9.88671875" style="20" customWidth="1"/>
    <col min="14074" max="14074" width="14.44140625" style="20" customWidth="1"/>
    <col min="14075" max="14075" width="7.33203125" style="20" customWidth="1"/>
    <col min="14076" max="14076" width="5.5546875" style="20" customWidth="1"/>
    <col min="14077" max="14077" width="9" style="20" customWidth="1"/>
    <col min="14078" max="14079" width="9.88671875" style="20" customWidth="1"/>
    <col min="14080" max="14080" width="11.109375" style="20" customWidth="1"/>
    <col min="14081" max="14081" width="2.88671875" style="20" customWidth="1"/>
    <col min="14082" max="14082" width="3.5546875" style="20" customWidth="1"/>
    <col min="14083" max="14327" width="9.109375" style="20"/>
    <col min="14328" max="14328" width="8.6640625" style="20" customWidth="1"/>
    <col min="14329" max="14329" width="9.88671875" style="20" customWidth="1"/>
    <col min="14330" max="14330" width="14.44140625" style="20" customWidth="1"/>
    <col min="14331" max="14331" width="7.33203125" style="20" customWidth="1"/>
    <col min="14332" max="14332" width="5.5546875" style="20" customWidth="1"/>
    <col min="14333" max="14333" width="9" style="20" customWidth="1"/>
    <col min="14334" max="14335" width="9.88671875" style="20" customWidth="1"/>
    <col min="14336" max="14336" width="11.109375" style="20" customWidth="1"/>
    <col min="14337" max="14337" width="2.88671875" style="20" customWidth="1"/>
    <col min="14338" max="14338" width="3.5546875" style="20" customWidth="1"/>
    <col min="14339" max="14583" width="9.109375" style="20"/>
    <col min="14584" max="14584" width="8.6640625" style="20" customWidth="1"/>
    <col min="14585" max="14585" width="9.88671875" style="20" customWidth="1"/>
    <col min="14586" max="14586" width="14.44140625" style="20" customWidth="1"/>
    <col min="14587" max="14587" width="7.33203125" style="20" customWidth="1"/>
    <col min="14588" max="14588" width="5.5546875" style="20" customWidth="1"/>
    <col min="14589" max="14589" width="9" style="20" customWidth="1"/>
    <col min="14590" max="14591" width="9.88671875" style="20" customWidth="1"/>
    <col min="14592" max="14592" width="11.109375" style="20" customWidth="1"/>
    <col min="14593" max="14593" width="2.88671875" style="20" customWidth="1"/>
    <col min="14594" max="14594" width="3.5546875" style="20" customWidth="1"/>
    <col min="14595" max="14839" width="9.109375" style="20"/>
    <col min="14840" max="14840" width="8.6640625" style="20" customWidth="1"/>
    <col min="14841" max="14841" width="9.88671875" style="20" customWidth="1"/>
    <col min="14842" max="14842" width="14.44140625" style="20" customWidth="1"/>
    <col min="14843" max="14843" width="7.33203125" style="20" customWidth="1"/>
    <col min="14844" max="14844" width="5.5546875" style="20" customWidth="1"/>
    <col min="14845" max="14845" width="9" style="20" customWidth="1"/>
    <col min="14846" max="14847" width="9.88671875" style="20" customWidth="1"/>
    <col min="14848" max="14848" width="11.109375" style="20" customWidth="1"/>
    <col min="14849" max="14849" width="2.88671875" style="20" customWidth="1"/>
    <col min="14850" max="14850" width="3.5546875" style="20" customWidth="1"/>
    <col min="14851" max="15095" width="9.109375" style="20"/>
    <col min="15096" max="15096" width="8.6640625" style="20" customWidth="1"/>
    <col min="15097" max="15097" width="9.88671875" style="20" customWidth="1"/>
    <col min="15098" max="15098" width="14.44140625" style="20" customWidth="1"/>
    <col min="15099" max="15099" width="7.33203125" style="20" customWidth="1"/>
    <col min="15100" max="15100" width="5.5546875" style="20" customWidth="1"/>
    <col min="15101" max="15101" width="9" style="20" customWidth="1"/>
    <col min="15102" max="15103" width="9.88671875" style="20" customWidth="1"/>
    <col min="15104" max="15104" width="11.109375" style="20" customWidth="1"/>
    <col min="15105" max="15105" width="2.88671875" style="20" customWidth="1"/>
    <col min="15106" max="15106" width="3.5546875" style="20" customWidth="1"/>
    <col min="15107" max="15351" width="9.109375" style="20"/>
    <col min="15352" max="15352" width="8.6640625" style="20" customWidth="1"/>
    <col min="15353" max="15353" width="9.88671875" style="20" customWidth="1"/>
    <col min="15354" max="15354" width="14.44140625" style="20" customWidth="1"/>
    <col min="15355" max="15355" width="7.33203125" style="20" customWidth="1"/>
    <col min="15356" max="15356" width="5.5546875" style="20" customWidth="1"/>
    <col min="15357" max="15357" width="9" style="20" customWidth="1"/>
    <col min="15358" max="15359" width="9.88671875" style="20" customWidth="1"/>
    <col min="15360" max="15360" width="11.109375" style="20" customWidth="1"/>
    <col min="15361" max="15361" width="2.88671875" style="20" customWidth="1"/>
    <col min="15362" max="15362" width="3.5546875" style="20" customWidth="1"/>
    <col min="15363" max="15607" width="9.109375" style="20"/>
    <col min="15608" max="15608" width="8.6640625" style="20" customWidth="1"/>
    <col min="15609" max="15609" width="9.88671875" style="20" customWidth="1"/>
    <col min="15610" max="15610" width="14.44140625" style="20" customWidth="1"/>
    <col min="15611" max="15611" width="7.33203125" style="20" customWidth="1"/>
    <col min="15612" max="15612" width="5.5546875" style="20" customWidth="1"/>
    <col min="15613" max="15613" width="9" style="20" customWidth="1"/>
    <col min="15614" max="15615" width="9.88671875" style="20" customWidth="1"/>
    <col min="15616" max="15616" width="11.109375" style="20" customWidth="1"/>
    <col min="15617" max="15617" width="2.88671875" style="20" customWidth="1"/>
    <col min="15618" max="15618" width="3.5546875" style="20" customWidth="1"/>
    <col min="15619" max="15863" width="9.109375" style="20"/>
    <col min="15864" max="15864" width="8.6640625" style="20" customWidth="1"/>
    <col min="15865" max="15865" width="9.88671875" style="20" customWidth="1"/>
    <col min="15866" max="15866" width="14.44140625" style="20" customWidth="1"/>
    <col min="15867" max="15867" width="7.33203125" style="20" customWidth="1"/>
    <col min="15868" max="15868" width="5.5546875" style="20" customWidth="1"/>
    <col min="15869" max="15869" width="9" style="20" customWidth="1"/>
    <col min="15870" max="15871" width="9.88671875" style="20" customWidth="1"/>
    <col min="15872" max="15872" width="11.109375" style="20" customWidth="1"/>
    <col min="15873" max="15873" width="2.88671875" style="20" customWidth="1"/>
    <col min="15874" max="15874" width="3.5546875" style="20" customWidth="1"/>
    <col min="15875" max="16119" width="9.109375" style="20"/>
    <col min="16120" max="16120" width="8.6640625" style="20" customWidth="1"/>
    <col min="16121" max="16121" width="9.88671875" style="20" customWidth="1"/>
    <col min="16122" max="16122" width="14.44140625" style="20" customWidth="1"/>
    <col min="16123" max="16123" width="7.33203125" style="20" customWidth="1"/>
    <col min="16124" max="16124" width="5.5546875" style="20" customWidth="1"/>
    <col min="16125" max="16125" width="9" style="20" customWidth="1"/>
    <col min="16126" max="16127" width="9.88671875" style="20" customWidth="1"/>
    <col min="16128" max="16128" width="11.109375" style="20" customWidth="1"/>
    <col min="16129" max="16129" width="2.88671875" style="20" customWidth="1"/>
    <col min="16130" max="16130" width="3.5546875" style="20" customWidth="1"/>
    <col min="16131" max="16384" width="9.109375" style="20"/>
  </cols>
  <sheetData>
    <row r="1" spans="1:8" ht="46.5" customHeight="1" x14ac:dyDescent="0.3">
      <c r="A1" s="209" t="s">
        <v>240</v>
      </c>
      <c r="B1" s="209"/>
      <c r="C1" s="209"/>
      <c r="D1" s="209"/>
      <c r="E1" s="209"/>
      <c r="F1" s="209"/>
      <c r="G1" s="209"/>
      <c r="H1" s="209"/>
    </row>
    <row r="2" spans="1:8" ht="16.5" customHeight="1" x14ac:dyDescent="0.3">
      <c r="A2" s="150" t="s">
        <v>0</v>
      </c>
      <c r="B2" s="150"/>
      <c r="C2" s="150"/>
      <c r="D2" s="150"/>
      <c r="E2" s="150"/>
      <c r="F2" s="150"/>
      <c r="G2" s="150"/>
      <c r="H2" s="150"/>
    </row>
    <row r="3" spans="1:8" x14ac:dyDescent="0.3">
      <c r="A3" s="171" t="s">
        <v>1</v>
      </c>
      <c r="B3" s="171"/>
      <c r="C3" s="171"/>
      <c r="D3" s="171"/>
      <c r="E3" s="171" t="str">
        <f ca="1">TEXT(TODAY(),"DD/MM/YYYY")</f>
        <v>14/08/2025</v>
      </c>
      <c r="F3" s="171"/>
      <c r="G3" s="171"/>
      <c r="H3" s="171"/>
    </row>
    <row r="4" spans="1:8" ht="15" customHeight="1" x14ac:dyDescent="0.3">
      <c r="A4" s="171" t="s">
        <v>2</v>
      </c>
      <c r="B4" s="171"/>
      <c r="C4" s="171"/>
      <c r="D4" s="171"/>
      <c r="E4" s="171" t="s">
        <v>165</v>
      </c>
      <c r="F4" s="171"/>
      <c r="G4" s="171"/>
      <c r="H4" s="171"/>
    </row>
    <row r="5" spans="1:8" x14ac:dyDescent="0.3">
      <c r="A5" s="171" t="s">
        <v>3</v>
      </c>
      <c r="B5" s="171"/>
      <c r="C5" s="171"/>
      <c r="D5" s="171"/>
      <c r="E5" s="210">
        <v>45882</v>
      </c>
      <c r="F5" s="171"/>
      <c r="G5" s="171"/>
      <c r="H5" s="171"/>
    </row>
    <row r="6" spans="1:8" ht="16.5" customHeight="1" x14ac:dyDescent="0.3">
      <c r="A6" s="171" t="s">
        <v>166</v>
      </c>
      <c r="B6" s="171"/>
      <c r="C6" s="171"/>
      <c r="D6" s="171"/>
      <c r="E6" s="210" t="s">
        <v>238</v>
      </c>
      <c r="F6" s="171"/>
      <c r="G6" s="171"/>
      <c r="H6" s="171"/>
    </row>
    <row r="7" spans="1:8" ht="15" customHeight="1" x14ac:dyDescent="0.3">
      <c r="A7" s="171" t="s">
        <v>4</v>
      </c>
      <c r="B7" s="171"/>
      <c r="C7" s="171"/>
      <c r="D7" s="171"/>
      <c r="E7" s="171" t="s">
        <v>168</v>
      </c>
      <c r="F7" s="171"/>
      <c r="G7" s="171"/>
      <c r="H7" s="171"/>
    </row>
    <row r="8" spans="1:8" x14ac:dyDescent="0.3">
      <c r="A8" s="171" t="s">
        <v>5</v>
      </c>
      <c r="B8" s="171"/>
      <c r="C8" s="171"/>
      <c r="D8" s="171"/>
      <c r="E8" s="138" t="s">
        <v>167</v>
      </c>
      <c r="F8" s="138"/>
      <c r="G8" s="138"/>
      <c r="H8" s="138"/>
    </row>
    <row r="9" spans="1:8" x14ac:dyDescent="0.3">
      <c r="A9" s="171" t="s">
        <v>120</v>
      </c>
      <c r="B9" s="171"/>
      <c r="C9" s="171"/>
      <c r="D9" s="171"/>
      <c r="E9" s="171" t="s">
        <v>259</v>
      </c>
      <c r="F9" s="171"/>
      <c r="G9" s="171"/>
      <c r="H9" s="171"/>
    </row>
    <row r="10" spans="1:8" hidden="1" x14ac:dyDescent="0.3">
      <c r="A10" s="171" t="s">
        <v>257</v>
      </c>
      <c r="B10" s="171"/>
      <c r="C10" s="171"/>
      <c r="D10" s="171"/>
      <c r="E10" s="171" t="s">
        <v>258</v>
      </c>
      <c r="F10" s="171"/>
      <c r="G10" s="171"/>
      <c r="H10" s="171"/>
    </row>
    <row r="11" spans="1:8" ht="48.75" customHeight="1" x14ac:dyDescent="0.3">
      <c r="A11" s="171" t="s">
        <v>6</v>
      </c>
      <c r="B11" s="171"/>
      <c r="C11" s="171"/>
      <c r="D11" s="171"/>
      <c r="E11" s="139" t="s">
        <v>227</v>
      </c>
      <c r="F11" s="171"/>
      <c r="G11" s="171"/>
      <c r="H11" s="171"/>
    </row>
    <row r="12" spans="1:8" x14ac:dyDescent="0.3">
      <c r="A12" s="132" t="s">
        <v>7</v>
      </c>
      <c r="B12" s="132"/>
      <c r="C12" s="132"/>
      <c r="D12" s="132"/>
      <c r="E12" s="139" t="s">
        <v>206</v>
      </c>
      <c r="F12" s="226"/>
      <c r="G12" s="226"/>
      <c r="H12" s="226"/>
    </row>
    <row r="13" spans="1:8" x14ac:dyDescent="0.3">
      <c r="A13" s="132" t="s">
        <v>8</v>
      </c>
      <c r="B13" s="132"/>
      <c r="C13" s="132"/>
      <c r="D13" s="132"/>
      <c r="E13" s="139" t="s">
        <v>169</v>
      </c>
      <c r="F13" s="171"/>
      <c r="G13" s="171"/>
      <c r="H13" s="171"/>
    </row>
    <row r="14" spans="1:8" ht="48.75" customHeight="1" x14ac:dyDescent="0.3">
      <c r="A14" s="131" t="s">
        <v>9</v>
      </c>
      <c r="B14" s="131"/>
      <c r="C14" s="131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Pearl Heights, Survey No.120/6 with land bearing S.No. 23, H.No. 3/1 &amp; S.No. 120, H.No. 5, near Evergreen Residency, Jambhala Road, Kohari Chowk, Badlapur, Badlapur (West), Ambarnath, Thane - 421503.</v>
      </c>
      <c r="D14" s="131"/>
      <c r="E14" s="131"/>
      <c r="F14" s="131"/>
      <c r="G14" s="131"/>
      <c r="H14" s="131"/>
    </row>
    <row r="15" spans="1:8" x14ac:dyDescent="0.3">
      <c r="A15" s="139" t="s">
        <v>170</v>
      </c>
      <c r="B15" s="139"/>
      <c r="C15" s="139" t="s">
        <v>171</v>
      </c>
      <c r="D15" s="139"/>
      <c r="E15" s="139"/>
      <c r="F15" s="139"/>
      <c r="G15" s="139"/>
      <c r="H15" s="139"/>
    </row>
    <row r="16" spans="1:8" ht="15.75" customHeight="1" x14ac:dyDescent="0.3">
      <c r="A16" s="227" t="s">
        <v>162</v>
      </c>
      <c r="B16" s="228"/>
      <c r="C16" s="227" t="s">
        <v>183</v>
      </c>
      <c r="D16" s="229"/>
      <c r="E16" s="229"/>
      <c r="F16" s="229"/>
      <c r="G16" s="229"/>
      <c r="H16" s="228"/>
    </row>
    <row r="17" spans="1:8" ht="15.75" customHeight="1" x14ac:dyDescent="0.3">
      <c r="A17" s="131" t="s">
        <v>10</v>
      </c>
      <c r="B17" s="131"/>
      <c r="C17" s="171" t="s">
        <v>184</v>
      </c>
      <c r="D17" s="171"/>
      <c r="E17" s="131" t="s">
        <v>163</v>
      </c>
      <c r="F17" s="131"/>
      <c r="G17" s="139" t="s">
        <v>174</v>
      </c>
      <c r="H17" s="139"/>
    </row>
    <row r="18" spans="1:8" x14ac:dyDescent="0.3">
      <c r="A18" s="132" t="s">
        <v>12</v>
      </c>
      <c r="B18" s="132"/>
      <c r="C18" s="139" t="s">
        <v>185</v>
      </c>
      <c r="D18" s="139"/>
      <c r="E18" s="131" t="s">
        <v>11</v>
      </c>
      <c r="F18" s="131"/>
      <c r="G18" s="230" t="s">
        <v>173</v>
      </c>
      <c r="H18" s="230"/>
    </row>
    <row r="19" spans="1:8" x14ac:dyDescent="0.3">
      <c r="A19" s="132" t="s">
        <v>70</v>
      </c>
      <c r="B19" s="132"/>
      <c r="C19" s="139" t="s">
        <v>172</v>
      </c>
      <c r="D19" s="139"/>
      <c r="E19" s="131" t="s">
        <v>13</v>
      </c>
      <c r="F19" s="131"/>
      <c r="G19" s="139">
        <v>421503</v>
      </c>
      <c r="H19" s="139"/>
    </row>
    <row r="20" spans="1:8" ht="32.25" customHeight="1" x14ac:dyDescent="0.3">
      <c r="A20" s="132" t="s">
        <v>121</v>
      </c>
      <c r="B20" s="132"/>
      <c r="C20" s="139" t="s">
        <v>176</v>
      </c>
      <c r="D20" s="139"/>
      <c r="E20" s="131" t="s">
        <v>14</v>
      </c>
      <c r="F20" s="131"/>
      <c r="G20" s="139" t="s">
        <v>226</v>
      </c>
      <c r="H20" s="139"/>
    </row>
    <row r="21" spans="1:8" ht="15" customHeight="1" x14ac:dyDescent="0.3">
      <c r="A21" s="131" t="s">
        <v>73</v>
      </c>
      <c r="B21" s="131"/>
      <c r="C21" s="131"/>
      <c r="D21" s="131"/>
      <c r="E21" s="171" t="s">
        <v>15</v>
      </c>
      <c r="F21" s="171"/>
      <c r="G21" s="171"/>
      <c r="H21" s="171"/>
    </row>
    <row r="22" spans="1:8" ht="18.75" customHeight="1" x14ac:dyDescent="0.3">
      <c r="A22" s="131"/>
      <c r="B22" s="131"/>
      <c r="C22" s="131"/>
      <c r="D22" s="131"/>
      <c r="E22" s="171"/>
      <c r="F22" s="171"/>
      <c r="G22" s="171"/>
      <c r="H22" s="171"/>
    </row>
    <row r="23" spans="1:8" ht="15" customHeight="1" x14ac:dyDescent="0.3">
      <c r="A23" s="131" t="s">
        <v>16</v>
      </c>
      <c r="B23" s="131"/>
      <c r="C23" s="131"/>
      <c r="D23" s="131"/>
      <c r="E23" s="139" t="s">
        <v>17</v>
      </c>
      <c r="F23" s="139"/>
      <c r="G23" s="139"/>
      <c r="H23" s="139"/>
    </row>
    <row r="24" spans="1:8" ht="15" customHeight="1" x14ac:dyDescent="0.3">
      <c r="A24" s="132" t="s">
        <v>18</v>
      </c>
      <c r="B24" s="132"/>
      <c r="C24" s="132"/>
      <c r="D24" s="132"/>
      <c r="E24" s="139" t="str">
        <f>IF(AND(G18="Mumbai"),"Upper Class","Middle Class")</f>
        <v>Middle Class</v>
      </c>
      <c r="F24" s="139"/>
      <c r="G24" s="139"/>
      <c r="H24" s="139"/>
    </row>
    <row r="25" spans="1:8" x14ac:dyDescent="0.3">
      <c r="A25" s="132" t="s">
        <v>19</v>
      </c>
      <c r="B25" s="132"/>
      <c r="C25" s="132"/>
      <c r="D25" s="132"/>
      <c r="E25" s="139" t="s">
        <v>20</v>
      </c>
      <c r="F25" s="139"/>
      <c r="G25" s="139"/>
      <c r="H25" s="139"/>
    </row>
    <row r="26" spans="1:8" ht="15.75" customHeight="1" x14ac:dyDescent="0.3">
      <c r="A26" s="132" t="s">
        <v>21</v>
      </c>
      <c r="B26" s="132"/>
      <c r="C26" s="132"/>
      <c r="D26" s="132"/>
      <c r="E26" s="139" t="str">
        <f>IF(AND(G18="Mumbai"),"Developed","Developing")</f>
        <v>Developing</v>
      </c>
      <c r="F26" s="139"/>
      <c r="G26" s="139"/>
      <c r="H26" s="139"/>
    </row>
    <row r="27" spans="1:8" x14ac:dyDescent="0.3">
      <c r="A27" s="132" t="s">
        <v>22</v>
      </c>
      <c r="B27" s="132"/>
      <c r="C27" s="132"/>
      <c r="D27" s="132"/>
      <c r="E27" s="139" t="s">
        <v>23</v>
      </c>
      <c r="F27" s="139"/>
      <c r="G27" s="139"/>
      <c r="H27" s="139"/>
    </row>
    <row r="28" spans="1:8" ht="15.75" customHeight="1" x14ac:dyDescent="0.3">
      <c r="A28" s="132" t="s">
        <v>78</v>
      </c>
      <c r="B28" s="132"/>
      <c r="C28" s="132"/>
      <c r="D28" s="132"/>
      <c r="E28" s="139" t="s">
        <v>79</v>
      </c>
      <c r="F28" s="139"/>
      <c r="G28" s="139"/>
      <c r="H28" s="139"/>
    </row>
    <row r="29" spans="1:8" ht="15" customHeight="1" x14ac:dyDescent="0.3">
      <c r="A29" s="132" t="s">
        <v>32</v>
      </c>
      <c r="B29" s="132"/>
      <c r="C29" s="132"/>
      <c r="D29" s="132"/>
      <c r="E29" s="139" t="str">
        <f>IF(AND(ISNUMBER(SEARCH("Flat",D61)),ISNUMBER(SEARCH("Shop",D61)),ISNUMBER(SEARCH("Office",D61))),"Residential + Commercial",IF(AND(ISNUMBER(SEARCH("Flat",D61)),ISNUMBER(SEARCH("Shop",D61))),"Residential + Commercial",IF(AND(ISNUMBER(SEARCH("Flat",D61)),ISNUMBER(SEARCH("Office",D61))),"Residential + Commercial",IF(AND(ISNUMBER(SEARCH("Shop",D61)),ISNUMBER(SEARCH("Office",D61))),"Commercial",IF(ISNUMBER(SEARCH("Shop",D61)),"Commercial",IF(ISNUMBER(SEARCH("Office",D61)),"Commercial",IF(ISNUMBER(SEARCH("Flat",D61)),"Residential")))))))</f>
        <v>Residential + Commercial</v>
      </c>
      <c r="F29" s="139"/>
      <c r="G29" s="139"/>
      <c r="H29" s="139"/>
    </row>
    <row r="30" spans="1:8" ht="15.75" customHeight="1" x14ac:dyDescent="0.3">
      <c r="A30" s="132" t="s">
        <v>90</v>
      </c>
      <c r="B30" s="132"/>
      <c r="C30" s="132"/>
      <c r="D30" s="132"/>
      <c r="E30" s="139" t="s">
        <v>33</v>
      </c>
      <c r="F30" s="139"/>
      <c r="G30" s="139"/>
      <c r="H30" s="139"/>
    </row>
    <row r="31" spans="1:8" s="21" customFormat="1" x14ac:dyDescent="0.3">
      <c r="A31" s="208" t="s">
        <v>91</v>
      </c>
      <c r="B31" s="208"/>
      <c r="C31" s="207" t="s">
        <v>28</v>
      </c>
      <c r="D31" s="207"/>
      <c r="E31" s="207"/>
      <c r="F31" s="207" t="s">
        <v>30</v>
      </c>
      <c r="G31" s="207"/>
      <c r="H31" s="207"/>
    </row>
    <row r="32" spans="1:8" s="21" customFormat="1" x14ac:dyDescent="0.3">
      <c r="A32" s="204" t="s">
        <v>24</v>
      </c>
      <c r="B32" s="204" t="s">
        <v>29</v>
      </c>
      <c r="C32" s="196" t="s">
        <v>29</v>
      </c>
      <c r="D32" s="196"/>
      <c r="E32" s="196"/>
      <c r="F32" s="196" t="s">
        <v>207</v>
      </c>
      <c r="G32" s="196"/>
      <c r="H32" s="196"/>
    </row>
    <row r="33" spans="1:8" x14ac:dyDescent="0.3">
      <c r="A33" s="204" t="s">
        <v>25</v>
      </c>
      <c r="B33" s="204" t="s">
        <v>29</v>
      </c>
      <c r="C33" s="196" t="s">
        <v>29</v>
      </c>
      <c r="D33" s="196"/>
      <c r="E33" s="196"/>
      <c r="F33" s="196" t="s">
        <v>208</v>
      </c>
      <c r="G33" s="196"/>
      <c r="H33" s="196"/>
    </row>
    <row r="34" spans="1:8" s="21" customFormat="1" x14ac:dyDescent="0.3">
      <c r="A34" s="204" t="s">
        <v>27</v>
      </c>
      <c r="B34" s="204" t="s">
        <v>29</v>
      </c>
      <c r="C34" s="196" t="s">
        <v>29</v>
      </c>
      <c r="D34" s="196"/>
      <c r="E34" s="196"/>
      <c r="F34" s="196" t="s">
        <v>209</v>
      </c>
      <c r="G34" s="196"/>
      <c r="H34" s="196"/>
    </row>
    <row r="35" spans="1:8" x14ac:dyDescent="0.3">
      <c r="A35" s="204" t="s">
        <v>26</v>
      </c>
      <c r="B35" s="204" t="s">
        <v>29</v>
      </c>
      <c r="C35" s="196" t="s">
        <v>29</v>
      </c>
      <c r="D35" s="196"/>
      <c r="E35" s="196"/>
      <c r="F35" s="196" t="s">
        <v>207</v>
      </c>
      <c r="G35" s="196"/>
      <c r="H35" s="196"/>
    </row>
    <row r="36" spans="1:8" x14ac:dyDescent="0.3">
      <c r="A36" s="132" t="s">
        <v>31</v>
      </c>
      <c r="B36" s="132"/>
      <c r="C36" s="132"/>
      <c r="D36" s="132"/>
      <c r="E36" s="132"/>
      <c r="F36" s="132"/>
      <c r="G36" s="132"/>
      <c r="H36" s="132"/>
    </row>
    <row r="37" spans="1:8" ht="15.75" customHeight="1" x14ac:dyDescent="0.3">
      <c r="A37" s="150" t="s">
        <v>247</v>
      </c>
      <c r="B37" s="150"/>
      <c r="C37" s="231" t="s">
        <v>248</v>
      </c>
      <c r="D37" s="232"/>
      <c r="E37" s="232"/>
      <c r="F37" s="232"/>
      <c r="G37" s="232"/>
      <c r="H37" s="233"/>
    </row>
    <row r="38" spans="1:8" x14ac:dyDescent="0.3">
      <c r="A38" s="150" t="s">
        <v>161</v>
      </c>
      <c r="B38" s="150"/>
      <c r="C38" s="151" t="s">
        <v>175</v>
      </c>
      <c r="D38" s="152"/>
      <c r="E38" s="152"/>
      <c r="F38" s="152"/>
      <c r="G38" s="152"/>
      <c r="H38" s="152"/>
    </row>
    <row r="39" spans="1:8" x14ac:dyDescent="0.3">
      <c r="A39" s="197" t="s">
        <v>34</v>
      </c>
      <c r="B39" s="197"/>
      <c r="C39" s="197"/>
      <c r="D39" s="197"/>
      <c r="E39" s="197"/>
      <c r="F39" s="197"/>
      <c r="G39" s="197"/>
      <c r="H39" s="197"/>
    </row>
    <row r="40" spans="1:8" x14ac:dyDescent="0.3">
      <c r="A40" s="132" t="s">
        <v>35</v>
      </c>
      <c r="B40" s="132"/>
      <c r="C40" s="132"/>
      <c r="D40" s="132"/>
      <c r="E40" s="205">
        <v>2100</v>
      </c>
      <c r="F40" s="205"/>
      <c r="G40" s="205"/>
      <c r="H40" s="205"/>
    </row>
    <row r="41" spans="1:8" x14ac:dyDescent="0.3">
      <c r="A41" s="132" t="s">
        <v>36</v>
      </c>
      <c r="B41" s="132"/>
      <c r="C41" s="132"/>
      <c r="D41" s="132"/>
      <c r="E41" s="206">
        <v>1.1000000000000001</v>
      </c>
      <c r="F41" s="206"/>
      <c r="G41" s="206"/>
      <c r="H41" s="206"/>
    </row>
    <row r="42" spans="1:8" x14ac:dyDescent="0.3">
      <c r="A42" s="132" t="s">
        <v>37</v>
      </c>
      <c r="B42" s="132"/>
      <c r="C42" s="132"/>
      <c r="D42" s="132"/>
      <c r="E42" s="206">
        <f>E44/E40-E41</f>
        <v>1.2982047619047616</v>
      </c>
      <c r="F42" s="206"/>
      <c r="G42" s="206"/>
      <c r="H42" s="206"/>
    </row>
    <row r="43" spans="1:8" x14ac:dyDescent="0.3">
      <c r="A43" s="132" t="s">
        <v>38</v>
      </c>
      <c r="B43" s="132"/>
      <c r="C43" s="132"/>
      <c r="D43" s="132"/>
      <c r="E43" s="206">
        <f>E41+E42</f>
        <v>2.3982047619047617</v>
      </c>
      <c r="F43" s="206"/>
      <c r="G43" s="206"/>
      <c r="H43" s="206"/>
    </row>
    <row r="44" spans="1:8" x14ac:dyDescent="0.3">
      <c r="A44" s="132" t="s">
        <v>89</v>
      </c>
      <c r="B44" s="132"/>
      <c r="C44" s="132"/>
      <c r="D44" s="132"/>
      <c r="E44" s="242">
        <v>5036.2299999999996</v>
      </c>
      <c r="F44" s="242"/>
      <c r="G44" s="242"/>
      <c r="H44" s="242"/>
    </row>
    <row r="45" spans="1:8" x14ac:dyDescent="0.3">
      <c r="A45" s="171" t="s">
        <v>39</v>
      </c>
      <c r="B45" s="171"/>
      <c r="C45" s="171"/>
      <c r="D45" s="171"/>
      <c r="E45" s="171" t="s">
        <v>228</v>
      </c>
      <c r="F45" s="171"/>
      <c r="G45" s="171"/>
      <c r="H45" s="171"/>
    </row>
    <row r="46" spans="1:8" x14ac:dyDescent="0.3">
      <c r="A46" s="197" t="s">
        <v>40</v>
      </c>
      <c r="B46" s="197"/>
      <c r="C46" s="197"/>
      <c r="D46" s="197"/>
      <c r="E46" s="197"/>
      <c r="F46" s="197"/>
      <c r="G46" s="197"/>
      <c r="H46" s="197"/>
    </row>
    <row r="47" spans="1:8" ht="33.75" customHeight="1" x14ac:dyDescent="0.3">
      <c r="A47" s="163" t="s">
        <v>149</v>
      </c>
      <c r="B47" s="164"/>
      <c r="C47" s="165" t="s">
        <v>177</v>
      </c>
      <c r="D47" s="166"/>
      <c r="E47" s="166"/>
      <c r="F47" s="166"/>
      <c r="G47" s="166"/>
      <c r="H47" s="167"/>
    </row>
    <row r="48" spans="1:8" ht="15.75" customHeight="1" x14ac:dyDescent="0.3">
      <c r="A48" s="163" t="s">
        <v>41</v>
      </c>
      <c r="B48" s="164"/>
      <c r="C48" s="163" t="s">
        <v>252</v>
      </c>
      <c r="D48" s="179"/>
      <c r="E48" s="164"/>
      <c r="F48" s="17" t="s">
        <v>42</v>
      </c>
      <c r="G48" s="177">
        <v>45323</v>
      </c>
      <c r="H48" s="164"/>
    </row>
    <row r="49" spans="1:9" ht="49.5" customHeight="1" x14ac:dyDescent="0.3">
      <c r="A49" s="163" t="s">
        <v>254</v>
      </c>
      <c r="B49" s="164"/>
      <c r="C49" s="163" t="s">
        <v>178</v>
      </c>
      <c r="D49" s="179"/>
      <c r="E49" s="164"/>
      <c r="F49" s="17" t="s">
        <v>42</v>
      </c>
      <c r="G49" s="177">
        <v>44607</v>
      </c>
      <c r="H49" s="178"/>
    </row>
    <row r="50" spans="1:9" ht="36.75" customHeight="1" x14ac:dyDescent="0.3">
      <c r="A50" s="163" t="s">
        <v>253</v>
      </c>
      <c r="B50" s="164"/>
      <c r="C50" s="163" t="s">
        <v>252</v>
      </c>
      <c r="D50" s="179"/>
      <c r="E50" s="164"/>
      <c r="F50" s="17" t="s">
        <v>42</v>
      </c>
      <c r="G50" s="177">
        <v>45323</v>
      </c>
      <c r="H50" s="164"/>
    </row>
    <row r="51" spans="1:9" s="22" customFormat="1" ht="31.5" customHeight="1" x14ac:dyDescent="0.3">
      <c r="A51" s="180" t="s">
        <v>153</v>
      </c>
      <c r="B51" s="181"/>
      <c r="C51" s="163" t="s">
        <v>210</v>
      </c>
      <c r="D51" s="179"/>
      <c r="E51" s="164"/>
      <c r="F51" s="17" t="s">
        <v>42</v>
      </c>
      <c r="G51" s="177">
        <v>44391</v>
      </c>
      <c r="H51" s="178"/>
    </row>
    <row r="52" spans="1:9" s="22" customFormat="1" ht="33" customHeight="1" x14ac:dyDescent="0.3">
      <c r="A52" s="182"/>
      <c r="B52" s="183"/>
      <c r="C52" s="163" t="s">
        <v>211</v>
      </c>
      <c r="D52" s="179"/>
      <c r="E52" s="179"/>
      <c r="F52" s="179"/>
      <c r="G52" s="179"/>
      <c r="H52" s="164"/>
    </row>
    <row r="53" spans="1:9" s="22" customFormat="1" ht="31.5" customHeight="1" x14ac:dyDescent="0.3">
      <c r="A53" s="180" t="s">
        <v>153</v>
      </c>
      <c r="B53" s="181"/>
      <c r="C53" s="163" t="s">
        <v>179</v>
      </c>
      <c r="D53" s="179"/>
      <c r="E53" s="164"/>
      <c r="F53" s="17" t="s">
        <v>42</v>
      </c>
      <c r="G53" s="177">
        <v>44607</v>
      </c>
      <c r="H53" s="178"/>
    </row>
    <row r="54" spans="1:9" s="22" customFormat="1" ht="33.75" customHeight="1" x14ac:dyDescent="0.3">
      <c r="A54" s="182"/>
      <c r="B54" s="183"/>
      <c r="C54" s="163" t="s">
        <v>223</v>
      </c>
      <c r="D54" s="179"/>
      <c r="E54" s="179"/>
      <c r="F54" s="179"/>
      <c r="G54" s="179"/>
      <c r="H54" s="164"/>
    </row>
    <row r="55" spans="1:9" s="22" customFormat="1" ht="31.5" customHeight="1" x14ac:dyDescent="0.3">
      <c r="A55" s="180" t="s">
        <v>153</v>
      </c>
      <c r="B55" s="181"/>
      <c r="C55" s="163" t="s">
        <v>249</v>
      </c>
      <c r="D55" s="179"/>
      <c r="E55" s="164"/>
      <c r="F55" s="17" t="s">
        <v>42</v>
      </c>
      <c r="G55" s="177">
        <v>45323</v>
      </c>
      <c r="H55" s="178"/>
    </row>
    <row r="56" spans="1:9" s="22" customFormat="1" x14ac:dyDescent="0.3">
      <c r="A56" s="182"/>
      <c r="B56" s="183"/>
      <c r="C56" s="163" t="s">
        <v>250</v>
      </c>
      <c r="D56" s="179"/>
      <c r="E56" s="179"/>
      <c r="F56" s="179"/>
      <c r="G56" s="179"/>
      <c r="H56" s="164"/>
    </row>
    <row r="57" spans="1:9" ht="62.1" customHeight="1" x14ac:dyDescent="0.3">
      <c r="A57" s="202" t="s">
        <v>164</v>
      </c>
      <c r="B57" s="203"/>
      <c r="C57" s="184" t="s">
        <v>260</v>
      </c>
      <c r="D57" s="185"/>
      <c r="E57" s="186"/>
      <c r="F57" s="51" t="s">
        <v>42</v>
      </c>
      <c r="G57" s="172">
        <v>45419</v>
      </c>
      <c r="H57" s="173"/>
    </row>
    <row r="58" spans="1:9" ht="62.1" customHeight="1" x14ac:dyDescent="0.3">
      <c r="A58" s="184"/>
      <c r="B58" s="186"/>
      <c r="C58" s="184" t="s">
        <v>262</v>
      </c>
      <c r="D58" s="185"/>
      <c r="E58" s="186"/>
      <c r="F58" s="51" t="s">
        <v>42</v>
      </c>
      <c r="G58" s="172">
        <v>45659</v>
      </c>
      <c r="H58" s="173"/>
    </row>
    <row r="59" spans="1:9" x14ac:dyDescent="0.3">
      <c r="A59" s="187" t="s">
        <v>44</v>
      </c>
      <c r="B59" s="187"/>
      <c r="C59" s="187"/>
      <c r="D59" s="187"/>
      <c r="E59" s="187"/>
      <c r="F59" s="187"/>
      <c r="G59" s="187"/>
      <c r="H59" s="187"/>
    </row>
    <row r="60" spans="1:9" x14ac:dyDescent="0.3">
      <c r="A60" s="131" t="s">
        <v>88</v>
      </c>
      <c r="B60" s="131"/>
      <c r="C60" s="131"/>
      <c r="D60" s="132">
        <f>E44</f>
        <v>5036.2299999999996</v>
      </c>
      <c r="E60" s="132"/>
      <c r="F60" s="132"/>
      <c r="G60" s="132"/>
      <c r="H60" s="132"/>
    </row>
    <row r="61" spans="1:9" x14ac:dyDescent="0.3">
      <c r="A61" s="139" t="s">
        <v>45</v>
      </c>
      <c r="B61" s="171"/>
      <c r="C61" s="171"/>
      <c r="D61" s="171" t="s">
        <v>224</v>
      </c>
      <c r="E61" s="171"/>
      <c r="F61" s="171"/>
      <c r="G61" s="171"/>
      <c r="H61" s="171"/>
      <c r="I61" s="23"/>
    </row>
    <row r="62" spans="1:9" ht="63.75" customHeight="1" x14ac:dyDescent="0.3">
      <c r="A62" s="199" t="s">
        <v>46</v>
      </c>
      <c r="B62" s="200"/>
      <c r="C62" s="201"/>
      <c r="D62" s="126" t="s">
        <v>222</v>
      </c>
      <c r="E62" s="198"/>
      <c r="F62" s="198"/>
      <c r="G62" s="198"/>
      <c r="H62" s="198"/>
    </row>
    <row r="63" spans="1:9" ht="15.75" customHeight="1" x14ac:dyDescent="0.3">
      <c r="A63" s="199" t="s">
        <v>86</v>
      </c>
      <c r="B63" s="200"/>
      <c r="C63" s="201"/>
      <c r="D63" s="234" t="s">
        <v>181</v>
      </c>
      <c r="E63" s="235"/>
      <c r="F63" s="235"/>
      <c r="G63" s="235"/>
      <c r="H63" s="236"/>
    </row>
    <row r="64" spans="1:9" x14ac:dyDescent="0.3">
      <c r="A64" s="174"/>
      <c r="B64" s="237"/>
      <c r="C64" s="238"/>
      <c r="D64" s="174" t="s">
        <v>241</v>
      </c>
      <c r="E64" s="175"/>
      <c r="F64" s="175"/>
      <c r="G64" s="175"/>
      <c r="H64" s="176"/>
    </row>
    <row r="65" spans="1:14" x14ac:dyDescent="0.3">
      <c r="A65" s="174"/>
      <c r="B65" s="237"/>
      <c r="C65" s="238"/>
      <c r="D65" s="174" t="s">
        <v>242</v>
      </c>
      <c r="E65" s="175"/>
      <c r="F65" s="175"/>
      <c r="G65" s="175"/>
      <c r="H65" s="176"/>
    </row>
    <row r="66" spans="1:14" x14ac:dyDescent="0.3">
      <c r="A66" s="239"/>
      <c r="B66" s="240"/>
      <c r="C66" s="241"/>
      <c r="D66" s="174" t="s">
        <v>182</v>
      </c>
      <c r="E66" s="175"/>
      <c r="F66" s="175"/>
      <c r="G66" s="175"/>
      <c r="H66" s="176"/>
    </row>
    <row r="67" spans="1:14" ht="15.75" customHeight="1" x14ac:dyDescent="0.3">
      <c r="A67" s="132" t="s">
        <v>43</v>
      </c>
      <c r="B67" s="132"/>
      <c r="C67" s="132"/>
      <c r="D67" s="131" t="s">
        <v>180</v>
      </c>
      <c r="E67" s="131"/>
      <c r="F67" s="131"/>
      <c r="G67" s="131"/>
      <c r="H67" s="131"/>
      <c r="J67" s="24"/>
      <c r="K67" s="23"/>
      <c r="N67" s="23"/>
    </row>
    <row r="68" spans="1:14" ht="15.75" customHeight="1" x14ac:dyDescent="0.3">
      <c r="A68" s="132" t="s">
        <v>84</v>
      </c>
      <c r="B68" s="132"/>
      <c r="C68" s="132"/>
      <c r="D68" s="133" t="str">
        <f ca="1">(IF(G57="NA","60 Years After Completion",IF(G57&lt;&gt;"NA",""&amp;60-ROUNDDOWN((E3-G57)/360,0)&amp;" Years"," ")))</f>
        <v>59 Years</v>
      </c>
      <c r="E68" s="133"/>
      <c r="F68" s="133"/>
      <c r="G68" s="133"/>
      <c r="H68" s="133"/>
      <c r="N68" s="23"/>
    </row>
    <row r="69" spans="1:14" ht="15.75" customHeight="1" x14ac:dyDescent="0.3">
      <c r="A69" s="132" t="s">
        <v>85</v>
      </c>
      <c r="B69" s="132"/>
      <c r="C69" s="132"/>
      <c r="D69" s="131" t="s">
        <v>23</v>
      </c>
      <c r="E69" s="131"/>
      <c r="F69" s="131"/>
      <c r="G69" s="131"/>
      <c r="H69" s="131"/>
      <c r="J69" s="25"/>
      <c r="K69" s="25"/>
    </row>
    <row r="70" spans="1:14" ht="15" hidden="1" customHeight="1" x14ac:dyDescent="0.3">
      <c r="A70" s="132" t="s">
        <v>71</v>
      </c>
      <c r="B70" s="132"/>
      <c r="C70" s="132"/>
      <c r="D70" s="139" t="s">
        <v>146</v>
      </c>
      <c r="E70" s="131"/>
      <c r="F70" s="131"/>
      <c r="G70" s="131"/>
      <c r="H70" s="131"/>
    </row>
    <row r="71" spans="1:14" x14ac:dyDescent="0.3">
      <c r="A71" s="131" t="s">
        <v>147</v>
      </c>
      <c r="B71" s="131"/>
      <c r="C71" s="131"/>
      <c r="D71" s="131" t="s">
        <v>29</v>
      </c>
      <c r="E71" s="131"/>
      <c r="F71" s="131"/>
      <c r="G71" s="131"/>
      <c r="H71" s="131"/>
      <c r="I71" s="26"/>
      <c r="J71" s="26"/>
      <c r="K71" s="26"/>
      <c r="L71" s="26"/>
      <c r="M71" s="26"/>
      <c r="N71" s="26"/>
    </row>
    <row r="72" spans="1:14" ht="15.75" customHeight="1" x14ac:dyDescent="0.3">
      <c r="A72" s="130" t="s">
        <v>83</v>
      </c>
      <c r="B72" s="130"/>
      <c r="C72" s="130"/>
      <c r="D72" s="126" t="str">
        <f ca="1">(IF(H78&gt;95%,"Nothing",IF(H78&gt;0%,"Cement, Aggregate, Steel, etc",IF(H78=0%,"Work not yet Started"))))</f>
        <v>Cement, Aggregate, Steel, etc</v>
      </c>
      <c r="E72" s="126"/>
      <c r="F72" s="126"/>
      <c r="G72" s="126"/>
      <c r="H72" s="126"/>
      <c r="J72" s="25"/>
    </row>
    <row r="73" spans="1:14" ht="33.75" customHeight="1" thickBot="1" x14ac:dyDescent="0.35">
      <c r="A73" s="125" t="s">
        <v>115</v>
      </c>
      <c r="B73" s="125"/>
      <c r="C73" s="125"/>
      <c r="D73" s="126" t="str">
        <f ca="1">(IF(D72="Nothing","Yes",IF(D72="Cement, Aggregate, Steel, etc","Under Construction",IF(D72="Work not yet Started","Work not yet Started"))))</f>
        <v>Under Construction</v>
      </c>
      <c r="E73" s="126"/>
      <c r="F73" s="126" t="str">
        <f ca="1">(IF(D72="Nothing","Yes",IF(D72="Cement, Aggregate, Steel, etc","Under Construction",IF(D72="Work not yet Started","Work not yet Started"))))</f>
        <v>Under Construction</v>
      </c>
      <c r="G73" s="126"/>
      <c r="H73" s="126"/>
    </row>
    <row r="74" spans="1:14" customFormat="1" x14ac:dyDescent="0.3">
      <c r="A74" s="194" t="s">
        <v>138</v>
      </c>
      <c r="B74" s="195"/>
      <c r="C74" s="134" t="str">
        <f>D63</f>
        <v>Building No.1 = Gr/Stilt + 1st to 7th Floor</v>
      </c>
      <c r="D74" s="135"/>
      <c r="E74" s="135"/>
      <c r="F74" s="135"/>
      <c r="G74" s="135"/>
      <c r="H74" s="136"/>
      <c r="I74" s="78" t="str">
        <f ca="1">IF(F87=100%,"All work Completed. Possession granted to the Building.",IF(F86=100%,"All work Completed, Waiting for OC",I75&amp;""&amp;I76&amp;""&amp;J75&amp;""&amp;J74&amp;" "&amp;J76))</f>
        <v>Excavation, Plinth Completed, RCC upto 7 Slab, Brickwork upto 0.5 Floor Completed</v>
      </c>
      <c r="J74" s="48" t="str">
        <f ca="1">(IF(E80=(D75+F75+H75),"",IF(E80&gt;0,", RCC upto "&amp;E80&amp;" Slab","")))&amp;(IF(E81=H75,"",IF(E81&gt;0,", Brickwork upto "&amp;E81&amp;" Floor","")))&amp;(IF(E82=H75,"",IF(E82&gt;0,", Internal Plaster upto "&amp;E82&amp;" Floor","")))&amp;(IF(E83=H75,"",IF(E83&gt;0,", External Plaster upto "&amp;E83&amp;" Floor","")))&amp;(IF(E84=H75,"",IF(E84&gt;0,", Flooring upto "&amp;E84&amp;" Floor","")))&amp;(IF(E85=H75,"",IF(E85&gt;0,", Painting upto "&amp;E85&amp;" Floor","")))&amp;(IF(E86=H75,"",IF(E86&gt;0,", Finishing upto "&amp;E86&amp;" Floor","")))&amp;(IF(E87=H75,"",IF(E87&gt;0,", Possession upto "&amp;E87&amp;" Floor","")))</f>
        <v>, RCC upto 7 Slab, Brickwork upto 0.5 Floor</v>
      </c>
    </row>
    <row r="75" spans="1:14" customFormat="1" x14ac:dyDescent="0.3">
      <c r="A75" s="15" t="s">
        <v>140</v>
      </c>
      <c r="B75" s="55">
        <v>0</v>
      </c>
      <c r="C75" s="55" t="s">
        <v>69</v>
      </c>
      <c r="D75" s="55">
        <v>1</v>
      </c>
      <c r="E75" s="55" t="s">
        <v>68</v>
      </c>
      <c r="F75" s="55">
        <v>0</v>
      </c>
      <c r="G75" s="55" t="s">
        <v>77</v>
      </c>
      <c r="H75" s="16">
        <f ca="1">--TRIM(RIGHT(SUBSTITUTE(LEFT(C74,_xlfn.AGGREGATE(16,6,FIND({0,1,2,3,4,5,6,7,8,9},C74,ROW(INDIRECT("1:"&amp;LEN(C74)))),1))," ",REPT(" ",LEN(C74))),LEN(C74)))</f>
        <v>7</v>
      </c>
      <c r="I75" s="79" t="str">
        <f ca="1">IF(F78=100%,"Excavation","")&amp;IF(F79=100%,", Plinth","")&amp;IF(F80=100%,", RCC Slab","")&amp;IF(F81=100%,", Brickwork","")&amp;IF(F82=100%,", Internal Plaster","")&amp;IF(F83=100%,", External Plaster","")&amp;IF(F84=100%,", Flooring","")&amp;IF(F85=100%,", Painting","")&amp;IF(F86=100%,", Building common Amenities","")</f>
        <v>Excavation, Plinth</v>
      </c>
      <c r="J75" s="50" t="str">
        <f ca="1">(IF(C78=0,"Work not yet Started.",IF(F78=25%,"Piling work in process",IF(F78=50%,"Excavation work in process",IF(F78=100%,"","0")))))&amp;(IF(C79=0%,"",IF(C79=J80,", Footing work is process",IF(C79=J81,", Footing work Completed",IF(C79=J82,", 1st Basement Completed",IF(C79=J83,", 1st &amp; 2nd Basement Completed",IF(C79=J84,", 1st to 3rd Basement Completed",IF(C79=J85,", 1st to 4th Basement Completed",IF(C79=J86,", Plinth work is process",IF(C79=J87,"","0"))))))))))</f>
        <v/>
      </c>
    </row>
    <row r="76" spans="1:14" customFormat="1" ht="36.75" customHeight="1" x14ac:dyDescent="0.3">
      <c r="A76" s="137" t="s">
        <v>87</v>
      </c>
      <c r="B76" s="138"/>
      <c r="C76" s="127" t="str">
        <f ca="1">I74</f>
        <v>Excavation, Plinth Completed, RCC upto 7 Slab, Brickwork upto 0.5 Floor Completed</v>
      </c>
      <c r="D76" s="128"/>
      <c r="E76" s="128"/>
      <c r="F76" s="128"/>
      <c r="G76" s="128"/>
      <c r="H76" s="129"/>
      <c r="I76" s="79" t="str">
        <f ca="1">IF(I75&lt;&gt;""," Completed","")</f>
        <v xml:space="preserve"> Completed</v>
      </c>
      <c r="J76" s="50" t="str">
        <f ca="1">IF(J74&lt;&gt;"","Completed","")</f>
        <v>Completed</v>
      </c>
    </row>
    <row r="77" spans="1:14" customFormat="1" ht="15.75" customHeight="1" x14ac:dyDescent="0.3">
      <c r="A77" s="91" t="s">
        <v>47</v>
      </c>
      <c r="B77" s="92"/>
      <c r="C77" s="83" t="s">
        <v>229</v>
      </c>
      <c r="D77" s="83" t="s">
        <v>230</v>
      </c>
      <c r="E77" s="84" t="s">
        <v>231</v>
      </c>
      <c r="F77" s="43" t="s">
        <v>80</v>
      </c>
      <c r="G77" s="85" t="s">
        <v>82</v>
      </c>
      <c r="H77" s="86" t="s">
        <v>81</v>
      </c>
      <c r="I77" s="13" t="s">
        <v>139</v>
      </c>
      <c r="J77" s="27">
        <f ca="1">H75*25%</f>
        <v>1.75</v>
      </c>
    </row>
    <row r="78" spans="1:14" customFormat="1" x14ac:dyDescent="0.3">
      <c r="A78" s="91" t="s">
        <v>126</v>
      </c>
      <c r="B78" s="92"/>
      <c r="C78" s="43">
        <f ca="1">J79</f>
        <v>7</v>
      </c>
      <c r="D78" s="43">
        <v>7</v>
      </c>
      <c r="E78" s="87">
        <f ca="1">(C78+D78)/2</f>
        <v>7</v>
      </c>
      <c r="F78" s="88">
        <f ca="1">((100/H75)*E78)/100</f>
        <v>1</v>
      </c>
      <c r="G78" s="188">
        <f ca="1">(((E79/H75*10)+(40/(D75+F75+H75)*E80)+(7.5/(H75)*E81)+(7.5/(H75)*E82)+(10/H75*E83)+(10/H75*E84)+(5/H75*E85)+(5/H75*E86)+(5/H75*E87))/100)</f>
        <v>0.45535714285714285</v>
      </c>
      <c r="H78" s="191">
        <f ca="1">((((E78/H75)*20)+((E79/H75)*25)+(30/(H75+F75+D75)*E80)+(5/H75*E81)+(5/H75*E82)+(5/H75*E83)+(5/H75*E84)+(0/H75*E85)+(0/H75*E86)+(5/H75*E87))/100)</f>
        <v>0.71607142857142858</v>
      </c>
      <c r="I78" s="13" t="s">
        <v>98</v>
      </c>
      <c r="J78" s="28">
        <f ca="1">H75*50%</f>
        <v>3.5</v>
      </c>
    </row>
    <row r="79" spans="1:14" customFormat="1" x14ac:dyDescent="0.3">
      <c r="A79" s="91" t="s">
        <v>48</v>
      </c>
      <c r="B79" s="92"/>
      <c r="C79" s="43">
        <f ca="1">J87</f>
        <v>7</v>
      </c>
      <c r="D79" s="43">
        <v>7</v>
      </c>
      <c r="E79" s="87">
        <f ca="1">(C79+D79)/2</f>
        <v>7</v>
      </c>
      <c r="F79" s="88">
        <f ca="1">((100/H75)*E79)/100</f>
        <v>1</v>
      </c>
      <c r="G79" s="189"/>
      <c r="H79" s="192"/>
      <c r="I79" s="13" t="s">
        <v>99</v>
      </c>
      <c r="J79" s="28">
        <f ca="1">H75</f>
        <v>7</v>
      </c>
    </row>
    <row r="80" spans="1:14" customFormat="1" x14ac:dyDescent="0.3">
      <c r="A80" s="91" t="s">
        <v>127</v>
      </c>
      <c r="B80" s="92"/>
      <c r="C80" s="43">
        <v>7</v>
      </c>
      <c r="D80" s="43">
        <v>7</v>
      </c>
      <c r="E80" s="87">
        <f>(C80+D80)/2</f>
        <v>7</v>
      </c>
      <c r="F80" s="88">
        <f ca="1">((100/(D75+F75+H75))*E80)/100</f>
        <v>0.875</v>
      </c>
      <c r="G80" s="189"/>
      <c r="H80" s="192"/>
      <c r="I80" s="13" t="s">
        <v>100</v>
      </c>
      <c r="J80" s="29">
        <f ca="1">(IF(B75&gt;1,(H75/(B75+2)),H75/4))</f>
        <v>1.75</v>
      </c>
    </row>
    <row r="81" spans="1:10" customFormat="1" x14ac:dyDescent="0.3">
      <c r="A81" s="91" t="s">
        <v>134</v>
      </c>
      <c r="B81" s="92" t="s">
        <v>128</v>
      </c>
      <c r="C81" s="43">
        <v>1</v>
      </c>
      <c r="D81" s="43">
        <v>0</v>
      </c>
      <c r="E81" s="87">
        <f t="shared" ref="E81:E85" si="0">(C81+D81)/2</f>
        <v>0.5</v>
      </c>
      <c r="F81" s="88">
        <f ca="1">((100/H75)*E81)/100</f>
        <v>7.1428571428571438E-2</v>
      </c>
      <c r="G81" s="189"/>
      <c r="H81" s="192"/>
      <c r="I81" s="13" t="s">
        <v>101</v>
      </c>
      <c r="J81" s="29">
        <f ca="1">(IF(B75&gt;1,(H75/(B75+2)+J80),H75/4+J80))</f>
        <v>3.5</v>
      </c>
    </row>
    <row r="82" spans="1:10" customFormat="1" x14ac:dyDescent="0.3">
      <c r="A82" s="91" t="s">
        <v>135</v>
      </c>
      <c r="B82" s="92" t="s">
        <v>128</v>
      </c>
      <c r="C82" s="43">
        <v>0</v>
      </c>
      <c r="D82" s="43">
        <v>0</v>
      </c>
      <c r="E82" s="87">
        <f t="shared" si="0"/>
        <v>0</v>
      </c>
      <c r="F82" s="88">
        <f ca="1">((100/H75)*E82)/100</f>
        <v>0</v>
      </c>
      <c r="G82" s="189"/>
      <c r="H82" s="192"/>
      <c r="I82" s="13" t="s">
        <v>144</v>
      </c>
      <c r="J82" s="29">
        <f>(IF(B75&gt;1,(H75/(B75+2)+J81),0))</f>
        <v>0</v>
      </c>
    </row>
    <row r="83" spans="1:10" customFormat="1" x14ac:dyDescent="0.3">
      <c r="A83" s="91" t="s">
        <v>133</v>
      </c>
      <c r="B83" s="92" t="s">
        <v>130</v>
      </c>
      <c r="C83" s="43">
        <v>0</v>
      </c>
      <c r="D83" s="43">
        <v>0</v>
      </c>
      <c r="E83" s="87">
        <f t="shared" si="0"/>
        <v>0</v>
      </c>
      <c r="F83" s="88">
        <f ca="1">((100/(H75))*E83)/100</f>
        <v>0</v>
      </c>
      <c r="G83" s="189"/>
      <c r="H83" s="192"/>
      <c r="I83" s="13" t="s">
        <v>141</v>
      </c>
      <c r="J83" s="29">
        <f>(IF(B75&gt;2,(H75/(B75+2)+J82),0))</f>
        <v>0</v>
      </c>
    </row>
    <row r="84" spans="1:10" customFormat="1" x14ac:dyDescent="0.3">
      <c r="A84" s="91" t="s">
        <v>129</v>
      </c>
      <c r="B84" s="92" t="s">
        <v>129</v>
      </c>
      <c r="C84" s="43">
        <v>0</v>
      </c>
      <c r="D84" s="43">
        <v>0</v>
      </c>
      <c r="E84" s="87">
        <f t="shared" si="0"/>
        <v>0</v>
      </c>
      <c r="F84" s="88">
        <f ca="1">((100/H75)*E84)/100</f>
        <v>0</v>
      </c>
      <c r="G84" s="189"/>
      <c r="H84" s="192"/>
      <c r="I84" s="13" t="s">
        <v>142</v>
      </c>
      <c r="J84" s="30">
        <f>(IF(B75&gt;3,(H75/(B75+2)+J83),0))</f>
        <v>0</v>
      </c>
    </row>
    <row r="85" spans="1:10" customFormat="1" x14ac:dyDescent="0.3">
      <c r="A85" s="91" t="s">
        <v>136</v>
      </c>
      <c r="B85" s="92"/>
      <c r="C85" s="43">
        <v>0</v>
      </c>
      <c r="D85" s="43">
        <v>0</v>
      </c>
      <c r="E85" s="87">
        <f t="shared" si="0"/>
        <v>0</v>
      </c>
      <c r="F85" s="88">
        <f ca="1">((100/H75)*E85)/100</f>
        <v>0</v>
      </c>
      <c r="G85" s="189"/>
      <c r="H85" s="192"/>
      <c r="I85" s="13" t="s">
        <v>143</v>
      </c>
      <c r="J85" s="29">
        <f>(IF(B75&gt;4,(H75/(B75+2)+J84),0))</f>
        <v>0</v>
      </c>
    </row>
    <row r="86" spans="1:10" customFormat="1" x14ac:dyDescent="0.3">
      <c r="A86" s="91" t="s">
        <v>131</v>
      </c>
      <c r="B86" s="92" t="s">
        <v>131</v>
      </c>
      <c r="C86" s="43">
        <v>0</v>
      </c>
      <c r="D86" s="43">
        <v>0</v>
      </c>
      <c r="E86" s="87">
        <f>(C86+D86)/2</f>
        <v>0</v>
      </c>
      <c r="F86" s="88">
        <f ca="1">((100/(H75))*E86)/100</f>
        <v>0</v>
      </c>
      <c r="G86" s="189"/>
      <c r="H86" s="192"/>
      <c r="I86" s="13" t="s">
        <v>145</v>
      </c>
      <c r="J86" s="29">
        <f ca="1">(IF(B75=1,(H75/(B75+3)+J81),IF(B75=0,(H75/4+J81),IF(B75&gt;1,0))))</f>
        <v>5.25</v>
      </c>
    </row>
    <row r="87" spans="1:10" customFormat="1" ht="16.2" thickBot="1" x14ac:dyDescent="0.35">
      <c r="A87" s="93" t="s">
        <v>132</v>
      </c>
      <c r="B87" s="94"/>
      <c r="C87" s="44">
        <v>0</v>
      </c>
      <c r="D87" s="44">
        <v>0</v>
      </c>
      <c r="E87" s="89">
        <f t="shared" ref="E87" si="1">(C87+D87)/2</f>
        <v>0</v>
      </c>
      <c r="F87" s="90">
        <f ca="1">((100/(H75))*E87)/100</f>
        <v>0</v>
      </c>
      <c r="G87" s="190"/>
      <c r="H87" s="193"/>
      <c r="I87" s="14" t="s">
        <v>102</v>
      </c>
      <c r="J87" s="31">
        <f ca="1">(IF(B75&gt;1.5,(H75/(B75+2)+J81+MAX(0,J82-J81)+MAX(0,J83-J82)+MAX(0,J84-J83)+MAX(0,J85-J84)+MAX(0,J86-J85)),IF(B75=1,(H75/(B75+3)+J86),IF(B75=0,H75/4+J86))))</f>
        <v>7</v>
      </c>
    </row>
    <row r="88" spans="1:10" x14ac:dyDescent="0.3">
      <c r="A88" s="109" t="s">
        <v>138</v>
      </c>
      <c r="B88" s="110"/>
      <c r="C88" s="120" t="str">
        <f>D64</f>
        <v xml:space="preserve">Building No.2 = Gr/Stilt + 1st to 5th Floor
</v>
      </c>
      <c r="D88" s="121"/>
      <c r="E88" s="121"/>
      <c r="F88" s="121"/>
      <c r="G88" s="121"/>
      <c r="H88" s="122"/>
      <c r="I88" s="47" t="str">
        <f>IF(D101=100%,"All work Completed. Possession granted to the Building.",IF(D100=100%,"All work Completed, Waiting for OC",I89&amp;""&amp;I90&amp;""&amp;J89&amp;""&amp;J88&amp;" "&amp;J90))</f>
        <v>All work Completed. Possession granted to the Building.</v>
      </c>
      <c r="J88" s="48" t="str">
        <f>(IF(C94=(D89+F89+H89),"",IF(C94&gt;0,", RCC upto "&amp;C94&amp;" Slab","")))&amp;(IF(C95=H89,"",IF(C95&gt;0,", Brickwork upto "&amp;C95&amp;" Floor","")))&amp;(IF(C96=H89,"",IF(C96&gt;0,", Internal Plaster upto "&amp;C96&amp;" Floor","")))&amp;(IF(C97=H89,"",IF(C97&gt;0,", External Plaster upto "&amp;C97&amp;" Floor","")))&amp;(IF(C98=H89,"",IF(C98&gt;0,", Flooring upto "&amp;C98&amp;" Floor","")))&amp;(IF(C99=H89,"",IF(C99&gt;0,", Painting upto "&amp;C99&amp;" Floor","")))&amp;(IF(C100=H89,"",IF(C100&gt;0,", Finishing upto "&amp;C100&amp;" Floor","")))&amp;(IF(C101=H89,"",IF(C101&gt;0,", Possession upto "&amp;C101&amp;" Floor","")))</f>
        <v/>
      </c>
    </row>
    <row r="89" spans="1:10" x14ac:dyDescent="0.3">
      <c r="A89" s="15" t="s">
        <v>140</v>
      </c>
      <c r="B89" s="55">
        <v>0</v>
      </c>
      <c r="C89" s="55" t="s">
        <v>69</v>
      </c>
      <c r="D89" s="55">
        <v>1</v>
      </c>
      <c r="E89" s="55" t="s">
        <v>68</v>
      </c>
      <c r="F89" s="55">
        <v>0</v>
      </c>
      <c r="G89" s="46" t="s">
        <v>77</v>
      </c>
      <c r="H89" s="16">
        <v>5</v>
      </c>
      <c r="I89" s="49" t="str">
        <f>IF(D92=100%,"Excavation","")&amp;IF(D93=100%,", Plinth","")&amp;IF(D94=100%,", RCC Slab","")&amp;IF(D95=100%,", Brickwork","")&amp;IF(D96=100%,", Internal Plaster","")&amp;IF(D97=100%,", External Plaster","")&amp;IF(D98=100%,", Flooring","")&amp;IF(D99=100%,", Painting","")&amp;IF(D100=100%,", Building common Amenities","")</f>
        <v>Excavation, Plinth, RCC Slab, Brickwork, Internal Plaster, External Plaster, Flooring, Painting, Building common Amenities</v>
      </c>
      <c r="J89" s="50" t="str">
        <f>(IF(C92=0,"Work not yet Started.",IF(D92=25%,"Piling work in process",IF(D92=50%,"Excavation work in process",IF(D92=100%,"","0")))))&amp;(IF(C93=0%,"",IF(C93=J94,", Footing work is process",IF(C93=J95,", Footing work Completed",IF(C93=J96,", 1st Basement Completed",IF(C93=J97,", 1st &amp; 2nd Basement Completed",IF(C93=J98,", 1st to 3rd Basement Completed",IF(C93=J99,", 1st to 4th Basement Completed",IF(C93=J100,", Plinth work is process",IF(C93=J101,"","0"))))))))))</f>
        <v/>
      </c>
    </row>
    <row r="90" spans="1:10" x14ac:dyDescent="0.3">
      <c r="A90" s="137" t="s">
        <v>87</v>
      </c>
      <c r="B90" s="138"/>
      <c r="C90" s="161" t="s">
        <v>267</v>
      </c>
      <c r="D90" s="161"/>
      <c r="E90" s="161"/>
      <c r="F90" s="161"/>
      <c r="G90" s="161"/>
      <c r="H90" s="162"/>
      <c r="I90" s="49" t="str">
        <f>IF(I89&lt;&gt;""," Completed","")</f>
        <v xml:space="preserve"> Completed</v>
      </c>
      <c r="J90" s="50" t="str">
        <f>IF(J88&lt;&gt;"","Completed","")</f>
        <v/>
      </c>
    </row>
    <row r="91" spans="1:10" ht="15.75" hidden="1" customHeight="1" x14ac:dyDescent="0.3">
      <c r="A91" s="91" t="s">
        <v>47</v>
      </c>
      <c r="B91" s="92"/>
      <c r="C91" s="43" t="s">
        <v>137</v>
      </c>
      <c r="D91" s="43" t="s">
        <v>80</v>
      </c>
      <c r="E91" s="92" t="s">
        <v>82</v>
      </c>
      <c r="F91" s="92"/>
      <c r="G91" s="92" t="s">
        <v>81</v>
      </c>
      <c r="H91" s="124"/>
      <c r="I91" s="13" t="s">
        <v>139</v>
      </c>
      <c r="J91" s="27">
        <f>H89*25%</f>
        <v>1.25</v>
      </c>
    </row>
    <row r="92" spans="1:10" hidden="1" x14ac:dyDescent="0.3">
      <c r="A92" s="91" t="s">
        <v>126</v>
      </c>
      <c r="B92" s="92"/>
      <c r="C92" s="43">
        <v>5</v>
      </c>
      <c r="D92" s="18">
        <f>((100/H89)*C92)/100</f>
        <v>1</v>
      </c>
      <c r="E92" s="111">
        <f>(((C93/H89*10)+(40/(D89+F89+H89)*C94)+(7.5/(H89)*C95)+(7.5/(H89)*C96)+(10/H89*C97)+(10/H89*C98)+(5/H89*C99)+(5/H89*C100)+(5/H89*C101))/100)</f>
        <v>1</v>
      </c>
      <c r="F92" s="112"/>
      <c r="G92" s="111">
        <f>((((C92/H89)*20)+((C93/H89)*25)+(30/(H89+F89+D89)*C94)+(5/H89*C95)+(5/H89*C96)+(5/H89*C97)+(5/H89*C98)+(0/H89*C99)+(0/H89*C100)+(5/H89*C101))/100)</f>
        <v>1</v>
      </c>
      <c r="H92" s="117"/>
      <c r="I92" s="13" t="s">
        <v>98</v>
      </c>
      <c r="J92" s="28">
        <f>H89*50%</f>
        <v>2.5</v>
      </c>
    </row>
    <row r="93" spans="1:10" hidden="1" x14ac:dyDescent="0.3">
      <c r="A93" s="91" t="s">
        <v>48</v>
      </c>
      <c r="B93" s="92"/>
      <c r="C93" s="76">
        <f>J101</f>
        <v>5</v>
      </c>
      <c r="D93" s="18">
        <f>((100/H89)*C93)/100</f>
        <v>1</v>
      </c>
      <c r="E93" s="113"/>
      <c r="F93" s="114"/>
      <c r="G93" s="113"/>
      <c r="H93" s="118"/>
      <c r="I93" s="13" t="s">
        <v>99</v>
      </c>
      <c r="J93" s="28">
        <f>H89</f>
        <v>5</v>
      </c>
    </row>
    <row r="94" spans="1:10" ht="15.75" hidden="1" customHeight="1" x14ac:dyDescent="0.3">
      <c r="A94" s="91" t="s">
        <v>127</v>
      </c>
      <c r="B94" s="92"/>
      <c r="C94" s="43">
        <v>6</v>
      </c>
      <c r="D94" s="18">
        <f>((100/(D89+F89+H89))*C94)/100</f>
        <v>1</v>
      </c>
      <c r="E94" s="113"/>
      <c r="F94" s="114"/>
      <c r="G94" s="113"/>
      <c r="H94" s="118"/>
      <c r="I94" s="13" t="s">
        <v>100</v>
      </c>
      <c r="J94" s="29">
        <f>(IF(B89&gt;1,(H89/(B89+2)),H89/4))</f>
        <v>1.25</v>
      </c>
    </row>
    <row r="95" spans="1:10" ht="15.75" hidden="1" customHeight="1" x14ac:dyDescent="0.3">
      <c r="A95" s="91" t="s">
        <v>134</v>
      </c>
      <c r="B95" s="92" t="s">
        <v>128</v>
      </c>
      <c r="C95" s="43">
        <v>5</v>
      </c>
      <c r="D95" s="18">
        <f>((100/H89)*C95)/100</f>
        <v>1</v>
      </c>
      <c r="E95" s="113"/>
      <c r="F95" s="114"/>
      <c r="G95" s="113"/>
      <c r="H95" s="118"/>
      <c r="I95" s="13" t="s">
        <v>101</v>
      </c>
      <c r="J95" s="29">
        <f>(IF(B89&gt;1,(H89/(B89+2)+J94),H89/4+J94))</f>
        <v>2.5</v>
      </c>
    </row>
    <row r="96" spans="1:10" ht="15.75" hidden="1" customHeight="1" x14ac:dyDescent="0.3">
      <c r="A96" s="91" t="s">
        <v>135</v>
      </c>
      <c r="B96" s="92" t="s">
        <v>128</v>
      </c>
      <c r="C96" s="43">
        <v>5</v>
      </c>
      <c r="D96" s="18">
        <f>((100/H89)*C96)/100</f>
        <v>1</v>
      </c>
      <c r="E96" s="113"/>
      <c r="F96" s="114"/>
      <c r="G96" s="113"/>
      <c r="H96" s="118"/>
      <c r="I96" s="13" t="s">
        <v>144</v>
      </c>
      <c r="J96" s="29">
        <f>(IF(B89&gt;1,(H89/(B89+2)+J95),0))</f>
        <v>0</v>
      </c>
    </row>
    <row r="97" spans="1:10" ht="15" hidden="1" customHeight="1" x14ac:dyDescent="0.3">
      <c r="A97" s="91" t="s">
        <v>133</v>
      </c>
      <c r="B97" s="92" t="s">
        <v>130</v>
      </c>
      <c r="C97" s="43">
        <v>5</v>
      </c>
      <c r="D97" s="18">
        <f>((100/(H89))*C97)/100</f>
        <v>1</v>
      </c>
      <c r="E97" s="113"/>
      <c r="F97" s="114"/>
      <c r="G97" s="113"/>
      <c r="H97" s="118"/>
      <c r="I97" s="13" t="s">
        <v>141</v>
      </c>
      <c r="J97" s="29">
        <f>(IF(B89&gt;2,(H89/(B89+2)+J96),0))</f>
        <v>0</v>
      </c>
    </row>
    <row r="98" spans="1:10" ht="15.75" hidden="1" customHeight="1" x14ac:dyDescent="0.3">
      <c r="A98" s="91" t="s">
        <v>129</v>
      </c>
      <c r="B98" s="92" t="s">
        <v>129</v>
      </c>
      <c r="C98" s="43">
        <v>5</v>
      </c>
      <c r="D98" s="18">
        <f>((100/H89)*C98)/100</f>
        <v>1</v>
      </c>
      <c r="E98" s="113"/>
      <c r="F98" s="114"/>
      <c r="G98" s="113"/>
      <c r="H98" s="118"/>
      <c r="I98" s="13" t="s">
        <v>142</v>
      </c>
      <c r="J98" s="30">
        <f>(IF(B89&gt;3,(H89/(B89+2)+J97),0))</f>
        <v>0</v>
      </c>
    </row>
    <row r="99" spans="1:10" ht="15.75" hidden="1" customHeight="1" x14ac:dyDescent="0.3">
      <c r="A99" s="91" t="s">
        <v>136</v>
      </c>
      <c r="B99" s="92"/>
      <c r="C99" s="43">
        <v>5</v>
      </c>
      <c r="D99" s="18">
        <f>((100/H89)*C99)/100</f>
        <v>1</v>
      </c>
      <c r="E99" s="113"/>
      <c r="F99" s="114"/>
      <c r="G99" s="113"/>
      <c r="H99" s="118"/>
      <c r="I99" s="13" t="s">
        <v>143</v>
      </c>
      <c r="J99" s="29">
        <f>(IF(B89&gt;4,(H89/(B89+2)+J98),0))</f>
        <v>0</v>
      </c>
    </row>
    <row r="100" spans="1:10" ht="15.75" hidden="1" customHeight="1" x14ac:dyDescent="0.3">
      <c r="A100" s="91" t="s">
        <v>131</v>
      </c>
      <c r="B100" s="92" t="s">
        <v>131</v>
      </c>
      <c r="C100" s="43">
        <v>5</v>
      </c>
      <c r="D100" s="18">
        <f>((100/(H89))*C100)/100</f>
        <v>1</v>
      </c>
      <c r="E100" s="113"/>
      <c r="F100" s="114"/>
      <c r="G100" s="113"/>
      <c r="H100" s="118"/>
      <c r="I100" s="13" t="s">
        <v>145</v>
      </c>
      <c r="J100" s="29">
        <f>(IF(B89=1,(H89/(B89+3)+J95),IF(B89=0,(H89/4+J95),IF(B89&gt;1,0))))</f>
        <v>3.75</v>
      </c>
    </row>
    <row r="101" spans="1:10" ht="16.2" hidden="1" thickBot="1" x14ac:dyDescent="0.35">
      <c r="A101" s="93" t="s">
        <v>132</v>
      </c>
      <c r="B101" s="94"/>
      <c r="C101" s="44">
        <v>5</v>
      </c>
      <c r="D101" s="19">
        <f>((100/(H89))*C101)/100</f>
        <v>1</v>
      </c>
      <c r="E101" s="115"/>
      <c r="F101" s="116"/>
      <c r="G101" s="115"/>
      <c r="H101" s="119"/>
      <c r="I101" s="14" t="s">
        <v>102</v>
      </c>
      <c r="J101" s="31">
        <f>(IF(B89&gt;1.5,(H89/(B89+2)+J95+MAX(0,J96-J95)+MAX(0,J97-J96)+MAX(0,J98-J97)+MAX(0,J99-J98)+MAX(0,J100-J99)),IF(B89=1,(H89/(B89+3)+J100),IF(B89=0,H89/4+J100))))</f>
        <v>5</v>
      </c>
    </row>
    <row r="102" spans="1:10" ht="30.9" customHeight="1" thickBot="1" x14ac:dyDescent="0.35">
      <c r="A102" s="95" t="s">
        <v>82</v>
      </c>
      <c r="B102" s="96"/>
      <c r="C102" s="97">
        <v>1</v>
      </c>
      <c r="D102" s="98"/>
      <c r="E102" s="99" t="s">
        <v>81</v>
      </c>
      <c r="F102" s="98"/>
      <c r="G102" s="97">
        <v>1</v>
      </c>
      <c r="H102" s="98"/>
      <c r="I102" s="49"/>
      <c r="J102" s="50"/>
    </row>
    <row r="103" spans="1:10" x14ac:dyDescent="0.3">
      <c r="A103" s="109" t="s">
        <v>138</v>
      </c>
      <c r="B103" s="110"/>
      <c r="C103" s="120" t="str">
        <f>D65</f>
        <v>Building No. 2 (Adjoint duplex house) = Gr/St + 1st Floor</v>
      </c>
      <c r="D103" s="121"/>
      <c r="E103" s="121"/>
      <c r="F103" s="121"/>
      <c r="G103" s="121"/>
      <c r="H103" s="122"/>
      <c r="I103" s="47" t="str">
        <f>IF(D117=100%,"All work Completed. Possession granted to the Building.",IF(D116=100%,"All work Completed, Waiting for OC",I104&amp;""&amp;I105&amp;""&amp;J104&amp;""&amp;J103&amp;" "&amp;J105))</f>
        <v>All work Completed. Possession granted to the Building.</v>
      </c>
      <c r="J103" s="48" t="str">
        <f>(IF(C110=(D104+F104+H104),"",IF(C110&gt;0,", RCC upto "&amp;C110&amp;" Slab","")))&amp;(IF(C111=H104,"",IF(C111&gt;0,", Brickwork upto "&amp;C111&amp;" Floor","")))&amp;(IF(C112=H104,"",IF(C112&gt;0,", Internal Plaster upto "&amp;C112&amp;" Floor","")))&amp;(IF(C113=H104,"",IF(C113&gt;0,", External Plaster upto "&amp;C113&amp;" Floor","")))&amp;(IF(C114=H104,"",IF(C114&gt;0,", Flooring upto "&amp;C114&amp;" Floor","")))&amp;(IF(C115=H104,"",IF(C115&gt;0,", Painting upto "&amp;C115&amp;" Floor","")))&amp;(IF(C116=H104,"",IF(C116&gt;0,", Finishing upto "&amp;C116&amp;" Floor","")))&amp;(IF(C117=H104,"",IF(C117&gt;0,", Possession upto "&amp;C117&amp;" Floor","")))</f>
        <v/>
      </c>
    </row>
    <row r="104" spans="1:10" x14ac:dyDescent="0.3">
      <c r="A104" s="15" t="s">
        <v>140</v>
      </c>
      <c r="B104" s="55">
        <v>0</v>
      </c>
      <c r="C104" s="55" t="s">
        <v>69</v>
      </c>
      <c r="D104" s="55">
        <v>1</v>
      </c>
      <c r="E104" s="55" t="s">
        <v>68</v>
      </c>
      <c r="F104" s="55">
        <v>0</v>
      </c>
      <c r="G104" s="46" t="s">
        <v>77</v>
      </c>
      <c r="H104" s="16">
        <v>1</v>
      </c>
      <c r="I104" s="49" t="str">
        <f>IF(D108=100%,"Excavation","")&amp;IF(D109=100%,", Plinth","")&amp;IF(D110=100%,", RCC Slab","")&amp;IF(D111=100%,", Brickwork","")&amp;IF(D112=100%,", Internal Plaster","")&amp;IF(D113=100%,", External Plaster","")&amp;IF(D114=100%,", Flooring","")&amp;IF(D115=100%,", Painting","")&amp;IF(D116=100%,", Building common Amenities","")</f>
        <v>Excavation, Plinth, RCC Slab, Brickwork, Internal Plaster, External Plaster, Flooring, Painting, Building common Amenities</v>
      </c>
      <c r="J104" s="50" t="str">
        <f>(IF(C108=0,"Work not yet Started.",IF(D108=25%,"Piling work in process",IF(D108=50%,"Excavation work in process",IF(D108=100%,"","0")))))&amp;(IF(C109=0%,"",IF(C109=J109,", Footing work is process",IF(C109=J110,", Footing work Completed",IF(C109=J111,", 1st Basement Completed",IF(C109=J112,", 1st &amp; 2nd Basement Completed",IF(C109=J113,", 1st to 3rd Basement Completed",IF(C109=J114,", 1st to 4th Basement Completed",IF(C109=J115,", Plinth work is process",IF(C109=J116,"","0"))))))))))</f>
        <v/>
      </c>
    </row>
    <row r="105" spans="1:10" x14ac:dyDescent="0.3">
      <c r="A105" s="137" t="s">
        <v>87</v>
      </c>
      <c r="B105" s="138"/>
      <c r="C105" s="161" t="s">
        <v>267</v>
      </c>
      <c r="D105" s="161"/>
      <c r="E105" s="161"/>
      <c r="F105" s="161"/>
      <c r="G105" s="161"/>
      <c r="H105" s="162"/>
      <c r="I105" s="49" t="str">
        <f>IF(I104&lt;&gt;""," Completed","")</f>
        <v xml:space="preserve"> Completed</v>
      </c>
      <c r="J105" s="50" t="str">
        <f>IF(J103&lt;&gt;"","Completed","")</f>
        <v/>
      </c>
    </row>
    <row r="106" spans="1:10" ht="34.200000000000003" customHeight="1" thickBot="1" x14ac:dyDescent="0.35">
      <c r="A106" s="95" t="s">
        <v>82</v>
      </c>
      <c r="B106" s="96"/>
      <c r="C106" s="97">
        <v>1</v>
      </c>
      <c r="D106" s="98"/>
      <c r="E106" s="99" t="s">
        <v>81</v>
      </c>
      <c r="F106" s="98"/>
      <c r="G106" s="97">
        <v>1</v>
      </c>
      <c r="H106" s="98"/>
      <c r="I106" s="13" t="s">
        <v>139</v>
      </c>
      <c r="J106" s="27">
        <f>H104*25%</f>
        <v>0.25</v>
      </c>
    </row>
    <row r="107" spans="1:10" hidden="1" x14ac:dyDescent="0.3">
      <c r="A107" s="91" t="s">
        <v>47</v>
      </c>
      <c r="B107" s="92"/>
      <c r="C107" s="43" t="s">
        <v>137</v>
      </c>
      <c r="D107" s="43" t="s">
        <v>80</v>
      </c>
      <c r="E107" s="92" t="s">
        <v>82</v>
      </c>
      <c r="F107" s="92"/>
      <c r="G107" s="92" t="s">
        <v>81</v>
      </c>
      <c r="H107" s="124"/>
      <c r="I107" s="13" t="s">
        <v>98</v>
      </c>
      <c r="J107" s="28">
        <f>H104*50%</f>
        <v>0.5</v>
      </c>
    </row>
    <row r="108" spans="1:10" hidden="1" x14ac:dyDescent="0.3">
      <c r="A108" s="91" t="s">
        <v>126</v>
      </c>
      <c r="B108" s="92"/>
      <c r="C108" s="76">
        <f>J116</f>
        <v>1</v>
      </c>
      <c r="D108" s="18">
        <f>((100/H104)*C108)/100</f>
        <v>1</v>
      </c>
      <c r="E108" s="111">
        <f>(((C109/H104*10)+(40/(D104+F104+H104)*C110)+(7.5/(H104)*C111)+(7.5/(H104)*C112)+(10/H104*C113)+(10/H104*C114)+(5/H104*C115)+(5/H104*C116)+(5/H104*C117))/100)</f>
        <v>1</v>
      </c>
      <c r="F108" s="112"/>
      <c r="G108" s="111">
        <f>((((C108/H104)*20)+((C109/H104)*25)+(30/(H104+F104+D104)*C110)+(5/H104*C111)+(5/H104*C112)+(5/H104*C113)+(5/H104*C114)+(0/H104*C115)+(0/H104*C116)+(5/H104*C117))/100)</f>
        <v>1</v>
      </c>
      <c r="H108" s="117"/>
      <c r="I108" s="13" t="s">
        <v>99</v>
      </c>
      <c r="J108" s="28">
        <f>H104</f>
        <v>1</v>
      </c>
    </row>
    <row r="109" spans="1:10" ht="15.75" hidden="1" customHeight="1" x14ac:dyDescent="0.3">
      <c r="A109" s="91" t="s">
        <v>48</v>
      </c>
      <c r="B109" s="92"/>
      <c r="C109" s="76">
        <f>J116</f>
        <v>1</v>
      </c>
      <c r="D109" s="18">
        <f>((100/H104)*C109)/100</f>
        <v>1</v>
      </c>
      <c r="E109" s="113"/>
      <c r="F109" s="114"/>
      <c r="G109" s="113"/>
      <c r="H109" s="118"/>
      <c r="I109" s="13" t="s">
        <v>100</v>
      </c>
      <c r="J109" s="29">
        <f>(IF(B104&gt;1,(H104/(B104+2)),H104/4))</f>
        <v>0.25</v>
      </c>
    </row>
    <row r="110" spans="1:10" ht="15.75" hidden="1" customHeight="1" x14ac:dyDescent="0.3">
      <c r="A110" s="91" t="s">
        <v>127</v>
      </c>
      <c r="B110" s="92"/>
      <c r="C110" s="43">
        <v>2</v>
      </c>
      <c r="D110" s="18">
        <f>((100/(D104+F104+H104))*C110)/100</f>
        <v>1</v>
      </c>
      <c r="E110" s="113"/>
      <c r="F110" s="114"/>
      <c r="G110" s="113"/>
      <c r="H110" s="118"/>
      <c r="I110" s="13" t="s">
        <v>101</v>
      </c>
      <c r="J110" s="29">
        <f>(IF(B104&gt;1,(H104/(B104+2)+J109),H104/4+J109))</f>
        <v>0.5</v>
      </c>
    </row>
    <row r="111" spans="1:10" ht="15.75" hidden="1" customHeight="1" x14ac:dyDescent="0.3">
      <c r="A111" s="91" t="s">
        <v>134</v>
      </c>
      <c r="B111" s="92" t="s">
        <v>128</v>
      </c>
      <c r="C111" s="43">
        <v>1</v>
      </c>
      <c r="D111" s="18">
        <f>((100/H104)*C111)/100</f>
        <v>1</v>
      </c>
      <c r="E111" s="113"/>
      <c r="F111" s="114"/>
      <c r="G111" s="113"/>
      <c r="H111" s="118"/>
      <c r="I111" s="13" t="s">
        <v>144</v>
      </c>
      <c r="J111" s="29">
        <f>(IF(B104&gt;1,(H104/(B104+2)+J110),0))</f>
        <v>0</v>
      </c>
    </row>
    <row r="112" spans="1:10" ht="15" hidden="1" customHeight="1" x14ac:dyDescent="0.3">
      <c r="A112" s="91" t="s">
        <v>135</v>
      </c>
      <c r="B112" s="92" t="s">
        <v>128</v>
      </c>
      <c r="C112" s="43">
        <v>1</v>
      </c>
      <c r="D112" s="18">
        <f>((100/H104)*C112)/100</f>
        <v>1</v>
      </c>
      <c r="E112" s="113"/>
      <c r="F112" s="114"/>
      <c r="G112" s="113"/>
      <c r="H112" s="118"/>
      <c r="I112" s="13" t="s">
        <v>141</v>
      </c>
      <c r="J112" s="29">
        <f>(IF(B104&gt;2,(H104/(B104+2)+J111),0))</f>
        <v>0</v>
      </c>
    </row>
    <row r="113" spans="1:10" ht="15.75" hidden="1" customHeight="1" x14ac:dyDescent="0.3">
      <c r="A113" s="91" t="s">
        <v>133</v>
      </c>
      <c r="B113" s="92" t="s">
        <v>130</v>
      </c>
      <c r="C113" s="43">
        <v>1</v>
      </c>
      <c r="D113" s="18">
        <f>((100/(H104))*C113)/100</f>
        <v>1</v>
      </c>
      <c r="E113" s="113"/>
      <c r="F113" s="114"/>
      <c r="G113" s="113"/>
      <c r="H113" s="118"/>
      <c r="I113" s="13" t="s">
        <v>142</v>
      </c>
      <c r="J113" s="30">
        <f>(IF(B104&gt;3,(H104/(B104+2)+J112),0))</f>
        <v>0</v>
      </c>
    </row>
    <row r="114" spans="1:10" ht="15.75" hidden="1" customHeight="1" x14ac:dyDescent="0.3">
      <c r="A114" s="91" t="s">
        <v>129</v>
      </c>
      <c r="B114" s="92" t="s">
        <v>129</v>
      </c>
      <c r="C114" s="43">
        <v>1</v>
      </c>
      <c r="D114" s="18">
        <f>((100/H104)*C114)/100</f>
        <v>1</v>
      </c>
      <c r="E114" s="113"/>
      <c r="F114" s="114"/>
      <c r="G114" s="113"/>
      <c r="H114" s="118"/>
      <c r="I114" s="13" t="s">
        <v>143</v>
      </c>
      <c r="J114" s="29">
        <f>(IF(B104&gt;4,(H104/(B104+2)+J113),0))</f>
        <v>0</v>
      </c>
    </row>
    <row r="115" spans="1:10" ht="15.75" hidden="1" customHeight="1" x14ac:dyDescent="0.3">
      <c r="A115" s="91" t="s">
        <v>136</v>
      </c>
      <c r="B115" s="92"/>
      <c r="C115" s="43">
        <v>1</v>
      </c>
      <c r="D115" s="18">
        <f>((100/H104)*C115)/100</f>
        <v>1</v>
      </c>
      <c r="E115" s="113"/>
      <c r="F115" s="114"/>
      <c r="G115" s="113"/>
      <c r="H115" s="118"/>
      <c r="I115" s="13" t="s">
        <v>145</v>
      </c>
      <c r="J115" s="29">
        <f>(IF(B104=1,(H104/(B104+3)+J110),IF(B104=0,(H104/4+J110),IF(B104&gt;1,0))))</f>
        <v>0.75</v>
      </c>
    </row>
    <row r="116" spans="1:10" ht="16.2" hidden="1" thickBot="1" x14ac:dyDescent="0.35">
      <c r="A116" s="91" t="s">
        <v>131</v>
      </c>
      <c r="B116" s="92" t="s">
        <v>131</v>
      </c>
      <c r="C116" s="43">
        <v>1</v>
      </c>
      <c r="D116" s="18">
        <f>((100/(H104))*C116)/100</f>
        <v>1</v>
      </c>
      <c r="E116" s="113"/>
      <c r="F116" s="114"/>
      <c r="G116" s="113"/>
      <c r="H116" s="118"/>
      <c r="I116" s="14" t="s">
        <v>102</v>
      </c>
      <c r="J116" s="31">
        <f>(IF(B104&gt;1.5,(H104/(B104+2)+J110+MAX(0,J111-J110)+MAX(0,J112-J111)+MAX(0,J113-J112)+MAX(0,J114-J113)+MAX(0,J115-J114)),IF(B104=1,(H104/(B104+3)+J115),IF(B104=0,H104/4+J115))))</f>
        <v>1</v>
      </c>
    </row>
    <row r="117" spans="1:10" ht="16.2" hidden="1" thickBot="1" x14ac:dyDescent="0.35">
      <c r="A117" s="93" t="s">
        <v>132</v>
      </c>
      <c r="B117" s="94"/>
      <c r="C117" s="44">
        <v>1</v>
      </c>
      <c r="D117" s="19">
        <f>((100/(H104))*C117)/100</f>
        <v>1</v>
      </c>
      <c r="E117" s="115"/>
      <c r="F117" s="116"/>
      <c r="G117" s="115"/>
      <c r="H117" s="119"/>
      <c r="I117" s="47" t="str">
        <f ca="1">IF(D132=100%,"All work Completed. Possession granted to the Building.",IF(D131=100%,"All work Completed, Waiting for OC",I118&amp;""&amp;I119&amp;""&amp;J118&amp;""&amp;J117&amp;" "&amp;J119))</f>
        <v>All work Completed. Possession granted to the Building.</v>
      </c>
      <c r="J117" s="48" t="str">
        <f ca="1">(IF(C125=(D119+F119+H119),"",IF(C125&gt;0,", RCC upto "&amp;C125&amp;" Slab","")))&amp;(IF(C126=H119,"",IF(C126&gt;0,", Brickwork upto "&amp;C126&amp;" Floor","")))&amp;(IF(C127=H119,"",IF(C127&gt;0,", Internal Plaster upto "&amp;C127&amp;" Floor","")))&amp;(IF(C128=H119,"",IF(C128&gt;0,", External Plaster upto "&amp;C128&amp;" Floor","")))&amp;(IF(C129=H119,"",IF(C129&gt;0,", Flooring upto "&amp;C129&amp;" Floor","")))&amp;(IF(C130=H119,"",IF(C130&gt;0,", Painting upto "&amp;C130&amp;" Floor","")))&amp;(IF(C131=H119,"",IF(C131&gt;0,", Finishing upto "&amp;C131&amp;" Floor","")))&amp;(IF(C132=H119,"",IF(C132&gt;0,", Possession upto "&amp;C132&amp;" Floor","")))</f>
        <v/>
      </c>
    </row>
    <row r="118" spans="1:10" x14ac:dyDescent="0.3">
      <c r="A118" s="109" t="s">
        <v>138</v>
      </c>
      <c r="B118" s="110"/>
      <c r="C118" s="120" t="str">
        <f>D66</f>
        <v>Building No.3 = Gr/Stilt + 1st to 6th Floor</v>
      </c>
      <c r="D118" s="121"/>
      <c r="E118" s="121"/>
      <c r="F118" s="121"/>
      <c r="G118" s="121"/>
      <c r="H118" s="122"/>
      <c r="I118" s="49" t="str">
        <f ca="1">IF(D123=100%,"Excavation","")&amp;IF(D124=100%,", Plinth","")&amp;IF(D125=100%,", RCC Slab","")&amp;IF(D126=100%,", Brickwork","")&amp;IF(D127=100%,", Internal Plaster","")&amp;IF(D128=100%,", External Plaster","")&amp;IF(D129=100%,", Flooring","")&amp;IF(D130=100%,", Painting","")&amp;IF(D131=100%,", Building common Amenities","")</f>
        <v>Excavation, Plinth, RCC Slab, Brickwork, Internal Plaster, External Plaster, Flooring, Painting, Building common Amenities</v>
      </c>
      <c r="J118" s="50" t="str">
        <f ca="1">(IF(C123=0,"Work not yet Started.",IF(D123=25%,"Piling work in process",IF(D123=50%,"Excavation work in process",IF(D123=100%,"","0")))))&amp;(IF(C124=0%,"",IF(C124=J124,", Footing work is process",IF(C124=J125,", Footing work Completed",IF(C124=J126,", 1st Basement Completed",IF(C124=J127,", 1st &amp; 2nd Basement Completed",IF(C124=J128,", 1st to 3rd Basement Completed",IF(C124=J129,", 1st to 4th Basement Completed",IF(C124=J130,", Plinth work is process",IF(C124=J131,"","0"))))))))))</f>
        <v/>
      </c>
    </row>
    <row r="119" spans="1:10" x14ac:dyDescent="0.3">
      <c r="A119" s="15" t="s">
        <v>140</v>
      </c>
      <c r="B119" s="55">
        <v>0</v>
      </c>
      <c r="C119" s="55" t="s">
        <v>69</v>
      </c>
      <c r="D119" s="55">
        <v>1</v>
      </c>
      <c r="E119" s="55" t="s">
        <v>68</v>
      </c>
      <c r="F119" s="55">
        <v>0</v>
      </c>
      <c r="G119" s="46" t="s">
        <v>77</v>
      </c>
      <c r="H119" s="16">
        <f ca="1">--TRIM(RIGHT(SUBSTITUTE(LEFT(C118,_xlfn.AGGREGATE(16,6,FIND({0,1,2,3,4,5,6,7,8,9},C118,ROW(INDIRECT("1:"&amp;LEN(C118)))),1))," ",REPT(" ",LEN(C118))),LEN(C118)))</f>
        <v>6</v>
      </c>
      <c r="I119" s="49" t="str">
        <f ca="1">IF(I118&lt;&gt;""," Completed","")</f>
        <v xml:space="preserve"> Completed</v>
      </c>
      <c r="J119" s="50" t="str">
        <f ca="1">IF(J117&lt;&gt;"","Completed","")</f>
        <v/>
      </c>
    </row>
    <row r="120" spans="1:10" x14ac:dyDescent="0.3">
      <c r="A120" s="137" t="s">
        <v>87</v>
      </c>
      <c r="B120" s="138"/>
      <c r="C120" s="161" t="s">
        <v>267</v>
      </c>
      <c r="D120" s="161"/>
      <c r="E120" s="161"/>
      <c r="F120" s="161"/>
      <c r="G120" s="161"/>
      <c r="H120" s="162"/>
      <c r="I120" s="49"/>
      <c r="J120" s="50"/>
    </row>
    <row r="121" spans="1:10" ht="26.4" customHeight="1" x14ac:dyDescent="0.3">
      <c r="A121" s="95" t="s">
        <v>82</v>
      </c>
      <c r="B121" s="96"/>
      <c r="C121" s="97">
        <f ca="1">E123</f>
        <v>1</v>
      </c>
      <c r="D121" s="98"/>
      <c r="E121" s="99" t="s">
        <v>81</v>
      </c>
      <c r="F121" s="98"/>
      <c r="G121" s="97">
        <f ca="1">G123</f>
        <v>1</v>
      </c>
      <c r="H121" s="123"/>
      <c r="I121" s="13" t="s">
        <v>139</v>
      </c>
      <c r="J121" s="27">
        <f ca="1">H119*25%</f>
        <v>1.5</v>
      </c>
    </row>
    <row r="122" spans="1:10" hidden="1" x14ac:dyDescent="0.3">
      <c r="A122" s="91" t="s">
        <v>47</v>
      </c>
      <c r="B122" s="92"/>
      <c r="C122" s="43" t="s">
        <v>137</v>
      </c>
      <c r="D122" s="43" t="s">
        <v>80</v>
      </c>
      <c r="E122" s="92" t="s">
        <v>82</v>
      </c>
      <c r="F122" s="92"/>
      <c r="G122" s="92" t="s">
        <v>81</v>
      </c>
      <c r="H122" s="124"/>
      <c r="I122" s="13" t="s">
        <v>98</v>
      </c>
      <c r="J122" s="28">
        <f ca="1">H119*50%</f>
        <v>3</v>
      </c>
    </row>
    <row r="123" spans="1:10" hidden="1" x14ac:dyDescent="0.3">
      <c r="A123" s="91" t="s">
        <v>126</v>
      </c>
      <c r="B123" s="92"/>
      <c r="C123" s="43">
        <f ca="1">J123</f>
        <v>6</v>
      </c>
      <c r="D123" s="18">
        <f ca="1">((100/H119)*C123)/100</f>
        <v>1</v>
      </c>
      <c r="E123" s="111">
        <f ca="1">(((C124/H119*10)+(40/(D119+F119+H119)*C125)+(7.5/(H119)*C126)+(7.5/(H119)*C127)+(10/H119*C128)+(10/H119*C129)+(5/H119*C130)+(5/H119*C131)+(5/H119*C132))/100)</f>
        <v>1</v>
      </c>
      <c r="F123" s="112"/>
      <c r="G123" s="111">
        <f ca="1">((((C123/H119)*20)+((C124/H119)*25)+(30/(H119+F119+D119)*C125)+(5/H119*C126)+(5/H119*C127)+(5/H119*C128)+(5/H119*C129)+(0/H119*C130)+(0/H119*C131)+(5/H119*C132))/100)</f>
        <v>1</v>
      </c>
      <c r="H123" s="117"/>
      <c r="I123" s="13" t="s">
        <v>99</v>
      </c>
      <c r="J123" s="28">
        <f ca="1">H119</f>
        <v>6</v>
      </c>
    </row>
    <row r="124" spans="1:10" ht="15.75" hidden="1" customHeight="1" x14ac:dyDescent="0.3">
      <c r="A124" s="91" t="s">
        <v>48</v>
      </c>
      <c r="B124" s="92"/>
      <c r="C124" s="76">
        <f ca="1">J131</f>
        <v>6</v>
      </c>
      <c r="D124" s="18">
        <f ca="1">((100/H119)*C124)/100</f>
        <v>1</v>
      </c>
      <c r="E124" s="113"/>
      <c r="F124" s="114"/>
      <c r="G124" s="113"/>
      <c r="H124" s="118"/>
      <c r="I124" s="13" t="s">
        <v>100</v>
      </c>
      <c r="J124" s="29">
        <f ca="1">(IF(B119&gt;1,(H119/(B119+2)),H119/4))</f>
        <v>1.5</v>
      </c>
    </row>
    <row r="125" spans="1:10" ht="15.75" hidden="1" customHeight="1" x14ac:dyDescent="0.3">
      <c r="A125" s="91" t="s">
        <v>127</v>
      </c>
      <c r="B125" s="92"/>
      <c r="C125" s="43">
        <v>7</v>
      </c>
      <c r="D125" s="18">
        <f ca="1">((100/(D119+F119+H119))*C125)/100</f>
        <v>1</v>
      </c>
      <c r="E125" s="113"/>
      <c r="F125" s="114"/>
      <c r="G125" s="113"/>
      <c r="H125" s="118"/>
      <c r="I125" s="13" t="s">
        <v>101</v>
      </c>
      <c r="J125" s="29">
        <f ca="1">(IF(B119&gt;1,(H119/(B119+2)+J124),H119/4+J124))</f>
        <v>3</v>
      </c>
    </row>
    <row r="126" spans="1:10" ht="15.75" hidden="1" customHeight="1" x14ac:dyDescent="0.3">
      <c r="A126" s="91" t="s">
        <v>134</v>
      </c>
      <c r="B126" s="92" t="s">
        <v>128</v>
      </c>
      <c r="C126" s="43">
        <v>6</v>
      </c>
      <c r="D126" s="18">
        <f ca="1">((100/H119)*C126)/100</f>
        <v>1</v>
      </c>
      <c r="E126" s="113"/>
      <c r="F126" s="114"/>
      <c r="G126" s="113"/>
      <c r="H126" s="118"/>
      <c r="I126" s="13" t="s">
        <v>144</v>
      </c>
      <c r="J126" s="29">
        <f>(IF(B119&gt;1,(H119/(B119+2)+J125),0))</f>
        <v>0</v>
      </c>
    </row>
    <row r="127" spans="1:10" ht="15" hidden="1" customHeight="1" x14ac:dyDescent="0.3">
      <c r="A127" s="91" t="s">
        <v>135</v>
      </c>
      <c r="B127" s="92" t="s">
        <v>128</v>
      </c>
      <c r="C127" s="43">
        <v>6</v>
      </c>
      <c r="D127" s="18">
        <f ca="1">((100/H119)*C127)/100</f>
        <v>1</v>
      </c>
      <c r="E127" s="113"/>
      <c r="F127" s="114"/>
      <c r="G127" s="113"/>
      <c r="H127" s="118"/>
      <c r="I127" s="13" t="s">
        <v>141</v>
      </c>
      <c r="J127" s="29">
        <f>(IF(B119&gt;2,(H119/(B119+2)+J126),0))</f>
        <v>0</v>
      </c>
    </row>
    <row r="128" spans="1:10" ht="15.75" hidden="1" customHeight="1" x14ac:dyDescent="0.3">
      <c r="A128" s="91" t="s">
        <v>133</v>
      </c>
      <c r="B128" s="92" t="s">
        <v>130</v>
      </c>
      <c r="C128" s="43">
        <v>6</v>
      </c>
      <c r="D128" s="18">
        <f ca="1">((100/(H119))*C128)/100</f>
        <v>1</v>
      </c>
      <c r="E128" s="113"/>
      <c r="F128" s="114"/>
      <c r="G128" s="113"/>
      <c r="H128" s="118"/>
      <c r="I128" s="13" t="s">
        <v>142</v>
      </c>
      <c r="J128" s="30">
        <f>(IF(B119&gt;3,(H119/(B119+2)+J127),0))</f>
        <v>0</v>
      </c>
    </row>
    <row r="129" spans="1:13" ht="15.75" hidden="1" customHeight="1" x14ac:dyDescent="0.3">
      <c r="A129" s="91" t="s">
        <v>129</v>
      </c>
      <c r="B129" s="92" t="s">
        <v>129</v>
      </c>
      <c r="C129" s="43">
        <v>6</v>
      </c>
      <c r="D129" s="18">
        <f ca="1">((100/H119)*C129)/100</f>
        <v>1</v>
      </c>
      <c r="E129" s="113"/>
      <c r="F129" s="114"/>
      <c r="G129" s="113"/>
      <c r="H129" s="118"/>
      <c r="I129" s="13" t="s">
        <v>143</v>
      </c>
      <c r="J129" s="29">
        <f>(IF(B119&gt;4,(H119/(B119+2)+J128),0))</f>
        <v>0</v>
      </c>
    </row>
    <row r="130" spans="1:13" ht="15.75" hidden="1" customHeight="1" x14ac:dyDescent="0.3">
      <c r="A130" s="91" t="s">
        <v>136</v>
      </c>
      <c r="B130" s="92"/>
      <c r="C130" s="43">
        <v>6</v>
      </c>
      <c r="D130" s="18">
        <f ca="1">((100/H119)*C130)/100</f>
        <v>1</v>
      </c>
      <c r="E130" s="113"/>
      <c r="F130" s="114"/>
      <c r="G130" s="113"/>
      <c r="H130" s="118"/>
      <c r="I130" s="13" t="s">
        <v>145</v>
      </c>
      <c r="J130" s="29">
        <f ca="1">(IF(B119=1,(H119/(B119+3)+J125),IF(B119=0,(H119/4+J125),IF(B119&gt;1,0))))</f>
        <v>4.5</v>
      </c>
    </row>
    <row r="131" spans="1:13" ht="16.2" hidden="1" thickBot="1" x14ac:dyDescent="0.35">
      <c r="A131" s="91" t="s">
        <v>131</v>
      </c>
      <c r="B131" s="92" t="s">
        <v>131</v>
      </c>
      <c r="C131" s="43">
        <v>6</v>
      </c>
      <c r="D131" s="18">
        <f ca="1">((100/(H119))*C131)/100</f>
        <v>1</v>
      </c>
      <c r="E131" s="113"/>
      <c r="F131" s="114"/>
      <c r="G131" s="113"/>
      <c r="H131" s="118"/>
      <c r="I131" s="14" t="s">
        <v>102</v>
      </c>
      <c r="J131" s="31">
        <f ca="1">(IF(B119&gt;1.5,(H119/(B119+2)+J125+MAX(0,J126-J125)+MAX(0,J127-J126)+MAX(0,J128-J127)+MAX(0,J129-J128)+MAX(0,J130-J129)),IF(B119=1,(H119/(B119+3)+J130),IF(B119=0,H119/4+J130))))</f>
        <v>6</v>
      </c>
    </row>
    <row r="132" spans="1:13" ht="16.2" hidden="1" thickBot="1" x14ac:dyDescent="0.35">
      <c r="A132" s="93" t="s">
        <v>132</v>
      </c>
      <c r="B132" s="94"/>
      <c r="C132" s="44">
        <v>6</v>
      </c>
      <c r="D132" s="19">
        <f ca="1">((100/(H119))*C132)/100</f>
        <v>1</v>
      </c>
      <c r="E132" s="115"/>
      <c r="F132" s="116"/>
      <c r="G132" s="115"/>
      <c r="H132" s="119"/>
    </row>
    <row r="133" spans="1:13" x14ac:dyDescent="0.3">
      <c r="A133" s="160" t="s">
        <v>155</v>
      </c>
      <c r="B133" s="160"/>
      <c r="C133" s="160"/>
      <c r="D133" s="160"/>
      <c r="E133" s="160"/>
      <c r="F133" s="168" t="s">
        <v>160</v>
      </c>
      <c r="G133" s="168"/>
      <c r="H133" s="168"/>
      <c r="I133" s="80" t="s">
        <v>236</v>
      </c>
      <c r="J133" s="80" t="s">
        <v>237</v>
      </c>
      <c r="K133" s="80" t="s">
        <v>198</v>
      </c>
      <c r="L133" s="81">
        <v>44922</v>
      </c>
      <c r="M133" s="75" t="s">
        <v>205</v>
      </c>
    </row>
    <row r="134" spans="1:13" x14ac:dyDescent="0.3">
      <c r="A134" s="132" t="s">
        <v>158</v>
      </c>
      <c r="B134" s="132"/>
      <c r="C134" s="132"/>
      <c r="D134" s="132"/>
      <c r="E134" s="132"/>
      <c r="F134" s="221">
        <v>3800</v>
      </c>
      <c r="G134" s="221"/>
      <c r="H134" s="221"/>
      <c r="I134" s="20" t="s">
        <v>243</v>
      </c>
      <c r="J134" s="20" t="s">
        <v>244</v>
      </c>
      <c r="K134" s="24">
        <v>45258</v>
      </c>
      <c r="L134" s="20" t="s">
        <v>245</v>
      </c>
      <c r="M134" s="75">
        <v>3800</v>
      </c>
    </row>
    <row r="135" spans="1:13" x14ac:dyDescent="0.3">
      <c r="A135" s="132" t="s">
        <v>157</v>
      </c>
      <c r="B135" s="132"/>
      <c r="C135" s="132"/>
      <c r="D135" s="132"/>
      <c r="E135" s="132"/>
      <c r="F135" s="157">
        <v>8000</v>
      </c>
      <c r="G135" s="157"/>
      <c r="H135" s="157"/>
      <c r="J135" s="36"/>
      <c r="K135" s="36"/>
      <c r="L135" s="36"/>
    </row>
    <row r="136" spans="1:13" s="32" customFormat="1" x14ac:dyDescent="0.25">
      <c r="A136" s="132" t="s">
        <v>159</v>
      </c>
      <c r="B136" s="132"/>
      <c r="C136" s="132"/>
      <c r="D136" s="132"/>
      <c r="E136" s="132"/>
      <c r="F136" s="157">
        <v>6000</v>
      </c>
      <c r="G136" s="157"/>
      <c r="H136" s="157"/>
      <c r="J136" s="74"/>
      <c r="K136" s="74"/>
      <c r="L136" s="74"/>
    </row>
    <row r="137" spans="1:13" s="32" customFormat="1" hidden="1" x14ac:dyDescent="0.25">
      <c r="A137" s="132" t="s">
        <v>156</v>
      </c>
      <c r="B137" s="132"/>
      <c r="C137" s="132"/>
      <c r="D137" s="132"/>
      <c r="E137" s="132"/>
      <c r="F137" s="157"/>
      <c r="G137" s="157"/>
      <c r="H137" s="157"/>
      <c r="J137" s="74"/>
      <c r="K137" s="74"/>
      <c r="L137" s="74"/>
    </row>
    <row r="138" spans="1:13" s="32" customFormat="1" x14ac:dyDescent="0.25">
      <c r="A138" s="132" t="s">
        <v>92</v>
      </c>
      <c r="B138" s="132"/>
      <c r="C138" s="132"/>
      <c r="D138" s="132"/>
      <c r="E138" s="132"/>
      <c r="F138" s="157">
        <v>150000</v>
      </c>
      <c r="G138" s="157"/>
      <c r="H138" s="157"/>
      <c r="J138" s="74"/>
      <c r="K138" s="74"/>
      <c r="L138" s="74"/>
    </row>
    <row r="139" spans="1:13" s="32" customFormat="1" x14ac:dyDescent="0.25">
      <c r="A139" s="132" t="s">
        <v>93</v>
      </c>
      <c r="B139" s="132"/>
      <c r="C139" s="132"/>
      <c r="D139" s="132"/>
      <c r="E139" s="132"/>
      <c r="F139" s="157">
        <v>70000</v>
      </c>
      <c r="G139" s="157"/>
      <c r="H139" s="157"/>
    </row>
    <row r="140" spans="1:13" s="32" customFormat="1" x14ac:dyDescent="0.25">
      <c r="A140" s="132" t="s">
        <v>235</v>
      </c>
      <c r="B140" s="132"/>
      <c r="C140" s="132"/>
      <c r="D140" s="132"/>
      <c r="E140" s="132"/>
      <c r="F140" s="157">
        <v>40000</v>
      </c>
      <c r="G140" s="157"/>
      <c r="H140" s="157"/>
    </row>
    <row r="141" spans="1:13" s="32" customFormat="1" hidden="1" x14ac:dyDescent="0.25">
      <c r="A141" s="132" t="s">
        <v>94</v>
      </c>
      <c r="B141" s="132"/>
      <c r="C141" s="132"/>
      <c r="D141" s="132"/>
      <c r="E141" s="132"/>
      <c r="F141" s="157"/>
      <c r="G141" s="157"/>
      <c r="H141" s="157"/>
    </row>
    <row r="142" spans="1:13" s="32" customFormat="1" hidden="1" x14ac:dyDescent="0.25">
      <c r="A142" s="132" t="s">
        <v>95</v>
      </c>
      <c r="B142" s="132"/>
      <c r="C142" s="132"/>
      <c r="D142" s="132"/>
      <c r="E142" s="132"/>
      <c r="F142" s="157"/>
      <c r="G142" s="157"/>
      <c r="H142" s="157"/>
    </row>
    <row r="143" spans="1:13" s="32" customFormat="1" hidden="1" x14ac:dyDescent="0.25">
      <c r="A143" s="132" t="s">
        <v>96</v>
      </c>
      <c r="B143" s="132"/>
      <c r="C143" s="132"/>
      <c r="D143" s="132"/>
      <c r="E143" s="132"/>
      <c r="F143" s="157"/>
      <c r="G143" s="157"/>
      <c r="H143" s="157"/>
    </row>
    <row r="144" spans="1:13" hidden="1" x14ac:dyDescent="0.3">
      <c r="A144" s="132" t="s">
        <v>97</v>
      </c>
      <c r="B144" s="132"/>
      <c r="C144" s="132"/>
      <c r="D144" s="132"/>
      <c r="E144" s="132"/>
      <c r="F144" s="157"/>
      <c r="G144" s="157"/>
      <c r="H144" s="157"/>
      <c r="J144" s="75" t="s">
        <v>197</v>
      </c>
      <c r="K144" s="75" t="s">
        <v>198</v>
      </c>
      <c r="L144" s="75" t="s">
        <v>199</v>
      </c>
    </row>
    <row r="145" spans="1:12" s="33" customFormat="1" x14ac:dyDescent="0.3">
      <c r="A145" s="132" t="s">
        <v>49</v>
      </c>
      <c r="B145" s="132"/>
      <c r="C145" s="132"/>
      <c r="D145" s="132"/>
      <c r="E145" s="132"/>
      <c r="F145" s="157">
        <v>100000</v>
      </c>
      <c r="G145" s="157"/>
      <c r="H145" s="157"/>
      <c r="I145" s="20">
        <f>AVERAGE(J145,M134)</f>
        <v>3400</v>
      </c>
      <c r="J145" s="75">
        <v>3000</v>
      </c>
      <c r="K145" s="75"/>
      <c r="L145" s="75"/>
    </row>
    <row r="146" spans="1:12" s="34" customFormat="1" ht="15.75" customHeight="1" x14ac:dyDescent="0.3">
      <c r="A146" s="197" t="s">
        <v>50</v>
      </c>
      <c r="B146" s="197"/>
      <c r="C146" s="197"/>
      <c r="D146" s="197"/>
      <c r="E146" s="197"/>
      <c r="F146" s="157">
        <f>F134*0.8</f>
        <v>3040</v>
      </c>
      <c r="G146" s="157"/>
      <c r="H146" s="157"/>
    </row>
    <row r="147" spans="1:12" s="34" customFormat="1" ht="15.75" customHeight="1" x14ac:dyDescent="0.3">
      <c r="A147" s="155" t="s">
        <v>72</v>
      </c>
      <c r="B147" s="155"/>
      <c r="C147" s="155"/>
      <c r="D147" s="155"/>
      <c r="E147" s="155"/>
      <c r="F147" s="155"/>
      <c r="G147" s="155"/>
      <c r="H147" s="155"/>
    </row>
    <row r="148" spans="1:12" s="34" customFormat="1" ht="15.75" customHeight="1" x14ac:dyDescent="0.3">
      <c r="A148" s="105" t="s">
        <v>51</v>
      </c>
      <c r="B148" s="105"/>
      <c r="C148" s="103" t="s">
        <v>75</v>
      </c>
      <c r="D148" s="103"/>
      <c r="E148" s="156" t="s">
        <v>52</v>
      </c>
      <c r="F148" s="156"/>
      <c r="G148" s="105" t="s">
        <v>53</v>
      </c>
      <c r="H148" s="105"/>
    </row>
    <row r="149" spans="1:12" s="34" customFormat="1" x14ac:dyDescent="0.3">
      <c r="A149" s="222" t="s">
        <v>214</v>
      </c>
      <c r="B149" s="45" t="s">
        <v>194</v>
      </c>
      <c r="C149" s="158">
        <f>COUNT(D165:D173)</f>
        <v>9</v>
      </c>
      <c r="D149" s="159"/>
      <c r="E149" s="153">
        <f>SUM(D165:D173)</f>
        <v>1813.5187199999996</v>
      </c>
      <c r="F149" s="154"/>
      <c r="G149" s="153">
        <f>SUM(F165:F173)</f>
        <v>2771</v>
      </c>
      <c r="H149" s="154"/>
    </row>
    <row r="150" spans="1:12" s="34" customFormat="1" ht="31.2" x14ac:dyDescent="0.3">
      <c r="A150" s="223"/>
      <c r="B150" s="41" t="s">
        <v>192</v>
      </c>
      <c r="C150" s="158">
        <f>COUNT(D175)</f>
        <v>1</v>
      </c>
      <c r="D150" s="159"/>
      <c r="E150" s="153">
        <f>SUM(D175)</f>
        <v>654.45119999999997</v>
      </c>
      <c r="F150" s="154"/>
      <c r="G150" s="153">
        <f>SUM(F175)</f>
        <v>982</v>
      </c>
      <c r="H150" s="154"/>
      <c r="J150" s="34" t="s">
        <v>225</v>
      </c>
    </row>
    <row r="151" spans="1:12" s="34" customFormat="1" x14ac:dyDescent="0.3">
      <c r="A151" s="155" t="s">
        <v>148</v>
      </c>
      <c r="B151" s="155"/>
      <c r="C151" s="102">
        <f>SUM(C149:C150)</f>
        <v>10</v>
      </c>
      <c r="D151" s="103"/>
      <c r="E151" s="104">
        <f>SUM(E149:E150)</f>
        <v>2467.9699199999995</v>
      </c>
      <c r="F151" s="156"/>
      <c r="G151" s="105">
        <f>SUM(G149:G150)</f>
        <v>3753</v>
      </c>
      <c r="H151" s="105"/>
      <c r="J151" s="34" t="s">
        <v>197</v>
      </c>
    </row>
    <row r="152" spans="1:12" s="34" customFormat="1" ht="15.75" customHeight="1" x14ac:dyDescent="0.3">
      <c r="A152" s="155" t="s">
        <v>67</v>
      </c>
      <c r="B152" s="155"/>
      <c r="C152" s="155"/>
      <c r="D152" s="155"/>
      <c r="E152" s="155"/>
      <c r="F152" s="155"/>
      <c r="G152" s="155"/>
      <c r="H152" s="155"/>
      <c r="J152" s="34">
        <v>3000</v>
      </c>
    </row>
    <row r="153" spans="1:12" s="34" customFormat="1" x14ac:dyDescent="0.3">
      <c r="A153" s="105" t="s">
        <v>51</v>
      </c>
      <c r="B153" s="105"/>
      <c r="C153" s="103" t="s">
        <v>75</v>
      </c>
      <c r="D153" s="103"/>
      <c r="E153" s="156" t="s">
        <v>52</v>
      </c>
      <c r="F153" s="156"/>
      <c r="G153" s="105" t="s">
        <v>53</v>
      </c>
      <c r="H153" s="105"/>
    </row>
    <row r="154" spans="1:12" s="34" customFormat="1" ht="15.75" customHeight="1" x14ac:dyDescent="0.3">
      <c r="A154" s="213" t="s">
        <v>214</v>
      </c>
      <c r="B154" s="213"/>
      <c r="C154" s="159">
        <f>COUNT(D181:D192)+COUNT(D194:D205)*6</f>
        <v>84</v>
      </c>
      <c r="D154" s="159"/>
      <c r="E154" s="224">
        <f>SUM(D181:D192)+SUM(D194:D205)*6</f>
        <v>41427.161918999998</v>
      </c>
      <c r="F154" s="224"/>
      <c r="G154" s="224">
        <f>SUM(F181:F192)+SUM(F194:F205)*6</f>
        <v>60216.665006549993</v>
      </c>
      <c r="H154" s="224"/>
    </row>
    <row r="155" spans="1:12" s="34" customFormat="1" x14ac:dyDescent="0.3">
      <c r="A155" s="222" t="s">
        <v>217</v>
      </c>
      <c r="B155" s="45" t="s">
        <v>219</v>
      </c>
      <c r="C155" s="159">
        <f>COUNT(D209:D210)*5</f>
        <v>10</v>
      </c>
      <c r="D155" s="159"/>
      <c r="E155" s="224">
        <f>SUM(D209:D210)*5</f>
        <v>4493.8354500000005</v>
      </c>
      <c r="F155" s="224"/>
      <c r="G155" s="224">
        <f>SUM(F209:F210)*5</f>
        <v>7160</v>
      </c>
      <c r="H155" s="224"/>
    </row>
    <row r="156" spans="1:12" s="34" customFormat="1" x14ac:dyDescent="0.3">
      <c r="A156" s="223"/>
      <c r="B156" s="77" t="s">
        <v>220</v>
      </c>
      <c r="C156" s="158">
        <f>COUNT(D212)</f>
        <v>1</v>
      </c>
      <c r="D156" s="159"/>
      <c r="E156" s="153">
        <f>SUM(D212)</f>
        <v>838.19268</v>
      </c>
      <c r="F156" s="153"/>
      <c r="G156" s="153">
        <f>SUM(F212)</f>
        <v>1103</v>
      </c>
      <c r="H156" s="153"/>
    </row>
    <row r="157" spans="1:12" s="34" customFormat="1" x14ac:dyDescent="0.3">
      <c r="A157" s="213" t="s">
        <v>218</v>
      </c>
      <c r="B157" s="213"/>
      <c r="C157" s="159">
        <f>COUNT(D216:D221)*5+COUNT(D223:D228)</f>
        <v>36</v>
      </c>
      <c r="D157" s="159"/>
      <c r="E157" s="224">
        <f>SUM(D216:D221)*5+SUM(D223:D228)</f>
        <v>12913.355519999997</v>
      </c>
      <c r="F157" s="224"/>
      <c r="G157" s="224">
        <f>SUM(F216:F221)*5+SUM(F223:F228)</f>
        <v>22442</v>
      </c>
      <c r="H157" s="224"/>
    </row>
    <row r="158" spans="1:12" s="34" customFormat="1" x14ac:dyDescent="0.3">
      <c r="A158" s="155" t="s">
        <v>148</v>
      </c>
      <c r="B158" s="155"/>
      <c r="C158" s="103">
        <f>SUM(C154:C157)</f>
        <v>131</v>
      </c>
      <c r="D158" s="103"/>
      <c r="E158" s="104">
        <f>SUM(E154:E157)</f>
        <v>59672.545568999994</v>
      </c>
      <c r="F158" s="104"/>
      <c r="G158" s="105">
        <f>SUM(G154:G157)</f>
        <v>90921.66500655</v>
      </c>
      <c r="H158" s="105"/>
    </row>
    <row r="159" spans="1:12" s="33" customFormat="1" x14ac:dyDescent="0.3">
      <c r="A159" s="155" t="s">
        <v>239</v>
      </c>
      <c r="B159" s="155"/>
      <c r="C159" s="102">
        <f>C158+C151</f>
        <v>141</v>
      </c>
      <c r="D159" s="103"/>
      <c r="E159" s="104">
        <f>E158+E151</f>
        <v>62140.515488999998</v>
      </c>
      <c r="F159" s="104"/>
      <c r="G159" s="105">
        <f>G158+G151</f>
        <v>94674.66500655</v>
      </c>
      <c r="H159" s="105"/>
    </row>
    <row r="160" spans="1:12" x14ac:dyDescent="0.3">
      <c r="A160" s="150" t="s">
        <v>268</v>
      </c>
      <c r="B160" s="150"/>
      <c r="C160" s="150"/>
      <c r="D160" s="150"/>
      <c r="E160" s="150"/>
      <c r="F160" s="150"/>
      <c r="G160" s="150"/>
      <c r="H160" s="150"/>
    </row>
    <row r="161" spans="1:14" x14ac:dyDescent="0.3">
      <c r="A161" s="150" t="s">
        <v>269</v>
      </c>
      <c r="B161" s="150"/>
      <c r="C161" s="150"/>
      <c r="D161" s="150"/>
      <c r="E161" s="150"/>
      <c r="F161" s="150"/>
      <c r="G161" s="150"/>
      <c r="H161" s="150"/>
    </row>
    <row r="162" spans="1:14" s="36" customFormat="1" ht="46.8" x14ac:dyDescent="0.3">
      <c r="A162" s="42" t="s">
        <v>117</v>
      </c>
      <c r="B162" s="42" t="s">
        <v>116</v>
      </c>
      <c r="C162" s="42" t="s">
        <v>54</v>
      </c>
      <c r="D162" s="42" t="s">
        <v>55</v>
      </c>
      <c r="E162" s="54" t="s">
        <v>154</v>
      </c>
      <c r="F162" s="42" t="s">
        <v>221</v>
      </c>
      <c r="G162" s="219" t="s">
        <v>57</v>
      </c>
      <c r="H162" s="220"/>
      <c r="J162" s="35"/>
    </row>
    <row r="163" spans="1:14" s="36" customFormat="1" x14ac:dyDescent="0.3">
      <c r="A163" s="147" t="s">
        <v>214</v>
      </c>
      <c r="B163" s="148"/>
      <c r="C163" s="148"/>
      <c r="D163" s="148"/>
      <c r="E163" s="148"/>
      <c r="F163" s="148"/>
      <c r="G163" s="148"/>
      <c r="H163" s="149"/>
      <c r="J163" s="35"/>
    </row>
    <row r="164" spans="1:14" s="36" customFormat="1" ht="15.75" customHeight="1" x14ac:dyDescent="0.3">
      <c r="A164" s="147" t="s">
        <v>212</v>
      </c>
      <c r="B164" s="148"/>
      <c r="C164" s="148"/>
      <c r="D164" s="148"/>
      <c r="E164" s="148"/>
      <c r="F164" s="148"/>
      <c r="G164" s="148"/>
      <c r="H164" s="149"/>
      <c r="I164" s="57">
        <f>2.75*8.71</f>
        <v>23.952500000000001</v>
      </c>
      <c r="J164" s="58">
        <v>387</v>
      </c>
      <c r="K164" s="56">
        <f t="shared" ref="K164:K172" si="2">J164/D165</f>
        <v>1.5018035613001288</v>
      </c>
      <c r="L164" s="140"/>
      <c r="M164" s="140"/>
      <c r="N164" s="35"/>
    </row>
    <row r="165" spans="1:14" s="36" customFormat="1" x14ac:dyDescent="0.3">
      <c r="A165" s="100">
        <v>1</v>
      </c>
      <c r="B165" s="101"/>
      <c r="C165" s="41" t="s">
        <v>191</v>
      </c>
      <c r="D165" s="58">
        <f>(23.94)*10.764</f>
        <v>257.69015999999999</v>
      </c>
      <c r="E165" s="41">
        <v>0</v>
      </c>
      <c r="F165" s="58">
        <v>387</v>
      </c>
      <c r="G165" s="141" t="str">
        <f>A164</f>
        <v>Ground Floor for Commercial &amp; Parking</v>
      </c>
      <c r="H165" s="142"/>
      <c r="I165" s="56"/>
      <c r="J165" s="61">
        <v>399</v>
      </c>
      <c r="K165" s="56">
        <f t="shared" si="2"/>
        <v>1.4995147434995473</v>
      </c>
      <c r="L165" s="140"/>
      <c r="M165" s="140"/>
      <c r="N165" s="35"/>
    </row>
    <row r="166" spans="1:14" s="36" customFormat="1" x14ac:dyDescent="0.3">
      <c r="A166" s="100">
        <f t="shared" ref="A166:A173" si="3">A165+1</f>
        <v>2</v>
      </c>
      <c r="B166" s="101"/>
      <c r="C166" s="41" t="s">
        <v>191</v>
      </c>
      <c r="D166" s="58">
        <f>(24.72)*10.764</f>
        <v>266.08607999999998</v>
      </c>
      <c r="E166" s="41">
        <v>0</v>
      </c>
      <c r="F166" s="61">
        <v>399</v>
      </c>
      <c r="G166" s="143"/>
      <c r="H166" s="144"/>
      <c r="I166" s="35"/>
      <c r="J166" s="61">
        <v>411</v>
      </c>
      <c r="K166" s="56">
        <f t="shared" si="2"/>
        <v>1.6917515135619199</v>
      </c>
      <c r="L166" s="140"/>
      <c r="M166" s="140"/>
      <c r="N166" s="35"/>
    </row>
    <row r="167" spans="1:14" s="36" customFormat="1" x14ac:dyDescent="0.3">
      <c r="A167" s="100">
        <f t="shared" si="3"/>
        <v>3</v>
      </c>
      <c r="B167" s="101"/>
      <c r="C167" s="41" t="s">
        <v>191</v>
      </c>
      <c r="D167" s="58">
        <f>(22.57)*10.764</f>
        <v>242.94347999999999</v>
      </c>
      <c r="E167" s="41">
        <v>0</v>
      </c>
      <c r="F167" s="61">
        <v>411</v>
      </c>
      <c r="G167" s="143"/>
      <c r="H167" s="144"/>
      <c r="I167" s="35"/>
      <c r="J167" s="61">
        <v>413</v>
      </c>
      <c r="K167" s="56">
        <f t="shared" si="2"/>
        <v>1.5028843006158696</v>
      </c>
      <c r="L167" s="140"/>
      <c r="M167" s="140"/>
      <c r="N167" s="35"/>
    </row>
    <row r="168" spans="1:14" s="36" customFormat="1" x14ac:dyDescent="0.3">
      <c r="A168" s="100">
        <f t="shared" si="3"/>
        <v>4</v>
      </c>
      <c r="B168" s="101"/>
      <c r="C168" s="41" t="s">
        <v>191</v>
      </c>
      <c r="D168" s="58">
        <f>(25.53)*10.764</f>
        <v>274.80491999999998</v>
      </c>
      <c r="E168" s="41">
        <v>0</v>
      </c>
      <c r="F168" s="61">
        <v>413</v>
      </c>
      <c r="G168" s="143"/>
      <c r="H168" s="144"/>
      <c r="I168" s="35"/>
      <c r="J168" s="61">
        <v>281</v>
      </c>
      <c r="K168" s="56">
        <f t="shared" si="2"/>
        <v>1.506378359786624</v>
      </c>
      <c r="L168" s="140"/>
      <c r="M168" s="140"/>
      <c r="N168" s="35"/>
    </row>
    <row r="169" spans="1:14" s="36" customFormat="1" x14ac:dyDescent="0.3">
      <c r="A169" s="100">
        <f t="shared" si="3"/>
        <v>5</v>
      </c>
      <c r="B169" s="101"/>
      <c r="C169" s="41" t="s">
        <v>191</v>
      </c>
      <c r="D169" s="58">
        <f>(17.33)*10.764</f>
        <v>186.54011999999997</v>
      </c>
      <c r="E169" s="41">
        <v>0</v>
      </c>
      <c r="F169" s="61">
        <v>281</v>
      </c>
      <c r="G169" s="143"/>
      <c r="H169" s="144"/>
      <c r="I169" s="35"/>
      <c r="J169" s="61">
        <v>293</v>
      </c>
      <c r="K169" s="56">
        <f t="shared" si="2"/>
        <v>1.5013990169269675</v>
      </c>
      <c r="L169" s="140"/>
      <c r="M169" s="140"/>
      <c r="N169" s="35"/>
    </row>
    <row r="170" spans="1:14" s="36" customFormat="1" x14ac:dyDescent="0.3">
      <c r="A170" s="100">
        <f t="shared" si="3"/>
        <v>6</v>
      </c>
      <c r="B170" s="101"/>
      <c r="C170" s="41" t="s">
        <v>191</v>
      </c>
      <c r="D170" s="58">
        <f>(18.13)*10.764</f>
        <v>195.15131999999997</v>
      </c>
      <c r="E170" s="41">
        <v>0</v>
      </c>
      <c r="F170" s="61">
        <v>293</v>
      </c>
      <c r="G170" s="143"/>
      <c r="H170" s="144"/>
      <c r="I170" s="35"/>
      <c r="J170" s="61">
        <v>245</v>
      </c>
      <c r="K170" s="56">
        <f t="shared" si="2"/>
        <v>1.5063570727829929</v>
      </c>
      <c r="L170" s="140"/>
      <c r="M170" s="140"/>
      <c r="N170" s="35"/>
    </row>
    <row r="171" spans="1:14" s="36" customFormat="1" x14ac:dyDescent="0.3">
      <c r="A171" s="100">
        <f t="shared" si="3"/>
        <v>7</v>
      </c>
      <c r="B171" s="101"/>
      <c r="C171" s="41" t="s">
        <v>191</v>
      </c>
      <c r="D171" s="58">
        <f>(15.11)*10.764</f>
        <v>162.64403999999999</v>
      </c>
      <c r="E171" s="41">
        <v>0</v>
      </c>
      <c r="F171" s="61">
        <v>245</v>
      </c>
      <c r="G171" s="143"/>
      <c r="H171" s="144"/>
      <c r="I171" s="35"/>
      <c r="J171" s="61">
        <v>195</v>
      </c>
      <c r="K171" s="56">
        <f t="shared" si="2"/>
        <v>1.4984236583114565</v>
      </c>
      <c r="L171" s="140"/>
      <c r="M171" s="140"/>
      <c r="N171" s="35"/>
    </row>
    <row r="172" spans="1:14" s="36" customFormat="1" x14ac:dyDescent="0.3">
      <c r="A172" s="100">
        <f t="shared" si="3"/>
        <v>8</v>
      </c>
      <c r="B172" s="101"/>
      <c r="C172" s="41" t="s">
        <v>191</v>
      </c>
      <c r="D172" s="58">
        <f>(12.09)*10.764</f>
        <v>130.13675999999998</v>
      </c>
      <c r="E172" s="41">
        <v>0</v>
      </c>
      <c r="F172" s="61">
        <v>195</v>
      </c>
      <c r="G172" s="143"/>
      <c r="H172" s="144"/>
      <c r="I172" s="35"/>
      <c r="J172" s="61">
        <v>147</v>
      </c>
      <c r="K172" s="56">
        <f t="shared" si="2"/>
        <v>1.507354660248412</v>
      </c>
      <c r="L172" s="140"/>
      <c r="M172" s="140"/>
      <c r="N172" s="35"/>
    </row>
    <row r="173" spans="1:14" s="36" customFormat="1" x14ac:dyDescent="0.3">
      <c r="A173" s="100">
        <f t="shared" si="3"/>
        <v>9</v>
      </c>
      <c r="B173" s="101"/>
      <c r="C173" s="41" t="s">
        <v>191</v>
      </c>
      <c r="D173" s="58">
        <f>(9.06)*10.764</f>
        <v>97.521839999999997</v>
      </c>
      <c r="E173" s="41">
        <v>0</v>
      </c>
      <c r="F173" s="61">
        <v>147</v>
      </c>
      <c r="G173" s="145"/>
      <c r="H173" s="146"/>
      <c r="J173" s="35"/>
    </row>
    <row r="174" spans="1:14" s="36" customFormat="1" x14ac:dyDescent="0.3">
      <c r="A174" s="147" t="s">
        <v>189</v>
      </c>
      <c r="B174" s="148"/>
      <c r="C174" s="148"/>
      <c r="D174" s="148"/>
      <c r="E174" s="148"/>
      <c r="F174" s="148"/>
      <c r="G174" s="148"/>
      <c r="H174" s="149"/>
      <c r="I174" s="35"/>
      <c r="J174" s="35">
        <f>D175*1.5</f>
        <v>981.67679999999996</v>
      </c>
      <c r="K174" s="36">
        <f>(7.93*5.2+0.5*7.93*3)*10.764</f>
        <v>571.90208399999995</v>
      </c>
      <c r="L174" s="140">
        <f>F175/D175</f>
        <v>1.5004938488920183</v>
      </c>
      <c r="M174" s="140"/>
      <c r="N174" s="35"/>
    </row>
    <row r="175" spans="1:14" s="36" customFormat="1" ht="61.2" customHeight="1" x14ac:dyDescent="0.3">
      <c r="A175" s="100">
        <v>1</v>
      </c>
      <c r="B175" s="101"/>
      <c r="C175" s="41" t="s">
        <v>192</v>
      </c>
      <c r="D175" s="58">
        <f>(60.8)*10.764</f>
        <v>654.45119999999997</v>
      </c>
      <c r="E175" s="41">
        <v>0</v>
      </c>
      <c r="F175" s="41">
        <v>982</v>
      </c>
      <c r="G175" s="100" t="str">
        <f>A174</f>
        <v>1st Floor</v>
      </c>
      <c r="H175" s="101"/>
      <c r="I175" s="35"/>
      <c r="N175" s="35"/>
    </row>
    <row r="176" spans="1:14" x14ac:dyDescent="0.3">
      <c r="A176" s="100"/>
      <c r="B176" s="225"/>
      <c r="C176" s="225"/>
      <c r="D176" s="225"/>
      <c r="E176" s="225"/>
      <c r="F176" s="225"/>
      <c r="G176" s="225"/>
      <c r="H176" s="101"/>
      <c r="I176" s="35"/>
    </row>
    <row r="177" spans="1:23" s="36" customFormat="1" ht="46.8" x14ac:dyDescent="0.3">
      <c r="A177" s="53" t="s">
        <v>118</v>
      </c>
      <c r="B177" s="53" t="s">
        <v>119</v>
      </c>
      <c r="C177" s="42" t="s">
        <v>54</v>
      </c>
      <c r="D177" s="42" t="s">
        <v>55</v>
      </c>
      <c r="E177" s="54" t="s">
        <v>56</v>
      </c>
      <c r="F177" s="42" t="s">
        <v>213</v>
      </c>
      <c r="G177" s="219" t="s">
        <v>57</v>
      </c>
      <c r="H177" s="220"/>
      <c r="J177" s="35"/>
    </row>
    <row r="178" spans="1:23" s="36" customFormat="1" x14ac:dyDescent="0.3">
      <c r="A178" s="147" t="s">
        <v>214</v>
      </c>
      <c r="B178" s="148"/>
      <c r="C178" s="148"/>
      <c r="D178" s="148"/>
      <c r="E178" s="148"/>
      <c r="F178" s="148"/>
      <c r="G178" s="148"/>
      <c r="H178" s="149"/>
      <c r="J178" s="58">
        <v>10.763999999999999</v>
      </c>
    </row>
    <row r="179" spans="1:23" s="36" customFormat="1" x14ac:dyDescent="0.3">
      <c r="A179" s="147" t="s">
        <v>212</v>
      </c>
      <c r="B179" s="148"/>
      <c r="C179" s="148"/>
      <c r="D179" s="148"/>
      <c r="E179" s="148"/>
      <c r="F179" s="148"/>
      <c r="G179" s="148"/>
      <c r="H179" s="149"/>
      <c r="L179" s="36">
        <f>(4.85*2.75+2.55*2.1+2.75*2.75+3.35*2.75+1.8*1.2+1.8*1.2+0.9*1.89+1.8*0.6+3.05*1.2+0.75*(2.1+2.75))*10.764</f>
        <v>536.75762399999985</v>
      </c>
      <c r="R179" s="35"/>
      <c r="T179" s="65"/>
      <c r="U179" s="67" t="s">
        <v>201</v>
      </c>
      <c r="V179" s="66" t="s">
        <v>111</v>
      </c>
      <c r="W179" s="67" t="s">
        <v>204</v>
      </c>
    </row>
    <row r="180" spans="1:23" s="36" customFormat="1" ht="15.75" customHeight="1" x14ac:dyDescent="0.3">
      <c r="A180" s="147" t="s">
        <v>186</v>
      </c>
      <c r="B180" s="148"/>
      <c r="C180" s="148"/>
      <c r="D180" s="148"/>
      <c r="E180" s="148"/>
      <c r="F180" s="148"/>
      <c r="G180" s="148"/>
      <c r="H180" s="149"/>
      <c r="I180" s="36">
        <f>4.85*2.75+2.55*2.1+2.75*2.75+3.35*2.75+1.8*1.2+1.8*1.2+0.9*3.2+1.15*2.1+1.2*2.75+1.15*2.75</f>
        <v>51.544999999999995</v>
      </c>
      <c r="L180" s="36">
        <f>(4.27*2.75+2.1*2.4+2.75*3.35+1.2*1.8+0.9*0.9+0.75*(2.1+2.75))*10.764</f>
        <v>350.93330999999995</v>
      </c>
      <c r="Q180" s="57">
        <f>2400000/F181</f>
        <v>2656.0599237663491</v>
      </c>
      <c r="R180" s="58">
        <f t="shared" ref="R180:R227" si="4">3500*F181</f>
        <v>3162579.2493749997</v>
      </c>
      <c r="S180" s="57">
        <f t="shared" ref="S180:S227" si="5">F181/D181</f>
        <v>1.45</v>
      </c>
      <c r="T180" s="70" t="s">
        <v>202</v>
      </c>
      <c r="U180" s="71">
        <f>2400000/F181</f>
        <v>2656.0599237663491</v>
      </c>
      <c r="V180" s="35">
        <f>AVERAGE(U180,U185:U187,U190,U215,U208)</f>
        <v>2915.9624801047089</v>
      </c>
      <c r="W180" s="35">
        <f>AVERAGE(V180:V184)</f>
        <v>2969.6863411454419</v>
      </c>
    </row>
    <row r="181" spans="1:23" s="36" customFormat="1" x14ac:dyDescent="0.3">
      <c r="A181" s="100">
        <v>1</v>
      </c>
      <c r="B181" s="101"/>
      <c r="C181" s="52">
        <v>2</v>
      </c>
      <c r="D181" s="58">
        <f>(45.03+6.47+0.75*(2.75+2.1*2.75))*10.764</f>
        <v>623.16832499999998</v>
      </c>
      <c r="E181" s="58">
        <v>0</v>
      </c>
      <c r="F181" s="58">
        <f>D181*1.45+E181/3</f>
        <v>903.59407124999996</v>
      </c>
      <c r="G181" s="141" t="str">
        <f>A180</f>
        <v>1st Floor for Residential</v>
      </c>
      <c r="H181" s="142"/>
      <c r="I181" s="36">
        <f>4.27*2.75+2.1*2.4+2.75*3.35+1.2*1.8+1.4*0.9+1.35*2.1</f>
        <v>32.25</v>
      </c>
      <c r="L181" s="36">
        <f>(4.27*2.75+2.3*2.13+3.35*2.75+1.5*1.2+1*1.2+0.9*0.9+1.3*1.2+0.75*(2.75+2.13+2.75))*10.764</f>
        <v>397.69212599999997</v>
      </c>
      <c r="Q181" s="35">
        <v>802</v>
      </c>
      <c r="R181" s="58">
        <f t="shared" si="4"/>
        <v>2285877.7987499996</v>
      </c>
      <c r="S181" s="56">
        <f t="shared" si="5"/>
        <v>1.6351198095623076</v>
      </c>
      <c r="T181" s="35"/>
      <c r="U181" s="35"/>
      <c r="V181" s="35"/>
    </row>
    <row r="182" spans="1:23" s="36" customFormat="1" x14ac:dyDescent="0.3">
      <c r="A182" s="100">
        <f t="shared" ref="A182:A192" si="6">A181+1</f>
        <v>2</v>
      </c>
      <c r="B182" s="101"/>
      <c r="C182" s="52">
        <v>1</v>
      </c>
      <c r="D182" s="58">
        <f>(33.47+0.75*(2.75+2.1))*10.764</f>
        <v>399.42512999999997</v>
      </c>
      <c r="E182" s="58">
        <f>(2.8*0.7+4.36*2.8+2.8*2.3)*10.764</f>
        <v>221.82451199999994</v>
      </c>
      <c r="F182" s="58">
        <f t="shared" ref="F182:F205" si="7">D182*1.45+E182/3</f>
        <v>653.10794249999992</v>
      </c>
      <c r="G182" s="143"/>
      <c r="H182" s="144"/>
      <c r="L182" s="36">
        <f>(2.75*4.27+2.13*2.3+2.75*3.35+1.2*1.8+1.8*1.2+1.2*1.8+0.9*0.9+0.75*(2.75+2.13+2.75))*10.764</f>
        <v>418.35900600000002</v>
      </c>
      <c r="Q182" s="35">
        <v>855</v>
      </c>
      <c r="R182" s="58">
        <f t="shared" si="4"/>
        <v>2387286.7882499993</v>
      </c>
      <c r="S182" s="56">
        <f t="shared" si="5"/>
        <v>1.6246896566459414</v>
      </c>
      <c r="T182" s="59" t="s">
        <v>203</v>
      </c>
      <c r="U182" s="35">
        <f>1750000/F183</f>
        <v>2565.6741494765824</v>
      </c>
      <c r="V182" s="35">
        <f>AVERAGE(U182:U183,U189,U191,U209,U217:U220,U222:U227)</f>
        <v>3031.4824687511018</v>
      </c>
    </row>
    <row r="183" spans="1:23" s="36" customFormat="1" x14ac:dyDescent="0.3">
      <c r="A183" s="100">
        <f t="shared" si="6"/>
        <v>3</v>
      </c>
      <c r="B183" s="101"/>
      <c r="C183" s="72">
        <v>1</v>
      </c>
      <c r="D183" s="58">
        <f>(33.28+0.75*(2.75+2.13+2.75))*10.764</f>
        <v>419.82290999999992</v>
      </c>
      <c r="E183" s="73">
        <f>(3.15*2.8+2.8*4.15)*10.764</f>
        <v>220.01615999999996</v>
      </c>
      <c r="F183" s="58">
        <f t="shared" si="7"/>
        <v>682.08193949999986</v>
      </c>
      <c r="G183" s="143"/>
      <c r="H183" s="144"/>
      <c r="I183" s="56">
        <f>2.75*4.27+2.13*2.3+2.75*3.35+1.8*1.2+1.2*1.8+2*1.2+0.9*1.1</f>
        <v>33.564</v>
      </c>
      <c r="L183" s="36">
        <f>(2.75*4.27+2.13*2.38+0.9*1.2+1.08*1.5+1.08*0.9+0.75*(2.13+2.75))*10.764</f>
        <v>259.8849396</v>
      </c>
      <c r="Q183" s="57">
        <f>1750000/F184</f>
        <v>2761.6607257821138</v>
      </c>
      <c r="R183" s="58">
        <f t="shared" si="4"/>
        <v>2217868.38</v>
      </c>
      <c r="S183" s="56">
        <f t="shared" si="5"/>
        <v>1.45</v>
      </c>
      <c r="U183" s="35">
        <f>1750000/F184</f>
        <v>2761.6607257821138</v>
      </c>
    </row>
    <row r="184" spans="1:23" s="36" customFormat="1" x14ac:dyDescent="0.3">
      <c r="A184" s="100">
        <f t="shared" si="6"/>
        <v>4</v>
      </c>
      <c r="B184" s="101"/>
      <c r="C184" s="52">
        <v>1</v>
      </c>
      <c r="D184" s="58">
        <f>(34.9+0.75*(2.75+2.1+2.75))*10.764</f>
        <v>437.01839999999993</v>
      </c>
      <c r="E184" s="58">
        <v>0</v>
      </c>
      <c r="F184" s="58">
        <f t="shared" si="7"/>
        <v>633.67667999999992</v>
      </c>
      <c r="G184" s="143"/>
      <c r="H184" s="144"/>
      <c r="L184" s="36">
        <f>(4.255*2.85+2.75*0.9+2.1*2.5+2.75*2.75+3.35*2.85+1.2*1.8+1.2*1.8+2.7*0.9+2.751*1.42+0.75*(2.1+2.75+2.554))*10.764</f>
        <v>572.3344738799999</v>
      </c>
      <c r="Q184" s="57"/>
      <c r="R184" s="58">
        <f t="shared" si="4"/>
        <v>1381387.8487499997</v>
      </c>
      <c r="S184" s="56">
        <f t="shared" si="5"/>
        <v>1.45</v>
      </c>
      <c r="T184" s="68" t="s">
        <v>200</v>
      </c>
      <c r="U184" s="69">
        <f>1350000/F185</f>
        <v>3420.4731164209911</v>
      </c>
      <c r="V184" s="35">
        <f>AVERAGE(U184,U188)</f>
        <v>2961.6140745805155</v>
      </c>
    </row>
    <row r="185" spans="1:23" s="36" customFormat="1" x14ac:dyDescent="0.3">
      <c r="A185" s="100">
        <f t="shared" si="6"/>
        <v>5</v>
      </c>
      <c r="B185" s="101"/>
      <c r="C185" s="52">
        <v>0</v>
      </c>
      <c r="D185" s="58">
        <f>(21.65+0.75*(2.75+2.1))*10.764</f>
        <v>272.19464999999997</v>
      </c>
      <c r="E185" s="58">
        <v>0</v>
      </c>
      <c r="F185" s="58">
        <f t="shared" si="7"/>
        <v>394.68224249999992</v>
      </c>
      <c r="G185" s="143"/>
      <c r="H185" s="144"/>
      <c r="L185" s="36">
        <f>(4.25*2.85+2.1*2.35+2.75*2.75+3.35*2.85+1.2*1.8+1.2*1.8+2.7*0.9+0.75*(2.751+2.4+2.554))*10.764</f>
        <v>502.5307949999999</v>
      </c>
      <c r="Q185" s="35"/>
      <c r="R185" s="58">
        <f t="shared" si="4"/>
        <v>3058036.2539999997</v>
      </c>
      <c r="S185" s="56">
        <f t="shared" si="5"/>
        <v>1.45</v>
      </c>
      <c r="T185" s="59"/>
      <c r="U185" s="71">
        <f>2400000/F186</f>
        <v>2746.860829073742</v>
      </c>
      <c r="V185" s="35"/>
    </row>
    <row r="186" spans="1:23" s="36" customFormat="1" x14ac:dyDescent="0.3">
      <c r="A186" s="100">
        <f t="shared" si="6"/>
        <v>6</v>
      </c>
      <c r="B186" s="101"/>
      <c r="C186" s="52">
        <v>2</v>
      </c>
      <c r="D186" s="58">
        <f>(46.37+3.91+0.75*(2.1+2.75+2.75))*10.764</f>
        <v>602.56871999999998</v>
      </c>
      <c r="E186" s="58">
        <v>0</v>
      </c>
      <c r="F186" s="58">
        <f t="shared" si="7"/>
        <v>873.7246439999999</v>
      </c>
      <c r="G186" s="143"/>
      <c r="H186" s="144"/>
      <c r="L186" s="36">
        <f>(3.95*3.05+2.1*2.5+2.75*2.75+2.75*3.75+1.8*1.2+1.8*1.2+4*0.9+0.9*0.9+3.051*1.27+0.75*(2.4+2.554))*10.764</f>
        <v>554.26817627999992</v>
      </c>
      <c r="Q186" s="35"/>
      <c r="R186" s="58">
        <f t="shared" si="4"/>
        <v>2722078.3589999997</v>
      </c>
      <c r="S186" s="56">
        <f t="shared" si="5"/>
        <v>1.45</v>
      </c>
      <c r="T186" s="59"/>
      <c r="U186" s="71">
        <f>2400000/F187</f>
        <v>3085.8773672797129</v>
      </c>
      <c r="V186" s="35"/>
    </row>
    <row r="187" spans="1:23" s="36" customFormat="1" x14ac:dyDescent="0.3">
      <c r="A187" s="100">
        <f t="shared" si="6"/>
        <v>7</v>
      </c>
      <c r="B187" s="101"/>
      <c r="C187" s="52">
        <v>2</v>
      </c>
      <c r="D187" s="58">
        <f>(40.8+3.33+0.75*(2.75+2.1+2.75))*10.764</f>
        <v>536.37011999999993</v>
      </c>
      <c r="E187" s="58">
        <v>0</v>
      </c>
      <c r="F187" s="58">
        <f t="shared" si="7"/>
        <v>777.73667399999988</v>
      </c>
      <c r="G187" s="143"/>
      <c r="H187" s="144"/>
      <c r="L187" s="36">
        <f>(2.75*4.27+2.13*2.38+2.13*1.2+0.75*(2.43+2.9))*10.764</f>
        <v>251.5051656</v>
      </c>
      <c r="Q187" s="35">
        <f>2400000/F188</f>
        <v>3197.6973061928379</v>
      </c>
      <c r="R187" s="58">
        <f t="shared" si="4"/>
        <v>2626890.2887499998</v>
      </c>
      <c r="S187" s="56">
        <f t="shared" si="5"/>
        <v>1.45</v>
      </c>
      <c r="T187" s="59"/>
      <c r="U187" s="71">
        <f>2400000/F188</f>
        <v>3197.6973061928379</v>
      </c>
      <c r="V187" s="35"/>
    </row>
    <row r="188" spans="1:23" s="36" customFormat="1" x14ac:dyDescent="0.3">
      <c r="A188" s="100">
        <f t="shared" si="6"/>
        <v>8</v>
      </c>
      <c r="B188" s="101"/>
      <c r="C188" s="72">
        <v>2</v>
      </c>
      <c r="D188" s="58">
        <f>(42.48+1.97+0.75*(2.75+2.1))*10.764</f>
        <v>517.61384999999996</v>
      </c>
      <c r="E188" s="58">
        <v>0</v>
      </c>
      <c r="F188" s="58">
        <f t="shared" si="7"/>
        <v>750.54008249999993</v>
      </c>
      <c r="G188" s="143"/>
      <c r="H188" s="144"/>
      <c r="L188" s="36">
        <f>(2.75*4.27+2.1*2.3+2.75*3.35+1.85*1.2+2.1*1.2+2.1*0.9+0.75*(2.75+2.1+2.75))*10.764</f>
        <v>410.26985999999994</v>
      </c>
      <c r="Q188" s="57">
        <f>1350000/F189</f>
        <v>2502.75503274004</v>
      </c>
      <c r="R188" s="58">
        <f t="shared" si="4"/>
        <v>1887919.4880000001</v>
      </c>
      <c r="S188" s="56">
        <f t="shared" si="5"/>
        <v>1.45</v>
      </c>
      <c r="T188" s="59"/>
      <c r="U188" s="69">
        <f>1350000/F189</f>
        <v>2502.75503274004</v>
      </c>
      <c r="V188" s="35"/>
    </row>
    <row r="189" spans="1:23" s="36" customFormat="1" x14ac:dyDescent="0.3">
      <c r="A189" s="100">
        <f t="shared" si="6"/>
        <v>9</v>
      </c>
      <c r="B189" s="101"/>
      <c r="C189" s="72" t="s">
        <v>203</v>
      </c>
      <c r="D189" s="58">
        <f>(29.18+1.72+0.75*(2.75+2.13))*10.764</f>
        <v>372.00384000000003</v>
      </c>
      <c r="E189" s="58">
        <v>0</v>
      </c>
      <c r="F189" s="58">
        <f t="shared" si="7"/>
        <v>539.40556800000002</v>
      </c>
      <c r="G189" s="143"/>
      <c r="H189" s="144"/>
      <c r="L189" s="36">
        <f>(4.27*2.75+2.55*2.1+2.75*2.65+2.95*3.35+1.8*1.2+1.8*1.2+0.9*3.3+1.8*0.6+0.75*(2.75+2.1+2.65+3.95))*10.764</f>
        <v>551.38589999999988</v>
      </c>
      <c r="Q189" s="35"/>
      <c r="R189" s="58">
        <f t="shared" si="4"/>
        <v>2197110.0059999996</v>
      </c>
      <c r="S189" s="56">
        <f t="shared" si="5"/>
        <v>1.45</v>
      </c>
      <c r="T189" s="59"/>
      <c r="U189" s="35">
        <f>1750000/F190</f>
        <v>2787.7529951952715</v>
      </c>
      <c r="V189" s="35"/>
    </row>
    <row r="190" spans="1:23" s="36" customFormat="1" x14ac:dyDescent="0.3">
      <c r="A190" s="100">
        <f t="shared" si="6"/>
        <v>10</v>
      </c>
      <c r="B190" s="101"/>
      <c r="C190" s="52">
        <v>1</v>
      </c>
      <c r="D190" s="58">
        <f>(34.52+0.75*(2.75+2.1+2.75))*10.764</f>
        <v>432.92807999999997</v>
      </c>
      <c r="E190" s="58">
        <v>0</v>
      </c>
      <c r="F190" s="58">
        <f t="shared" si="7"/>
        <v>627.7457159999999</v>
      </c>
      <c r="G190" s="143"/>
      <c r="H190" s="144"/>
      <c r="L190" s="36">
        <f>(4.27*2.75+2.45*2.13+3.35*2.75+1.5*1.2+1*1.2+0.9*2.13+0.75*(2.75+2.13+2.75))*10.764</f>
        <v>396.255132</v>
      </c>
      <c r="Q190" s="35"/>
      <c r="R190" s="58">
        <f t="shared" si="4"/>
        <v>2918053.7977499999</v>
      </c>
      <c r="S190" s="56">
        <f t="shared" si="5"/>
        <v>1.45</v>
      </c>
      <c r="T190" s="59"/>
      <c r="U190" s="71">
        <f>2400000/F191</f>
        <v>2878.6309582355611</v>
      </c>
      <c r="V190" s="35"/>
    </row>
    <row r="191" spans="1:23" s="36" customFormat="1" x14ac:dyDescent="0.3">
      <c r="A191" s="100">
        <f t="shared" si="6"/>
        <v>11</v>
      </c>
      <c r="B191" s="101"/>
      <c r="C191" s="52">
        <v>2</v>
      </c>
      <c r="D191" s="58">
        <f>(45.58+0.75*(2.75+2.1+2.65+2.95))*10.764</f>
        <v>574.98596999999995</v>
      </c>
      <c r="E191" s="58">
        <v>0</v>
      </c>
      <c r="F191" s="58">
        <f t="shared" si="7"/>
        <v>833.72965649999992</v>
      </c>
      <c r="G191" s="143"/>
      <c r="H191" s="144"/>
      <c r="Q191" s="57">
        <f>1750000/F192</f>
        <v>2874.7753468817082</v>
      </c>
      <c r="R191" s="58">
        <f t="shared" si="4"/>
        <v>2130601.2682499997</v>
      </c>
      <c r="S191" s="56">
        <f t="shared" si="5"/>
        <v>1.45</v>
      </c>
      <c r="T191" s="59"/>
      <c r="U191" s="35">
        <f>1750000/F192</f>
        <v>2874.7753468817082</v>
      </c>
      <c r="V191" s="35"/>
    </row>
    <row r="192" spans="1:23" s="36" customFormat="1" x14ac:dyDescent="0.3">
      <c r="A192" s="100">
        <f t="shared" si="6"/>
        <v>12</v>
      </c>
      <c r="B192" s="101"/>
      <c r="C192" s="52">
        <v>1</v>
      </c>
      <c r="D192" s="58">
        <f>(33.28+0.75*(2.75+2.13+2.75))*10.764</f>
        <v>419.82290999999992</v>
      </c>
      <c r="E192" s="58">
        <v>0</v>
      </c>
      <c r="F192" s="58">
        <f t="shared" si="7"/>
        <v>608.7432194999999</v>
      </c>
      <c r="G192" s="145"/>
      <c r="H192" s="146"/>
      <c r="Q192" s="35"/>
      <c r="R192" s="58">
        <f t="shared" si="4"/>
        <v>0</v>
      </c>
      <c r="S192" s="56" t="e">
        <f t="shared" si="5"/>
        <v>#DIV/0!</v>
      </c>
    </row>
    <row r="193" spans="1:22" s="36" customFormat="1" ht="15.75" customHeight="1" x14ac:dyDescent="0.3">
      <c r="A193" s="147" t="s">
        <v>187</v>
      </c>
      <c r="B193" s="148"/>
      <c r="C193" s="148"/>
      <c r="D193" s="148"/>
      <c r="E193" s="148"/>
      <c r="F193" s="148"/>
      <c r="G193" s="148"/>
      <c r="H193" s="149"/>
      <c r="I193" s="36">
        <f>F194/D194</f>
        <v>1.45</v>
      </c>
      <c r="L193" s="36">
        <f>(4.85*2.75+2.55*2.1+2.75*2.75+3.35*2.75+1.8*1.2+1.8*1.2+0.9*1.89+1.8*0.6+3.05*1.2+0.75*(2.1+2.75))*10.764</f>
        <v>536.75762399999985</v>
      </c>
      <c r="Q193" s="35"/>
      <c r="R193" s="58">
        <f t="shared" si="4"/>
        <v>3348858.3423749995</v>
      </c>
      <c r="S193" s="56">
        <f t="shared" si="5"/>
        <v>1.45</v>
      </c>
      <c r="T193" s="59"/>
      <c r="U193" s="59"/>
      <c r="V193" s="35"/>
    </row>
    <row r="194" spans="1:22" s="36" customFormat="1" x14ac:dyDescent="0.3">
      <c r="A194" s="100">
        <v>1</v>
      </c>
      <c r="B194" s="101"/>
      <c r="C194" s="52">
        <v>2</v>
      </c>
      <c r="D194" s="58">
        <f>(45.03+6.47+1.15*(2.75+2.1*2.75))*10.764</f>
        <v>659.87356499999999</v>
      </c>
      <c r="E194" s="58">
        <v>0</v>
      </c>
      <c r="F194" s="58">
        <f t="shared" si="7"/>
        <v>956.8166692499999</v>
      </c>
      <c r="G194" s="141" t="str">
        <f>A193</f>
        <v>2nd to 7th Floor</v>
      </c>
      <c r="H194" s="142"/>
      <c r="I194" s="36">
        <f t="shared" ref="I194:I204" si="8">F195/D195</f>
        <v>1.45</v>
      </c>
      <c r="L194" s="36">
        <f>(4.27*2.75+2.1*2.4+2.75*3.35+1.2*1.8+0.9*0.9+0.75*(2.1+2.75))*10.764</f>
        <v>350.93330999999995</v>
      </c>
      <c r="Q194" s="57">
        <f>1750000/F195</f>
        <v>2871.4623334849562</v>
      </c>
      <c r="R194" s="58">
        <f t="shared" si="4"/>
        <v>2133059.4967499999</v>
      </c>
      <c r="S194" s="56">
        <f t="shared" si="5"/>
        <v>1.45</v>
      </c>
      <c r="T194" s="59"/>
      <c r="U194" s="59"/>
      <c r="V194" s="35"/>
    </row>
    <row r="195" spans="1:22" s="36" customFormat="1" x14ac:dyDescent="0.3">
      <c r="A195" s="100">
        <f t="shared" ref="A195:A205" si="9">A194+1</f>
        <v>2</v>
      </c>
      <c r="B195" s="101"/>
      <c r="C195" s="52">
        <v>1</v>
      </c>
      <c r="D195" s="58">
        <f>(33.47+1.15*(2.75+2.1))*10.764</f>
        <v>420.30728999999997</v>
      </c>
      <c r="E195" s="58">
        <v>0</v>
      </c>
      <c r="F195" s="58">
        <f t="shared" si="7"/>
        <v>609.44557049999992</v>
      </c>
      <c r="G195" s="143"/>
      <c r="H195" s="144"/>
      <c r="I195" s="36">
        <f t="shared" si="8"/>
        <v>1.45</v>
      </c>
      <c r="L195" s="36">
        <f>(4.27*2.75+2.3*2.13+3.35*2.75+1.5*1.2+1*1.2+0.9*0.9+1.3*1.2+0.75*(2.75+2.13+2.75))*10.764</f>
        <v>397.69212599999997</v>
      </c>
      <c r="Q195" s="35"/>
      <c r="R195" s="58">
        <f t="shared" si="4"/>
        <v>2297323.78785</v>
      </c>
      <c r="S195" s="56">
        <f t="shared" si="5"/>
        <v>1.45</v>
      </c>
      <c r="T195" s="59"/>
      <c r="U195" s="59"/>
      <c r="V195" s="35"/>
    </row>
    <row r="196" spans="1:22" s="36" customFormat="1" x14ac:dyDescent="0.3">
      <c r="A196" s="100">
        <f t="shared" si="9"/>
        <v>3</v>
      </c>
      <c r="B196" s="101"/>
      <c r="C196" s="72">
        <v>1</v>
      </c>
      <c r="D196" s="58">
        <f>(33.28+1.15*(2.75+2.13+2.75))*10.764</f>
        <v>452.67463800000002</v>
      </c>
      <c r="E196" s="58">
        <v>0</v>
      </c>
      <c r="F196" s="58">
        <f t="shared" si="7"/>
        <v>656.37822510000001</v>
      </c>
      <c r="G196" s="143"/>
      <c r="H196" s="144"/>
      <c r="I196" s="36">
        <f t="shared" si="8"/>
        <v>1.45</v>
      </c>
      <c r="L196" s="36">
        <f>(2.75*4.27+2.13*2.3+2.75*3.35+1.2*1.8+1.8*1.2+1.2*1.8+0.9*0.9+0.75*(2.75+2.13+2.75))*10.764</f>
        <v>418.35900600000002</v>
      </c>
      <c r="Q196" s="35"/>
      <c r="R196" s="58">
        <f t="shared" si="4"/>
        <v>2383935.372</v>
      </c>
      <c r="S196" s="56">
        <f t="shared" si="5"/>
        <v>1.45</v>
      </c>
      <c r="T196" s="59"/>
      <c r="U196" s="59"/>
      <c r="V196" s="35"/>
    </row>
    <row r="197" spans="1:22" s="36" customFormat="1" x14ac:dyDescent="0.3">
      <c r="A197" s="100">
        <f t="shared" si="9"/>
        <v>4</v>
      </c>
      <c r="B197" s="101"/>
      <c r="C197" s="52">
        <v>1</v>
      </c>
      <c r="D197" s="58">
        <f>(34.9+1.15*(2.75+2.1+2.75))*10.764</f>
        <v>469.74095999999997</v>
      </c>
      <c r="E197" s="58">
        <v>0</v>
      </c>
      <c r="F197" s="58">
        <f t="shared" si="7"/>
        <v>681.12439199999994</v>
      </c>
      <c r="G197" s="143"/>
      <c r="H197" s="144"/>
      <c r="I197" s="36">
        <f t="shared" si="8"/>
        <v>1.45</v>
      </c>
      <c r="L197" s="36">
        <f>(2.75*4.27+2.13*2.38+0.9*1.2+1.08*1.5+1.08*0.9+0.75*(2.13+2.75))*10.764</f>
        <v>259.8849396</v>
      </c>
      <c r="Q197" s="35"/>
      <c r="R197" s="58">
        <f t="shared" si="4"/>
        <v>1487364.8107499997</v>
      </c>
      <c r="S197" s="56">
        <f t="shared" si="5"/>
        <v>1.45</v>
      </c>
      <c r="T197" s="59"/>
      <c r="U197" s="59"/>
      <c r="V197" s="35"/>
    </row>
    <row r="198" spans="1:22" s="36" customFormat="1" x14ac:dyDescent="0.3">
      <c r="A198" s="100">
        <f t="shared" si="9"/>
        <v>5</v>
      </c>
      <c r="B198" s="101"/>
      <c r="C198" s="52">
        <v>0</v>
      </c>
      <c r="D198" s="58">
        <f>(21.65+1.15*(2.75+2.1))*10.764</f>
        <v>293.07680999999997</v>
      </c>
      <c r="E198" s="58">
        <v>0</v>
      </c>
      <c r="F198" s="58">
        <f t="shared" si="7"/>
        <v>424.96137449999992</v>
      </c>
      <c r="G198" s="143"/>
      <c r="H198" s="144"/>
      <c r="I198" s="36">
        <f t="shared" si="8"/>
        <v>1.45</v>
      </c>
      <c r="L198" s="36">
        <f>(4.255*2.85+2.75*0.9+2.1*2.5+2.75*2.75+3.35*2.85+1.2*1.8+1.2*1.8+2.7*0.9+2.751*1.42+0.75*(2.1+2.75+2.554))*10.764</f>
        <v>572.3344738799999</v>
      </c>
      <c r="Q198" s="35"/>
      <c r="R198" s="58">
        <f t="shared" si="4"/>
        <v>3224103.2459999993</v>
      </c>
      <c r="S198" s="56">
        <f t="shared" si="5"/>
        <v>1.45</v>
      </c>
      <c r="T198" s="59"/>
      <c r="U198" s="59"/>
      <c r="V198" s="35"/>
    </row>
    <row r="199" spans="1:22" s="36" customFormat="1" x14ac:dyDescent="0.3">
      <c r="A199" s="100">
        <f t="shared" si="9"/>
        <v>6</v>
      </c>
      <c r="B199" s="101"/>
      <c r="C199" s="52">
        <v>2</v>
      </c>
      <c r="D199" s="58">
        <f>(46.37+3.91+1.15*(2.1+2.75+2.75))*10.764</f>
        <v>635.29127999999992</v>
      </c>
      <c r="E199" s="58">
        <v>0</v>
      </c>
      <c r="F199" s="58">
        <f t="shared" si="7"/>
        <v>921.17235599999981</v>
      </c>
      <c r="G199" s="143"/>
      <c r="H199" s="144"/>
      <c r="I199" s="36">
        <f t="shared" si="8"/>
        <v>1.45</v>
      </c>
      <c r="L199" s="36">
        <f>(4.25*2.85+2.1*2.35+2.75*2.75+3.35*2.85+1.2*1.8+1.2*1.8+2.7*0.9+0.75*(2.751+2.4+2.554))*10.764</f>
        <v>502.5307949999999</v>
      </c>
      <c r="Q199" s="35"/>
      <c r="R199" s="58">
        <f t="shared" si="4"/>
        <v>2888145.3509999993</v>
      </c>
      <c r="S199" s="56">
        <f t="shared" si="5"/>
        <v>1.45</v>
      </c>
      <c r="T199" s="59"/>
      <c r="U199" s="59"/>
      <c r="V199" s="35"/>
    </row>
    <row r="200" spans="1:22" s="36" customFormat="1" x14ac:dyDescent="0.3">
      <c r="A200" s="100">
        <f t="shared" si="9"/>
        <v>7</v>
      </c>
      <c r="B200" s="101"/>
      <c r="C200" s="52">
        <v>2</v>
      </c>
      <c r="D200" s="58">
        <f>(40.8+3.33+1.15*(2.75+2.1+2.75))*10.764</f>
        <v>569.09267999999986</v>
      </c>
      <c r="E200" s="58">
        <v>0</v>
      </c>
      <c r="F200" s="58">
        <f t="shared" si="7"/>
        <v>825.18438599999979</v>
      </c>
      <c r="G200" s="143"/>
      <c r="H200" s="144"/>
      <c r="I200" s="36">
        <f t="shared" si="8"/>
        <v>1.45</v>
      </c>
      <c r="L200" s="36">
        <f>(3.95*3.05+2.1*2.5+2.75*2.75+2.75*3.75+1.8*1.2+1.8*1.2+4*0.9+0.9*0.9+3.051*1.27+0.75*(2.4+2.554))*10.764</f>
        <v>554.26817627999992</v>
      </c>
      <c r="Q200" s="35"/>
      <c r="R200" s="58">
        <f t="shared" si="4"/>
        <v>2732867.2507499997</v>
      </c>
      <c r="S200" s="56">
        <f t="shared" si="5"/>
        <v>1.45</v>
      </c>
      <c r="T200" s="59"/>
      <c r="U200" s="59"/>
      <c r="V200" s="35"/>
    </row>
    <row r="201" spans="1:22" s="36" customFormat="1" x14ac:dyDescent="0.3">
      <c r="A201" s="100">
        <f t="shared" si="9"/>
        <v>8</v>
      </c>
      <c r="B201" s="101"/>
      <c r="C201" s="72">
        <v>2</v>
      </c>
      <c r="D201" s="58">
        <f>(42.48+1.97+1.15*(2.75+2.1))*10.764</f>
        <v>538.49600999999996</v>
      </c>
      <c r="E201" s="58">
        <v>0</v>
      </c>
      <c r="F201" s="58">
        <f t="shared" si="7"/>
        <v>780.81921449999993</v>
      </c>
      <c r="G201" s="143"/>
      <c r="H201" s="144"/>
      <c r="I201" s="36">
        <f t="shared" si="8"/>
        <v>1.45</v>
      </c>
      <c r="L201" s="36">
        <f>(2.75*4.27+2.13*2.38+2.13*1.2+0.75*(2.43+2.9))*10.764</f>
        <v>251.5051656</v>
      </c>
      <c r="Q201" s="35"/>
      <c r="R201" s="58">
        <f t="shared" si="4"/>
        <v>1994551.9775999996</v>
      </c>
      <c r="S201" s="56">
        <f t="shared" si="5"/>
        <v>1.45</v>
      </c>
      <c r="T201" s="59"/>
      <c r="U201" s="59"/>
      <c r="V201" s="35"/>
    </row>
    <row r="202" spans="1:22" s="36" customFormat="1" x14ac:dyDescent="0.3">
      <c r="A202" s="100">
        <f t="shared" si="9"/>
        <v>9</v>
      </c>
      <c r="B202" s="101"/>
      <c r="C202" s="72" t="s">
        <v>203</v>
      </c>
      <c r="D202" s="58">
        <f>(29.18+1.72+1.15*(2.75+2.13))*10.764</f>
        <v>393.01516799999996</v>
      </c>
      <c r="E202" s="58">
        <v>0</v>
      </c>
      <c r="F202" s="58">
        <f t="shared" si="7"/>
        <v>569.87199359999988</v>
      </c>
      <c r="G202" s="143"/>
      <c r="H202" s="144"/>
      <c r="I202" s="36">
        <f t="shared" si="8"/>
        <v>1.45</v>
      </c>
      <c r="L202" s="36">
        <f>(2.75*4.27+2.1*2.3+2.75*3.35+1.85*1.2+2.1*1.2+2.1*0.9+0.75*(2.75+2.1+2.75))*10.764</f>
        <v>410.26985999999994</v>
      </c>
      <c r="Q202" s="35"/>
      <c r="R202" s="58">
        <f t="shared" si="4"/>
        <v>2363176.9980000001</v>
      </c>
      <c r="S202" s="56">
        <f t="shared" si="5"/>
        <v>1.45</v>
      </c>
      <c r="T202" s="59"/>
      <c r="U202" s="59"/>
      <c r="V202" s="35"/>
    </row>
    <row r="203" spans="1:22" s="36" customFormat="1" x14ac:dyDescent="0.3">
      <c r="A203" s="100">
        <f t="shared" si="9"/>
        <v>10</v>
      </c>
      <c r="B203" s="101"/>
      <c r="C203" s="52">
        <v>1</v>
      </c>
      <c r="D203" s="58">
        <f>(34.52+1.15*(2.75+2.1+2.75))*10.764</f>
        <v>465.65064000000001</v>
      </c>
      <c r="E203" s="58">
        <v>0</v>
      </c>
      <c r="F203" s="58">
        <f t="shared" si="7"/>
        <v>675.19342800000004</v>
      </c>
      <c r="G203" s="143"/>
      <c r="H203" s="144"/>
      <c r="I203" s="36">
        <f t="shared" si="8"/>
        <v>1.45</v>
      </c>
      <c r="L203" s="36">
        <f>(4.27*2.75+2.55*2.1+2.75*2.65+2.95*3.35+1.8*1.2+1.8*1.2+0.9*3.3+1.8*0.6+0.75*(2.75+2.1+2.65+3.95))*10.764</f>
        <v>551.38589999999988</v>
      </c>
      <c r="Q203" s="35"/>
      <c r="R203" s="58">
        <f t="shared" si="4"/>
        <v>3146395.9117499995</v>
      </c>
      <c r="S203" s="56">
        <f t="shared" si="5"/>
        <v>1.45</v>
      </c>
      <c r="T203" s="59"/>
      <c r="U203" s="59"/>
      <c r="V203" s="35"/>
    </row>
    <row r="204" spans="1:22" s="36" customFormat="1" x14ac:dyDescent="0.3">
      <c r="A204" s="100">
        <f t="shared" si="9"/>
        <v>11</v>
      </c>
      <c r="B204" s="101"/>
      <c r="C204" s="52">
        <v>2</v>
      </c>
      <c r="D204" s="58">
        <f>(45.58+1.15*(2.75+2.1+2.65+2.95))*10.764</f>
        <v>619.97948999999994</v>
      </c>
      <c r="E204" s="58">
        <v>0</v>
      </c>
      <c r="F204" s="58">
        <f t="shared" si="7"/>
        <v>898.97026049999988</v>
      </c>
      <c r="G204" s="143"/>
      <c r="H204" s="144"/>
      <c r="I204" s="36">
        <f t="shared" si="8"/>
        <v>1.45</v>
      </c>
      <c r="L204" s="36">
        <f>(4.27*2.75+2.45*2.13+3.35*2.75+1.5*1.2+1*1.2+0.9*2.13+0.75*(2.75+2.13+2.75))*10.764</f>
        <v>396.255132</v>
      </c>
      <c r="Q204" s="35"/>
      <c r="R204" s="58">
        <f t="shared" si="4"/>
        <v>2297323.78785</v>
      </c>
      <c r="S204" s="56">
        <f t="shared" si="5"/>
        <v>1.45</v>
      </c>
      <c r="T204" s="59"/>
      <c r="U204" s="59"/>
      <c r="V204" s="35"/>
    </row>
    <row r="205" spans="1:22" s="36" customFormat="1" x14ac:dyDescent="0.3">
      <c r="A205" s="100">
        <f t="shared" si="9"/>
        <v>12</v>
      </c>
      <c r="B205" s="101"/>
      <c r="C205" s="52">
        <v>1</v>
      </c>
      <c r="D205" s="58">
        <f>(33.28+1.15*(2.75+2.13+2.75))*10.764</f>
        <v>452.67463800000002</v>
      </c>
      <c r="E205" s="58">
        <v>0</v>
      </c>
      <c r="F205" s="58">
        <f t="shared" si="7"/>
        <v>656.37822510000001</v>
      </c>
      <c r="G205" s="145"/>
      <c r="H205" s="146"/>
      <c r="R205" s="58">
        <f t="shared" si="4"/>
        <v>0</v>
      </c>
      <c r="S205" s="56" t="e">
        <f t="shared" si="5"/>
        <v>#DIV/0!</v>
      </c>
    </row>
    <row r="206" spans="1:22" s="36" customFormat="1" x14ac:dyDescent="0.3">
      <c r="A206" s="147" t="s">
        <v>232</v>
      </c>
      <c r="B206" s="148"/>
      <c r="C206" s="148"/>
      <c r="D206" s="148"/>
      <c r="E206" s="148"/>
      <c r="F206" s="148"/>
      <c r="G206" s="148"/>
      <c r="H206" s="149"/>
      <c r="R206" s="58">
        <f t="shared" si="4"/>
        <v>0</v>
      </c>
      <c r="S206" s="56" t="e">
        <f t="shared" si="5"/>
        <v>#DIV/0!</v>
      </c>
    </row>
    <row r="207" spans="1:22" s="36" customFormat="1" x14ac:dyDescent="0.3">
      <c r="A207" s="147" t="s">
        <v>215</v>
      </c>
      <c r="B207" s="148"/>
      <c r="C207" s="148"/>
      <c r="D207" s="148"/>
      <c r="E207" s="148"/>
      <c r="F207" s="148"/>
      <c r="G207" s="148"/>
      <c r="H207" s="149"/>
      <c r="Q207" s="35"/>
      <c r="R207" s="58">
        <f t="shared" si="4"/>
        <v>0</v>
      </c>
      <c r="S207" s="56" t="e">
        <f t="shared" si="5"/>
        <v>#DIV/0!</v>
      </c>
      <c r="T207" s="140"/>
      <c r="U207" s="140"/>
    </row>
    <row r="208" spans="1:22" s="36" customFormat="1" ht="15.75" customHeight="1" x14ac:dyDescent="0.3">
      <c r="A208" s="170" t="s">
        <v>188</v>
      </c>
      <c r="B208" s="170"/>
      <c r="C208" s="170"/>
      <c r="D208" s="170"/>
      <c r="E208" s="170"/>
      <c r="F208" s="170"/>
      <c r="G208" s="170"/>
      <c r="H208" s="170"/>
      <c r="Q208" s="35">
        <f>2.75*4.57+2.2*2.4+2.7*3.35+2.75*3.35+1.2*2.8+1.8*1.2+6.6*0.9+0.75*(2.9+2.1)</f>
        <v>51.314999999999998</v>
      </c>
      <c r="R208" s="58">
        <f t="shared" si="4"/>
        <v>2947000</v>
      </c>
      <c r="S208" s="56">
        <f t="shared" si="5"/>
        <v>1.5726519633793983</v>
      </c>
      <c r="T208" s="70" t="s">
        <v>202</v>
      </c>
      <c r="U208" s="71">
        <f>2400000/F209</f>
        <v>2850.3562945368171</v>
      </c>
      <c r="V208" s="35"/>
    </row>
    <row r="209" spans="1:22" s="36" customFormat="1" x14ac:dyDescent="0.3">
      <c r="A209" s="169">
        <v>1</v>
      </c>
      <c r="B209" s="169"/>
      <c r="C209" s="52">
        <v>2</v>
      </c>
      <c r="D209" s="58">
        <f>(2.75*4.57+2.2*2.4+2.7*3.35+2.75*3.35+1.2*2.8+1.8*1.2+6.6*0.9+0.75*2.9)*10.764</f>
        <v>535.40135999999995</v>
      </c>
      <c r="E209" s="41">
        <v>0</v>
      </c>
      <c r="F209" s="58">
        <v>842</v>
      </c>
      <c r="G209" s="141" t="str">
        <f>A208</f>
        <v>1st to 5th Floor for Residential</v>
      </c>
      <c r="H209" s="142"/>
      <c r="Q209" s="35"/>
      <c r="R209" s="58">
        <f t="shared" si="4"/>
        <v>2065000</v>
      </c>
      <c r="S209" s="56">
        <f t="shared" si="5"/>
        <v>1.6237084328233153</v>
      </c>
      <c r="T209" s="59" t="s">
        <v>203</v>
      </c>
      <c r="U209" s="35">
        <f>1750000/F210</f>
        <v>2966.101694915254</v>
      </c>
      <c r="V209" s="35"/>
    </row>
    <row r="210" spans="1:22" s="36" customFormat="1" ht="15.75" customHeight="1" x14ac:dyDescent="0.3">
      <c r="A210" s="169">
        <f>A209+1</f>
        <v>2</v>
      </c>
      <c r="B210" s="169"/>
      <c r="C210" s="52">
        <v>1</v>
      </c>
      <c r="D210" s="58">
        <f>(2.75*4.57+2.2*2.4+2.75*3.2+1.2*1.5+0.9*1.2+4.7*0.9)*10.764</f>
        <v>363.36573000000004</v>
      </c>
      <c r="E210" s="41">
        <v>0</v>
      </c>
      <c r="F210" s="58">
        <v>590</v>
      </c>
      <c r="G210" s="145"/>
      <c r="H210" s="146"/>
      <c r="R210" s="58">
        <f t="shared" si="4"/>
        <v>0</v>
      </c>
      <c r="S210" s="56" t="e">
        <f t="shared" si="5"/>
        <v>#DIV/0!</v>
      </c>
    </row>
    <row r="211" spans="1:22" s="36" customFormat="1" x14ac:dyDescent="0.3">
      <c r="A211" s="147" t="s">
        <v>216</v>
      </c>
      <c r="B211" s="148"/>
      <c r="C211" s="148"/>
      <c r="D211" s="148"/>
      <c r="E211" s="148"/>
      <c r="F211" s="148"/>
      <c r="G211" s="148"/>
      <c r="H211" s="149"/>
      <c r="Q211" s="60">
        <f>5.2*4+3.2*2.8+2.1*1.2+6*1+4.35*2.72+3.65*2.8+2.1*1.08+1.2*2.22+6*1</f>
        <v>71.263999999999996</v>
      </c>
      <c r="R211" s="58">
        <f t="shared" si="4"/>
        <v>3860500</v>
      </c>
      <c r="S211" s="56">
        <f t="shared" si="5"/>
        <v>1.3159265480581386</v>
      </c>
      <c r="T211" s="36">
        <f>(6*4.17+3.2*2.8+2.1*1.2+6*1+4.35*2.72+1.2*2.22+3.65*2.8+2.1*1.08)</f>
        <v>69.484000000000009</v>
      </c>
      <c r="V211" s="35"/>
    </row>
    <row r="212" spans="1:22" s="36" customFormat="1" x14ac:dyDescent="0.3">
      <c r="A212" s="169">
        <v>1</v>
      </c>
      <c r="B212" s="169"/>
      <c r="C212" s="52">
        <v>2</v>
      </c>
      <c r="D212" s="58">
        <f>(72.17+5.7)*10.764</f>
        <v>838.19268</v>
      </c>
      <c r="E212" s="58">
        <f>(15.42)*10.764</f>
        <v>165.98087999999998</v>
      </c>
      <c r="F212" s="61">
        <v>1103</v>
      </c>
      <c r="G212" s="169" t="s">
        <v>193</v>
      </c>
      <c r="H212" s="100"/>
      <c r="R212" s="58">
        <f t="shared" si="4"/>
        <v>0</v>
      </c>
      <c r="S212" s="56" t="e">
        <f t="shared" si="5"/>
        <v>#DIV/0!</v>
      </c>
    </row>
    <row r="213" spans="1:22" s="36" customFormat="1" ht="15.75" customHeight="1" x14ac:dyDescent="0.3">
      <c r="A213" s="147" t="s">
        <v>233</v>
      </c>
      <c r="B213" s="148"/>
      <c r="C213" s="148"/>
      <c r="D213" s="148"/>
      <c r="E213" s="148"/>
      <c r="F213" s="148"/>
      <c r="G213" s="148"/>
      <c r="H213" s="149"/>
      <c r="R213" s="58">
        <f t="shared" si="4"/>
        <v>0</v>
      </c>
      <c r="S213" s="56" t="e">
        <f t="shared" si="5"/>
        <v>#DIV/0!</v>
      </c>
    </row>
    <row r="214" spans="1:22" s="36" customFormat="1" x14ac:dyDescent="0.3">
      <c r="A214" s="147" t="s">
        <v>215</v>
      </c>
      <c r="B214" s="148"/>
      <c r="C214" s="148"/>
      <c r="D214" s="148"/>
      <c r="E214" s="148"/>
      <c r="F214" s="148"/>
      <c r="G214" s="148"/>
      <c r="H214" s="149"/>
      <c r="Q214" s="35"/>
      <c r="R214" s="58">
        <f t="shared" si="4"/>
        <v>0</v>
      </c>
      <c r="S214" s="56" t="e">
        <f t="shared" si="5"/>
        <v>#DIV/0!</v>
      </c>
      <c r="T214" s="59"/>
      <c r="U214" s="59"/>
    </row>
    <row r="215" spans="1:22" s="36" customFormat="1" ht="15.75" customHeight="1" x14ac:dyDescent="0.3">
      <c r="A215" s="170" t="s">
        <v>188</v>
      </c>
      <c r="B215" s="170"/>
      <c r="C215" s="170"/>
      <c r="D215" s="170"/>
      <c r="E215" s="170"/>
      <c r="F215" s="170"/>
      <c r="G215" s="170"/>
      <c r="H215" s="170"/>
      <c r="Q215" s="35">
        <f>4.25*2.87+2.13*2.4+2.75*3.05+2.75*3.45+1.2*1.8+1.8*1.2+2.75*0.9+0.75*(1.97+2.9)</f>
        <v>45.631999999999991</v>
      </c>
      <c r="R215" s="58">
        <f t="shared" si="4"/>
        <v>2803500</v>
      </c>
      <c r="S215" s="56">
        <f t="shared" si="5"/>
        <v>1.6573433345003019</v>
      </c>
      <c r="T215" s="70" t="s">
        <v>202</v>
      </c>
      <c r="U215" s="71">
        <f>2400000/F216</f>
        <v>2996.2546816479403</v>
      </c>
      <c r="V215" s="35"/>
    </row>
    <row r="216" spans="1:22" s="36" customFormat="1" x14ac:dyDescent="0.3">
      <c r="A216" s="100">
        <v>1</v>
      </c>
      <c r="B216" s="101"/>
      <c r="C216" s="52">
        <v>2</v>
      </c>
      <c r="D216" s="58">
        <f>(44.9)*10.764</f>
        <v>483.30359999999996</v>
      </c>
      <c r="E216" s="41">
        <v>0</v>
      </c>
      <c r="F216" s="61">
        <v>801</v>
      </c>
      <c r="G216" s="141" t="str">
        <f>A215</f>
        <v>1st to 5th Floor for Residential</v>
      </c>
      <c r="H216" s="142"/>
      <c r="Q216" s="35"/>
      <c r="R216" s="58">
        <f t="shared" si="4"/>
        <v>2803500</v>
      </c>
      <c r="S216" s="56">
        <f t="shared" si="5"/>
        <v>1.6573433345003019</v>
      </c>
      <c r="T216" s="59"/>
      <c r="U216" s="59"/>
      <c r="V216" s="35"/>
    </row>
    <row r="217" spans="1:22" s="36" customFormat="1" x14ac:dyDescent="0.3">
      <c r="A217" s="100">
        <f>A216+1</f>
        <v>2</v>
      </c>
      <c r="B217" s="101"/>
      <c r="C217" s="52">
        <v>2</v>
      </c>
      <c r="D217" s="58">
        <f>(44.9)*10.764</f>
        <v>483.30359999999996</v>
      </c>
      <c r="E217" s="41">
        <v>0</v>
      </c>
      <c r="F217" s="61">
        <v>801</v>
      </c>
      <c r="G217" s="143"/>
      <c r="H217" s="144"/>
      <c r="Q217" s="35"/>
      <c r="R217" s="58">
        <f t="shared" si="4"/>
        <v>2110500</v>
      </c>
      <c r="S217" s="56">
        <f t="shared" si="5"/>
        <v>1.6280170557870421</v>
      </c>
      <c r="T217" s="59" t="s">
        <v>203</v>
      </c>
      <c r="U217" s="35">
        <f>1750000/F218</f>
        <v>2902.1558872305141</v>
      </c>
      <c r="V217" s="35"/>
    </row>
    <row r="218" spans="1:22" s="36" customFormat="1" x14ac:dyDescent="0.3">
      <c r="A218" s="100">
        <f>A217+1</f>
        <v>3</v>
      </c>
      <c r="B218" s="101"/>
      <c r="C218" s="52">
        <v>1</v>
      </c>
      <c r="D218" s="58">
        <f>(32.07+2.34)*10.764</f>
        <v>370.38923999999992</v>
      </c>
      <c r="E218" s="41">
        <v>0</v>
      </c>
      <c r="F218" s="61">
        <v>603</v>
      </c>
      <c r="G218" s="143"/>
      <c r="H218" s="144"/>
      <c r="Q218" s="35"/>
      <c r="R218" s="58">
        <f t="shared" si="4"/>
        <v>1890000</v>
      </c>
      <c r="S218" s="56">
        <f t="shared" si="5"/>
        <v>1.8923886865434765</v>
      </c>
      <c r="T218" s="59"/>
      <c r="U218" s="35">
        <f>1750000/F219</f>
        <v>3240.7407407407409</v>
      </c>
      <c r="V218" s="35"/>
    </row>
    <row r="219" spans="1:22" s="36" customFormat="1" x14ac:dyDescent="0.3">
      <c r="A219" s="100">
        <f>A218+1</f>
        <v>4</v>
      </c>
      <c r="B219" s="101"/>
      <c r="C219" s="52">
        <v>1</v>
      </c>
      <c r="D219" s="58">
        <f>(26.51)*10.764</f>
        <v>285.35363999999998</v>
      </c>
      <c r="E219" s="41">
        <v>0</v>
      </c>
      <c r="F219" s="61">
        <v>540</v>
      </c>
      <c r="G219" s="143"/>
      <c r="H219" s="144"/>
      <c r="Q219" s="35"/>
      <c r="R219" s="58">
        <f t="shared" si="4"/>
        <v>1869000</v>
      </c>
      <c r="S219" s="56">
        <f t="shared" si="5"/>
        <v>1.8713621455818823</v>
      </c>
      <c r="T219" s="59"/>
      <c r="U219" s="35">
        <f>1750000/F220</f>
        <v>3277.1535580524346</v>
      </c>
      <c r="V219" s="35"/>
    </row>
    <row r="220" spans="1:22" s="36" customFormat="1" x14ac:dyDescent="0.3">
      <c r="A220" s="100">
        <f>A219+1</f>
        <v>5</v>
      </c>
      <c r="B220" s="101"/>
      <c r="C220" s="52">
        <v>1</v>
      </c>
      <c r="D220" s="58">
        <f>(26.51)*10.764</f>
        <v>285.35363999999998</v>
      </c>
      <c r="E220" s="41">
        <v>0</v>
      </c>
      <c r="F220" s="61">
        <v>534</v>
      </c>
      <c r="G220" s="143"/>
      <c r="H220" s="144"/>
      <c r="Q220" s="35"/>
      <c r="R220" s="58">
        <f t="shared" si="4"/>
        <v>1890000</v>
      </c>
      <c r="S220" s="56">
        <f t="shared" si="5"/>
        <v>1.8923886865434765</v>
      </c>
      <c r="T220" s="59"/>
      <c r="U220" s="35">
        <f>1750000/F221</f>
        <v>3240.7407407407409</v>
      </c>
      <c r="V220" s="35"/>
    </row>
    <row r="221" spans="1:22" s="36" customFormat="1" x14ac:dyDescent="0.3">
      <c r="A221" s="100">
        <f>A220+1</f>
        <v>6</v>
      </c>
      <c r="B221" s="101"/>
      <c r="C221" s="52">
        <v>1</v>
      </c>
      <c r="D221" s="58">
        <f>(26.51)*10.764</f>
        <v>285.35363999999998</v>
      </c>
      <c r="E221" s="41">
        <v>0</v>
      </c>
      <c r="F221" s="61">
        <v>540</v>
      </c>
      <c r="G221" s="145"/>
      <c r="H221" s="146"/>
      <c r="Q221" s="35"/>
      <c r="R221" s="58">
        <f t="shared" si="4"/>
        <v>0</v>
      </c>
      <c r="S221" s="56" t="e">
        <f t="shared" si="5"/>
        <v>#DIV/0!</v>
      </c>
      <c r="T221" s="59"/>
      <c r="U221" s="59"/>
    </row>
    <row r="222" spans="1:22" s="36" customFormat="1" ht="15.75" customHeight="1" x14ac:dyDescent="0.3">
      <c r="A222" s="170" t="s">
        <v>190</v>
      </c>
      <c r="B222" s="170"/>
      <c r="C222" s="170"/>
      <c r="D222" s="170"/>
      <c r="E222" s="170"/>
      <c r="F222" s="170"/>
      <c r="G222" s="170"/>
      <c r="H222" s="170"/>
      <c r="Q222" s="62">
        <f>4.25*2.87+2.13*2.4+2.75*3.05+1.2*1.8+1*1*1.2+2.4*0.9+1.97*0.75+2.75*0.3</f>
        <v>33.519500000000001</v>
      </c>
      <c r="R222" s="58">
        <f t="shared" si="4"/>
        <v>1977500</v>
      </c>
      <c r="S222" s="56">
        <f t="shared" si="5"/>
        <v>1.5659242467377779</v>
      </c>
      <c r="T222" s="59" t="s">
        <v>203</v>
      </c>
      <c r="U222" s="35">
        <f t="shared" ref="U222:U227" si="10">1750000/F223</f>
        <v>3097.3451327433627</v>
      </c>
      <c r="V222" s="35"/>
    </row>
    <row r="223" spans="1:22" s="36" customFormat="1" x14ac:dyDescent="0.3">
      <c r="A223" s="100">
        <v>1</v>
      </c>
      <c r="B223" s="101"/>
      <c r="C223" s="52">
        <v>1</v>
      </c>
      <c r="D223" s="58">
        <f>(33.52)*10.764</f>
        <v>360.80928</v>
      </c>
      <c r="E223" s="58">
        <f>(12.29)*10.764</f>
        <v>132.28955999999999</v>
      </c>
      <c r="F223" s="61">
        <v>565</v>
      </c>
      <c r="G223" s="141" t="str">
        <f>A222</f>
        <v>6th Floor</v>
      </c>
      <c r="H223" s="142"/>
      <c r="Q223" s="62">
        <f>4.25*2.87+2.13*2.4+2.75*3.05+1.2*1.8+1*1*1.2+2.4*0.9+1.97*0.75+2.75*0.3</f>
        <v>33.519500000000001</v>
      </c>
      <c r="R223" s="58">
        <f t="shared" si="4"/>
        <v>1977500</v>
      </c>
      <c r="S223" s="56">
        <f t="shared" si="5"/>
        <v>1.5659242467377779</v>
      </c>
      <c r="T223" s="59"/>
      <c r="U223" s="35">
        <f t="shared" si="10"/>
        <v>3097.3451327433627</v>
      </c>
      <c r="V223" s="35"/>
    </row>
    <row r="224" spans="1:22" s="36" customFormat="1" x14ac:dyDescent="0.3">
      <c r="A224" s="100">
        <f>A223+1</f>
        <v>2</v>
      </c>
      <c r="B224" s="101"/>
      <c r="C224" s="52">
        <v>1</v>
      </c>
      <c r="D224" s="58">
        <f>(33.52)*10.764</f>
        <v>360.80928</v>
      </c>
      <c r="E224" s="58">
        <f>(12.29)*10.764</f>
        <v>132.28955999999999</v>
      </c>
      <c r="F224" s="61">
        <v>565</v>
      </c>
      <c r="G224" s="143"/>
      <c r="H224" s="144"/>
      <c r="Q224" s="62">
        <f>4.43*2.87+2.13*2.44+2.75*3.2+1.3*1.8+1.3*1.8+1.3*0.9+0.75*2.3</f>
        <v>34.286300000000004</v>
      </c>
      <c r="R224" s="58">
        <f t="shared" si="4"/>
        <v>2110500</v>
      </c>
      <c r="S224" s="56">
        <f t="shared" si="5"/>
        <v>1.6280170557870421</v>
      </c>
      <c r="T224" s="59"/>
      <c r="U224" s="35">
        <f t="shared" si="10"/>
        <v>2902.1558872305141</v>
      </c>
      <c r="V224" s="35"/>
    </row>
    <row r="225" spans="1:22" s="36" customFormat="1" x14ac:dyDescent="0.3">
      <c r="A225" s="100">
        <f>A224+1</f>
        <v>3</v>
      </c>
      <c r="B225" s="101"/>
      <c r="C225" s="52">
        <v>1</v>
      </c>
      <c r="D225" s="58">
        <f>(32.07+2.34)*10.764</f>
        <v>370.38923999999992</v>
      </c>
      <c r="E225" s="58">
        <v>0</v>
      </c>
      <c r="F225" s="61">
        <v>603</v>
      </c>
      <c r="G225" s="143"/>
      <c r="H225" s="144"/>
      <c r="Q225" s="35"/>
      <c r="R225" s="58">
        <f t="shared" si="4"/>
        <v>1890000</v>
      </c>
      <c r="S225" s="56">
        <f t="shared" si="5"/>
        <v>1.8923886865434765</v>
      </c>
      <c r="T225" s="59"/>
      <c r="U225" s="35">
        <f t="shared" si="10"/>
        <v>3240.7407407407409</v>
      </c>
      <c r="V225" s="35"/>
    </row>
    <row r="226" spans="1:22" s="36" customFormat="1" x14ac:dyDescent="0.3">
      <c r="A226" s="100">
        <f>A225+1</f>
        <v>4</v>
      </c>
      <c r="B226" s="101"/>
      <c r="C226" s="52">
        <v>1</v>
      </c>
      <c r="D226" s="58">
        <f>(26.51)*10.764</f>
        <v>285.35363999999998</v>
      </c>
      <c r="E226" s="58">
        <v>0</v>
      </c>
      <c r="F226" s="61">
        <v>540</v>
      </c>
      <c r="G226" s="143"/>
      <c r="H226" s="144"/>
      <c r="Q226" s="35"/>
      <c r="R226" s="58">
        <f t="shared" si="4"/>
        <v>1869000</v>
      </c>
      <c r="S226" s="56">
        <f t="shared" si="5"/>
        <v>1.8713621455818823</v>
      </c>
      <c r="T226" s="59"/>
      <c r="U226" s="35">
        <f t="shared" si="10"/>
        <v>3277.1535580524346</v>
      </c>
      <c r="V226" s="35"/>
    </row>
    <row r="227" spans="1:22" s="36" customFormat="1" x14ac:dyDescent="0.3">
      <c r="A227" s="100">
        <f>A226+1</f>
        <v>5</v>
      </c>
      <c r="B227" s="101"/>
      <c r="C227" s="52">
        <v>1</v>
      </c>
      <c r="D227" s="58">
        <f>(26.51)*10.764</f>
        <v>285.35363999999998</v>
      </c>
      <c r="E227" s="58">
        <v>0</v>
      </c>
      <c r="F227" s="61">
        <v>534</v>
      </c>
      <c r="G227" s="143"/>
      <c r="H227" s="144"/>
      <c r="Q227" s="35"/>
      <c r="R227" s="58">
        <f t="shared" si="4"/>
        <v>1890000</v>
      </c>
      <c r="S227" s="56">
        <f t="shared" si="5"/>
        <v>1.8923886865434765</v>
      </c>
      <c r="T227" s="59"/>
      <c r="U227" s="35">
        <f t="shared" si="10"/>
        <v>3240.7407407407409</v>
      </c>
      <c r="V227" s="35"/>
    </row>
    <row r="228" spans="1:22" s="34" customFormat="1" x14ac:dyDescent="0.3">
      <c r="A228" s="100">
        <f>A227+1</f>
        <v>6</v>
      </c>
      <c r="B228" s="101"/>
      <c r="C228" s="52">
        <v>1</v>
      </c>
      <c r="D228" s="58">
        <f>(26.51)*10.764</f>
        <v>285.35363999999998</v>
      </c>
      <c r="E228" s="58">
        <v>0</v>
      </c>
      <c r="F228" s="61">
        <v>540</v>
      </c>
      <c r="G228" s="145"/>
      <c r="H228" s="146"/>
    </row>
    <row r="229" spans="1:22" s="64" customFormat="1" x14ac:dyDescent="0.3">
      <c r="A229" s="214" t="s">
        <v>65</v>
      </c>
      <c r="B229" s="214"/>
      <c r="C229" s="214"/>
      <c r="D229" s="214"/>
      <c r="E229" s="214"/>
      <c r="F229" s="214"/>
      <c r="G229" s="214"/>
      <c r="H229" s="214"/>
    </row>
    <row r="230" spans="1:22" s="34" customFormat="1" ht="30" customHeight="1" x14ac:dyDescent="0.3">
      <c r="A230" s="63" t="s">
        <v>151</v>
      </c>
      <c r="B230" s="215" t="s">
        <v>264</v>
      </c>
      <c r="C230" s="216"/>
      <c r="D230" s="216"/>
      <c r="E230" s="216"/>
      <c r="F230" s="216"/>
      <c r="G230" s="216"/>
      <c r="H230" s="217"/>
    </row>
    <row r="231" spans="1:22" s="34" customFormat="1" x14ac:dyDescent="0.3">
      <c r="A231" s="45" t="s">
        <v>151</v>
      </c>
      <c r="B231" s="215" t="str">
        <f>(IF(F177="Saleable area Loading :","We have considered Saleable area of Flats as per our Calculation.","We considered Saleable area of Flat as per Builder area Sheet."))</f>
        <v>We considered Saleable area of Flat as per Builder area Sheet.</v>
      </c>
      <c r="C231" s="216"/>
      <c r="D231" s="216"/>
      <c r="E231" s="216"/>
      <c r="F231" s="216"/>
      <c r="G231" s="216"/>
      <c r="H231" s="217"/>
    </row>
    <row r="232" spans="1:22" s="34" customFormat="1" x14ac:dyDescent="0.3">
      <c r="A232" s="45" t="s">
        <v>151</v>
      </c>
      <c r="B232" s="215" t="str">
        <f>(IF(F162="Saleable area Loading :","We have considered Saleable area of Commercial as per our Calculation.","We considered Saleable area of Commercial as per Builder area Sheet."))</f>
        <v>We considered Saleable area of Commercial as per Builder area Sheet.</v>
      </c>
      <c r="C232" s="216"/>
      <c r="D232" s="216"/>
      <c r="E232" s="216"/>
      <c r="F232" s="216"/>
      <c r="G232" s="216"/>
      <c r="H232" s="217"/>
    </row>
    <row r="233" spans="1:22" s="34" customFormat="1" x14ac:dyDescent="0.3">
      <c r="A233" s="45" t="s">
        <v>151</v>
      </c>
      <c r="B233" s="106" t="s">
        <v>122</v>
      </c>
      <c r="C233" s="107"/>
      <c r="D233" s="107"/>
      <c r="E233" s="107"/>
      <c r="F233" s="107"/>
      <c r="G233" s="107"/>
      <c r="H233" s="108"/>
    </row>
    <row r="234" spans="1:22" s="34" customFormat="1" x14ac:dyDescent="0.3">
      <c r="A234" s="45" t="s">
        <v>151</v>
      </c>
      <c r="B234" s="106" t="s">
        <v>195</v>
      </c>
      <c r="C234" s="107"/>
      <c r="D234" s="107"/>
      <c r="E234" s="107"/>
      <c r="F234" s="107"/>
      <c r="G234" s="107"/>
      <c r="H234" s="108"/>
    </row>
    <row r="235" spans="1:22" s="34" customFormat="1" x14ac:dyDescent="0.3">
      <c r="A235" s="45" t="s">
        <v>151</v>
      </c>
      <c r="B235" s="106" t="s">
        <v>150</v>
      </c>
      <c r="C235" s="107"/>
      <c r="D235" s="107"/>
      <c r="E235" s="107"/>
      <c r="F235" s="107"/>
      <c r="G235" s="107"/>
      <c r="H235" s="108"/>
    </row>
    <row r="236" spans="1:22" s="34" customFormat="1" x14ac:dyDescent="0.3">
      <c r="A236" s="45" t="s">
        <v>151</v>
      </c>
      <c r="B236" s="106" t="s">
        <v>123</v>
      </c>
      <c r="C236" s="107"/>
      <c r="D236" s="107"/>
      <c r="E236" s="107"/>
      <c r="F236" s="107"/>
      <c r="G236" s="107"/>
      <c r="H236" s="108"/>
    </row>
    <row r="237" spans="1:22" s="34" customFormat="1" ht="32.4" customHeight="1" x14ac:dyDescent="0.3">
      <c r="A237" s="45" t="s">
        <v>151</v>
      </c>
      <c r="B237" s="106" t="s">
        <v>152</v>
      </c>
      <c r="C237" s="107"/>
      <c r="D237" s="107"/>
      <c r="E237" s="107"/>
      <c r="F237" s="107"/>
      <c r="G237" s="107"/>
      <c r="H237" s="108"/>
    </row>
    <row r="238" spans="1:22" s="64" customFormat="1" hidden="1" x14ac:dyDescent="0.3">
      <c r="A238" s="45" t="s">
        <v>151</v>
      </c>
      <c r="B238" s="106" t="s">
        <v>124</v>
      </c>
      <c r="C238" s="107"/>
      <c r="D238" s="107"/>
      <c r="E238" s="107"/>
      <c r="F238" s="107"/>
      <c r="G238" s="107"/>
      <c r="H238" s="108"/>
    </row>
    <row r="239" spans="1:22" s="34" customFormat="1" x14ac:dyDescent="0.3">
      <c r="A239" s="63" t="s">
        <v>151</v>
      </c>
      <c r="B239" s="215" t="s">
        <v>196</v>
      </c>
      <c r="C239" s="216"/>
      <c r="D239" s="216"/>
      <c r="E239" s="216"/>
      <c r="F239" s="216"/>
      <c r="G239" s="216"/>
      <c r="H239" s="217"/>
    </row>
    <row r="240" spans="1:22" s="34" customFormat="1" x14ac:dyDescent="0.3">
      <c r="A240" s="45" t="s">
        <v>151</v>
      </c>
      <c r="B240" s="106" t="s">
        <v>246</v>
      </c>
      <c r="C240" s="107"/>
      <c r="D240" s="107"/>
      <c r="E240" s="107"/>
      <c r="F240" s="107"/>
      <c r="G240" s="107"/>
      <c r="H240" s="108"/>
      <c r="I240" s="82" t="s">
        <v>251</v>
      </c>
    </row>
    <row r="241" spans="1:9" s="34" customFormat="1" x14ac:dyDescent="0.3">
      <c r="A241" s="45" t="s">
        <v>151</v>
      </c>
      <c r="B241" s="106" t="s">
        <v>255</v>
      </c>
      <c r="C241" s="107"/>
      <c r="D241" s="107"/>
      <c r="E241" s="107"/>
      <c r="F241" s="107"/>
      <c r="G241" s="107"/>
      <c r="H241" s="108"/>
      <c r="I241" s="82"/>
    </row>
    <row r="242" spans="1:9" s="34" customFormat="1" x14ac:dyDescent="0.3">
      <c r="A242" s="45" t="s">
        <v>151</v>
      </c>
      <c r="B242" s="106" t="s">
        <v>261</v>
      </c>
      <c r="C242" s="107"/>
      <c r="D242" s="107"/>
      <c r="E242" s="107"/>
      <c r="F242" s="107"/>
      <c r="G242" s="107"/>
      <c r="H242" s="108"/>
      <c r="I242" s="82"/>
    </row>
    <row r="243" spans="1:9" x14ac:dyDescent="0.3">
      <c r="A243" s="45" t="s">
        <v>151</v>
      </c>
      <c r="B243" s="106" t="s">
        <v>263</v>
      </c>
      <c r="C243" s="107"/>
      <c r="D243" s="107"/>
      <c r="E243" s="107"/>
      <c r="F243" s="107"/>
      <c r="G243" s="107"/>
      <c r="H243" s="108"/>
    </row>
    <row r="244" spans="1:9" x14ac:dyDescent="0.3">
      <c r="A244" s="187" t="s">
        <v>58</v>
      </c>
      <c r="B244" s="187"/>
      <c r="C244" s="187"/>
      <c r="D244" s="187"/>
      <c r="E244" s="187"/>
      <c r="F244" s="187"/>
      <c r="G244" s="187"/>
      <c r="H244" s="187"/>
    </row>
    <row r="245" spans="1:9" ht="15.75" customHeight="1" x14ac:dyDescent="0.3">
      <c r="A245" s="132" t="s">
        <v>59</v>
      </c>
      <c r="B245" s="132"/>
      <c r="C245" s="132"/>
      <c r="D245" s="132"/>
      <c r="E245" s="132"/>
      <c r="F245" s="132"/>
      <c r="G245" s="132"/>
      <c r="H245" s="132"/>
    </row>
    <row r="246" spans="1:9" x14ac:dyDescent="0.3">
      <c r="A246" s="218" t="s">
        <v>60</v>
      </c>
      <c r="B246" s="218"/>
      <c r="C246" s="218"/>
      <c r="D246" s="218"/>
      <c r="E246" s="218"/>
      <c r="F246" s="218"/>
      <c r="G246" s="218"/>
      <c r="H246" s="218"/>
    </row>
    <row r="247" spans="1:9" x14ac:dyDescent="0.3">
      <c r="A247" s="132" t="s">
        <v>61</v>
      </c>
      <c r="B247" s="132"/>
      <c r="C247" s="132"/>
      <c r="D247" s="132"/>
      <c r="E247" s="132"/>
      <c r="F247" s="132"/>
      <c r="G247" s="132"/>
      <c r="H247" s="132"/>
    </row>
    <row r="248" spans="1:9" x14ac:dyDescent="0.3">
      <c r="A248" s="132" t="s">
        <v>62</v>
      </c>
      <c r="B248" s="132"/>
      <c r="C248" s="132"/>
      <c r="D248" s="132"/>
      <c r="E248" s="132"/>
      <c r="F248" s="132"/>
      <c r="G248" s="132"/>
      <c r="H248" s="132"/>
    </row>
    <row r="249" spans="1:9" x14ac:dyDescent="0.3">
      <c r="A249" s="132" t="s">
        <v>125</v>
      </c>
      <c r="B249" s="132"/>
      <c r="C249" s="132"/>
      <c r="D249" s="132"/>
      <c r="E249" s="132"/>
      <c r="F249" s="132"/>
      <c r="G249" s="132"/>
      <c r="H249" s="132"/>
    </row>
    <row r="250" spans="1:9" x14ac:dyDescent="0.3">
      <c r="A250" s="131" t="s">
        <v>234</v>
      </c>
      <c r="B250" s="131"/>
      <c r="C250" s="131"/>
      <c r="D250" s="131"/>
      <c r="E250" s="131"/>
      <c r="F250" s="131"/>
      <c r="G250" s="131"/>
      <c r="H250" s="131"/>
    </row>
    <row r="251" spans="1:9" x14ac:dyDescent="0.3">
      <c r="A251" s="212" t="s">
        <v>74</v>
      </c>
      <c r="B251" s="212"/>
      <c r="C251" s="212" t="s">
        <v>265</v>
      </c>
      <c r="D251" s="212"/>
      <c r="E251" s="212" t="s">
        <v>103</v>
      </c>
      <c r="F251" s="212"/>
      <c r="G251" s="212" t="s">
        <v>266</v>
      </c>
      <c r="H251" s="212"/>
    </row>
    <row r="252" spans="1:9" x14ac:dyDescent="0.3">
      <c r="A252" s="211" t="s">
        <v>76</v>
      </c>
      <c r="B252" s="211"/>
      <c r="C252" s="211"/>
      <c r="D252" s="211"/>
      <c r="E252" s="211"/>
      <c r="F252" s="211"/>
      <c r="G252" s="211"/>
      <c r="H252" s="211"/>
    </row>
    <row r="253" spans="1:9" x14ac:dyDescent="0.3">
      <c r="A253" s="211"/>
      <c r="B253" s="211"/>
      <c r="C253" s="211"/>
      <c r="D253" s="211"/>
      <c r="E253" s="211"/>
      <c r="F253" s="211"/>
      <c r="G253" s="211"/>
      <c r="H253" s="211"/>
    </row>
    <row r="254" spans="1:9" x14ac:dyDescent="0.3">
      <c r="A254" s="211"/>
      <c r="B254" s="211"/>
      <c r="C254" s="211"/>
      <c r="D254" s="211"/>
      <c r="E254" s="211"/>
      <c r="F254" s="211"/>
      <c r="G254" s="211"/>
      <c r="H254" s="211"/>
    </row>
    <row r="255" spans="1:9" x14ac:dyDescent="0.3">
      <c r="A255" s="211"/>
      <c r="B255" s="211"/>
      <c r="C255" s="211"/>
      <c r="D255" s="211"/>
      <c r="E255" s="211"/>
      <c r="F255" s="211"/>
      <c r="G255" s="211"/>
      <c r="H255" s="211"/>
    </row>
    <row r="256" spans="1:9" x14ac:dyDescent="0.3">
      <c r="A256" s="37" t="s">
        <v>63</v>
      </c>
      <c r="B256" s="38"/>
      <c r="C256" s="38"/>
      <c r="D256" s="37" t="str">
        <f>E8</f>
        <v>Pearl Heights</v>
      </c>
      <c r="F256" s="38"/>
      <c r="G256" s="38"/>
      <c r="H256" s="38"/>
    </row>
    <row r="257" spans="1:8" x14ac:dyDescent="0.3">
      <c r="A257" s="38"/>
      <c r="B257" s="38"/>
      <c r="C257" s="38"/>
      <c r="D257" s="38"/>
      <c r="E257" s="38"/>
      <c r="F257" s="38"/>
      <c r="G257" s="38"/>
      <c r="H257" s="38"/>
    </row>
    <row r="258" spans="1:8" ht="15" customHeight="1" x14ac:dyDescent="0.3">
      <c r="A258" s="38"/>
      <c r="B258" s="38"/>
      <c r="C258" s="38"/>
      <c r="D258" s="38"/>
      <c r="E258" s="38"/>
      <c r="F258" s="38"/>
      <c r="G258" s="38"/>
      <c r="H258" s="38"/>
    </row>
    <row r="298" spans="1:1" x14ac:dyDescent="0.3">
      <c r="A298" s="40" t="s">
        <v>256</v>
      </c>
    </row>
    <row r="332" spans="1:1" x14ac:dyDescent="0.3">
      <c r="A332" s="40" t="s">
        <v>64</v>
      </c>
    </row>
  </sheetData>
  <mergeCells count="426">
    <mergeCell ref="B243:H243"/>
    <mergeCell ref="C37:H37"/>
    <mergeCell ref="A55:B56"/>
    <mergeCell ref="C55:E55"/>
    <mergeCell ref="G55:H55"/>
    <mergeCell ref="C56:H56"/>
    <mergeCell ref="A213:H213"/>
    <mergeCell ref="A159:B159"/>
    <mergeCell ref="A39:H39"/>
    <mergeCell ref="A67:C67"/>
    <mergeCell ref="D63:H63"/>
    <mergeCell ref="D64:H64"/>
    <mergeCell ref="A63:C66"/>
    <mergeCell ref="A155:A156"/>
    <mergeCell ref="A42:D42"/>
    <mergeCell ref="E42:H42"/>
    <mergeCell ref="E43:H43"/>
    <mergeCell ref="E44:H44"/>
    <mergeCell ref="E45:H45"/>
    <mergeCell ref="A43:D43"/>
    <mergeCell ref="B241:H241"/>
    <mergeCell ref="B240:H240"/>
    <mergeCell ref="C88:H88"/>
    <mergeCell ref="A158:B158"/>
    <mergeCell ref="A11:D11"/>
    <mergeCell ref="E11:H11"/>
    <mergeCell ref="A15:B15"/>
    <mergeCell ref="A12:D12"/>
    <mergeCell ref="E12:H12"/>
    <mergeCell ref="A13:D13"/>
    <mergeCell ref="A21:D22"/>
    <mergeCell ref="E21:H22"/>
    <mergeCell ref="E13:H13"/>
    <mergeCell ref="A14:B14"/>
    <mergeCell ref="C14:H14"/>
    <mergeCell ref="C15:H15"/>
    <mergeCell ref="A16:B16"/>
    <mergeCell ref="C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B236:H236"/>
    <mergeCell ref="B232:H232"/>
    <mergeCell ref="A160:H160"/>
    <mergeCell ref="A182:B182"/>
    <mergeCell ref="A121:B121"/>
    <mergeCell ref="C121:D121"/>
    <mergeCell ref="C155:D155"/>
    <mergeCell ref="E155:F155"/>
    <mergeCell ref="G155:H155"/>
    <mergeCell ref="C153:D153"/>
    <mergeCell ref="G153:H153"/>
    <mergeCell ref="C156:D156"/>
    <mergeCell ref="E149:F149"/>
    <mergeCell ref="C158:D158"/>
    <mergeCell ref="E158:F158"/>
    <mergeCell ref="A169:B169"/>
    <mergeCell ref="A176:H176"/>
    <mergeCell ref="A204:B204"/>
    <mergeCell ref="A157:B157"/>
    <mergeCell ref="C157:D157"/>
    <mergeCell ref="C154:D154"/>
    <mergeCell ref="E154:F154"/>
    <mergeCell ref="G154:H154"/>
    <mergeCell ref="F140:H140"/>
    <mergeCell ref="A246:H246"/>
    <mergeCell ref="A209:B209"/>
    <mergeCell ref="A153:B153"/>
    <mergeCell ref="G177:H177"/>
    <mergeCell ref="A96:B96"/>
    <mergeCell ref="A97:B97"/>
    <mergeCell ref="A98:B98"/>
    <mergeCell ref="A164:H164"/>
    <mergeCell ref="G162:H162"/>
    <mergeCell ref="B230:H230"/>
    <mergeCell ref="B231:H231"/>
    <mergeCell ref="B233:H233"/>
    <mergeCell ref="A163:H163"/>
    <mergeCell ref="A120:B120"/>
    <mergeCell ref="C120:H120"/>
    <mergeCell ref="B234:H234"/>
    <mergeCell ref="A148:B148"/>
    <mergeCell ref="C148:D148"/>
    <mergeCell ref="G148:H148"/>
    <mergeCell ref="C149:D149"/>
    <mergeCell ref="F134:H134"/>
    <mergeCell ref="G149:H149"/>
    <mergeCell ref="A161:H161"/>
    <mergeCell ref="A149:A150"/>
    <mergeCell ref="A252:H255"/>
    <mergeCell ref="A251:B251"/>
    <mergeCell ref="E251:F251"/>
    <mergeCell ref="C251:D251"/>
    <mergeCell ref="G251:H251"/>
    <mergeCell ref="A147:H147"/>
    <mergeCell ref="A145:E145"/>
    <mergeCell ref="F145:H145"/>
    <mergeCell ref="A146:E146"/>
    <mergeCell ref="F146:H146"/>
    <mergeCell ref="A208:H208"/>
    <mergeCell ref="A154:B154"/>
    <mergeCell ref="A247:H247"/>
    <mergeCell ref="A152:H152"/>
    <mergeCell ref="A250:H250"/>
    <mergeCell ref="A248:H248"/>
    <mergeCell ref="A244:H244"/>
    <mergeCell ref="A245:H245"/>
    <mergeCell ref="E153:F153"/>
    <mergeCell ref="A229:H229"/>
    <mergeCell ref="A249:H249"/>
    <mergeCell ref="E148:F148"/>
    <mergeCell ref="B238:H238"/>
    <mergeCell ref="B239:H239"/>
    <mergeCell ref="A1:H1"/>
    <mergeCell ref="A2:H2"/>
    <mergeCell ref="A3:D3"/>
    <mergeCell ref="E3:H3"/>
    <mergeCell ref="A4:D4"/>
    <mergeCell ref="A8:D8"/>
    <mergeCell ref="E8:H8"/>
    <mergeCell ref="A10:D10"/>
    <mergeCell ref="E10:H10"/>
    <mergeCell ref="E4:H4"/>
    <mergeCell ref="A5:D5"/>
    <mergeCell ref="E5:H5"/>
    <mergeCell ref="A6:D6"/>
    <mergeCell ref="E6:H6"/>
    <mergeCell ref="A7:D7"/>
    <mergeCell ref="E7:H7"/>
    <mergeCell ref="A9:D9"/>
    <mergeCell ref="E9:H9"/>
    <mergeCell ref="E19:F19"/>
    <mergeCell ref="G19:H19"/>
    <mergeCell ref="A20:B20"/>
    <mergeCell ref="C20:D20"/>
    <mergeCell ref="E20:F20"/>
    <mergeCell ref="G20:H20"/>
    <mergeCell ref="E25:H25"/>
    <mergeCell ref="A27:D27"/>
    <mergeCell ref="E27:H27"/>
    <mergeCell ref="A24:D24"/>
    <mergeCell ref="E24:H24"/>
    <mergeCell ref="A23:D23"/>
    <mergeCell ref="E23:H23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F32:H32"/>
    <mergeCell ref="F33:H33"/>
    <mergeCell ref="F35:H35"/>
    <mergeCell ref="A37:B37"/>
    <mergeCell ref="A44:D44"/>
    <mergeCell ref="A45:D45"/>
    <mergeCell ref="A46:H46"/>
    <mergeCell ref="D62:H62"/>
    <mergeCell ref="A62:C62"/>
    <mergeCell ref="G49:H49"/>
    <mergeCell ref="A51:B52"/>
    <mergeCell ref="C51:E51"/>
    <mergeCell ref="G48:H48"/>
    <mergeCell ref="G51:H51"/>
    <mergeCell ref="D60:H60"/>
    <mergeCell ref="A57:B57"/>
    <mergeCell ref="A36:H36"/>
    <mergeCell ref="A35:B35"/>
    <mergeCell ref="C35:E35"/>
    <mergeCell ref="A40:D40"/>
    <mergeCell ref="E40:H40"/>
    <mergeCell ref="C52:H52"/>
    <mergeCell ref="E41:H41"/>
    <mergeCell ref="A41:D41"/>
    <mergeCell ref="A48:B48"/>
    <mergeCell ref="C48:E48"/>
    <mergeCell ref="C49:E49"/>
    <mergeCell ref="C57:E57"/>
    <mergeCell ref="A49:B49"/>
    <mergeCell ref="A59:H59"/>
    <mergeCell ref="G156:H156"/>
    <mergeCell ref="F141:H141"/>
    <mergeCell ref="F144:H144"/>
    <mergeCell ref="F142:H142"/>
    <mergeCell ref="A143:E143"/>
    <mergeCell ref="A69:C69"/>
    <mergeCell ref="A77:B77"/>
    <mergeCell ref="A78:B78"/>
    <mergeCell ref="G78:G87"/>
    <mergeCell ref="H78:H87"/>
    <mergeCell ref="A79:B79"/>
    <mergeCell ref="A105:B105"/>
    <mergeCell ref="C105:H105"/>
    <mergeCell ref="A107:B107"/>
    <mergeCell ref="A82:B82"/>
    <mergeCell ref="A83:B83"/>
    <mergeCell ref="A108:B108"/>
    <mergeCell ref="E108:F117"/>
    <mergeCell ref="G108:H117"/>
    <mergeCell ref="A74:B74"/>
    <mergeCell ref="G53:H53"/>
    <mergeCell ref="A50:B50"/>
    <mergeCell ref="C50:E50"/>
    <mergeCell ref="G50:H50"/>
    <mergeCell ref="C54:H54"/>
    <mergeCell ref="D65:H65"/>
    <mergeCell ref="A53:B54"/>
    <mergeCell ref="C53:E53"/>
    <mergeCell ref="C58:E58"/>
    <mergeCell ref="G58:H58"/>
    <mergeCell ref="A58:B58"/>
    <mergeCell ref="A211:H211"/>
    <mergeCell ref="G209:H210"/>
    <mergeCell ref="A216:B216"/>
    <mergeCell ref="A214:H214"/>
    <mergeCell ref="A215:H215"/>
    <mergeCell ref="A60:C60"/>
    <mergeCell ref="A61:C61"/>
    <mergeCell ref="D61:H61"/>
    <mergeCell ref="G57:H57"/>
    <mergeCell ref="D66:H66"/>
    <mergeCell ref="E92:F101"/>
    <mergeCell ref="A99:B99"/>
    <mergeCell ref="A118:B118"/>
    <mergeCell ref="C118:H118"/>
    <mergeCell ref="A134:E134"/>
    <mergeCell ref="G158:H158"/>
    <mergeCell ref="A136:E136"/>
    <mergeCell ref="E156:F156"/>
    <mergeCell ref="E157:F157"/>
    <mergeCell ref="G157:H157"/>
    <mergeCell ref="A223:B223"/>
    <mergeCell ref="G223:H228"/>
    <mergeCell ref="A224:B224"/>
    <mergeCell ref="A225:B225"/>
    <mergeCell ref="A226:B226"/>
    <mergeCell ref="A227:B227"/>
    <mergeCell ref="A228:B228"/>
    <mergeCell ref="A217:B217"/>
    <mergeCell ref="A218:B218"/>
    <mergeCell ref="A219:B219"/>
    <mergeCell ref="A220:B220"/>
    <mergeCell ref="A221:B221"/>
    <mergeCell ref="G216:H221"/>
    <mergeCell ref="A47:B47"/>
    <mergeCell ref="C47:H47"/>
    <mergeCell ref="B235:H235"/>
    <mergeCell ref="G92:H101"/>
    <mergeCell ref="A93:B93"/>
    <mergeCell ref="A94:B94"/>
    <mergeCell ref="A95:B95"/>
    <mergeCell ref="F135:H135"/>
    <mergeCell ref="A135:E135"/>
    <mergeCell ref="A137:E137"/>
    <mergeCell ref="A165:B165"/>
    <mergeCell ref="A166:B166"/>
    <mergeCell ref="A167:B167"/>
    <mergeCell ref="F137:H137"/>
    <mergeCell ref="A71:C71"/>
    <mergeCell ref="D71:H71"/>
    <mergeCell ref="F136:H136"/>
    <mergeCell ref="A141:E141"/>
    <mergeCell ref="A168:B168"/>
    <mergeCell ref="A138:E138"/>
    <mergeCell ref="F133:H133"/>
    <mergeCell ref="F138:H138"/>
    <mergeCell ref="A81:B81"/>
    <mergeCell ref="A212:B212"/>
    <mergeCell ref="L164:M164"/>
    <mergeCell ref="A173:B173"/>
    <mergeCell ref="A180:H180"/>
    <mergeCell ref="A38:B38"/>
    <mergeCell ref="C38:H38"/>
    <mergeCell ref="G150:H150"/>
    <mergeCell ref="A151:B151"/>
    <mergeCell ref="C151:D151"/>
    <mergeCell ref="E151:F151"/>
    <mergeCell ref="G151:H151"/>
    <mergeCell ref="F143:H143"/>
    <mergeCell ref="A144:E144"/>
    <mergeCell ref="C150:D150"/>
    <mergeCell ref="E150:F150"/>
    <mergeCell ref="A133:E133"/>
    <mergeCell ref="A90:B90"/>
    <mergeCell ref="C90:H90"/>
    <mergeCell ref="A91:B91"/>
    <mergeCell ref="E91:F91"/>
    <mergeCell ref="G91:H91"/>
    <mergeCell ref="A139:E139"/>
    <mergeCell ref="F139:H139"/>
    <mergeCell ref="A140:E140"/>
    <mergeCell ref="A142:E142"/>
    <mergeCell ref="L172:M172"/>
    <mergeCell ref="A186:B186"/>
    <mergeCell ref="A175:B175"/>
    <mergeCell ref="G175:H175"/>
    <mergeCell ref="L174:M174"/>
    <mergeCell ref="A185:B185"/>
    <mergeCell ref="G165:H173"/>
    <mergeCell ref="A178:H178"/>
    <mergeCell ref="A179:H179"/>
    <mergeCell ref="A174:H174"/>
    <mergeCell ref="L168:M168"/>
    <mergeCell ref="A170:B170"/>
    <mergeCell ref="L169:M169"/>
    <mergeCell ref="A171:B171"/>
    <mergeCell ref="L170:M170"/>
    <mergeCell ref="A172:B172"/>
    <mergeCell ref="L171:M171"/>
    <mergeCell ref="A184:B184"/>
    <mergeCell ref="L167:M167"/>
    <mergeCell ref="L166:M166"/>
    <mergeCell ref="L165:M165"/>
    <mergeCell ref="T207:U207"/>
    <mergeCell ref="A196:B196"/>
    <mergeCell ref="A197:B197"/>
    <mergeCell ref="A198:B198"/>
    <mergeCell ref="A199:B199"/>
    <mergeCell ref="A187:B187"/>
    <mergeCell ref="A188:B188"/>
    <mergeCell ref="A189:B189"/>
    <mergeCell ref="A190:B190"/>
    <mergeCell ref="A191:B191"/>
    <mergeCell ref="A192:B192"/>
    <mergeCell ref="G181:H192"/>
    <mergeCell ref="A194:B194"/>
    <mergeCell ref="G194:H205"/>
    <mergeCell ref="A183:B183"/>
    <mergeCell ref="A193:H193"/>
    <mergeCell ref="A206:H206"/>
    <mergeCell ref="A207:H207"/>
    <mergeCell ref="A202:B202"/>
    <mergeCell ref="A203:B203"/>
    <mergeCell ref="A195:B195"/>
    <mergeCell ref="A200:B200"/>
    <mergeCell ref="A205:B205"/>
    <mergeCell ref="A201:B201"/>
    <mergeCell ref="A73:C73"/>
    <mergeCell ref="D73:H73"/>
    <mergeCell ref="C76:H76"/>
    <mergeCell ref="A72:C72"/>
    <mergeCell ref="D72:H72"/>
    <mergeCell ref="D69:H69"/>
    <mergeCell ref="A68:C68"/>
    <mergeCell ref="D67:H67"/>
    <mergeCell ref="D68:H68"/>
    <mergeCell ref="C74:H74"/>
    <mergeCell ref="A76:B76"/>
    <mergeCell ref="A70:C70"/>
    <mergeCell ref="D70:H70"/>
    <mergeCell ref="A80:B80"/>
    <mergeCell ref="A122:B122"/>
    <mergeCell ref="E122:F122"/>
    <mergeCell ref="C103:H103"/>
    <mergeCell ref="A127:B127"/>
    <mergeCell ref="A113:B113"/>
    <mergeCell ref="A114:B114"/>
    <mergeCell ref="A115:B115"/>
    <mergeCell ref="A116:B116"/>
    <mergeCell ref="A117:B117"/>
    <mergeCell ref="A102:B102"/>
    <mergeCell ref="C102:D102"/>
    <mergeCell ref="E102:F102"/>
    <mergeCell ref="G102:H102"/>
    <mergeCell ref="E121:F121"/>
    <mergeCell ref="G121:H121"/>
    <mergeCell ref="G122:H122"/>
    <mergeCell ref="A92:B92"/>
    <mergeCell ref="E107:F107"/>
    <mergeCell ref="G107:H107"/>
    <mergeCell ref="B242:H242"/>
    <mergeCell ref="A84:B84"/>
    <mergeCell ref="A85:B85"/>
    <mergeCell ref="A86:B86"/>
    <mergeCell ref="A87:B87"/>
    <mergeCell ref="A88:B88"/>
    <mergeCell ref="A109:B109"/>
    <mergeCell ref="A110:B110"/>
    <mergeCell ref="A111:B111"/>
    <mergeCell ref="A112:B112"/>
    <mergeCell ref="A103:B103"/>
    <mergeCell ref="A101:B101"/>
    <mergeCell ref="A100:B100"/>
    <mergeCell ref="A123:B123"/>
    <mergeCell ref="E123:F132"/>
    <mergeCell ref="G123:H132"/>
    <mergeCell ref="A124:B124"/>
    <mergeCell ref="A125:B125"/>
    <mergeCell ref="A126:B126"/>
    <mergeCell ref="A128:B128"/>
    <mergeCell ref="B237:H237"/>
    <mergeCell ref="A210:B210"/>
    <mergeCell ref="G212:H212"/>
    <mergeCell ref="A222:H222"/>
    <mergeCell ref="A129:B129"/>
    <mergeCell ref="A130:B130"/>
    <mergeCell ref="A131:B131"/>
    <mergeCell ref="A132:B132"/>
    <mergeCell ref="A106:B106"/>
    <mergeCell ref="C106:D106"/>
    <mergeCell ref="E106:F106"/>
    <mergeCell ref="G106:H106"/>
    <mergeCell ref="A181:B181"/>
    <mergeCell ref="C159:D159"/>
    <mergeCell ref="E159:F159"/>
    <mergeCell ref="G159:H159"/>
  </mergeCells>
  <hyperlinks>
    <hyperlink ref="C38" r:id="rId1" xr:uid="{00000000-0004-0000-0000-000000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5" manualBreakCount="5">
    <brk id="106" max="7" man="1"/>
    <brk id="243" max="7" man="1"/>
    <brk id="255" max="7" man="1"/>
    <brk id="297" max="7" man="1"/>
    <brk id="331" max="7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B16" sqref="B16"/>
    </sheetView>
  </sheetViews>
  <sheetFormatPr defaultColWidth="8.6640625" defaultRowHeight="14.4" x14ac:dyDescent="0.3"/>
  <cols>
    <col min="1" max="1" width="8.6640625" style="1"/>
    <col min="2" max="2" width="22.1093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664062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243" t="s">
        <v>104</v>
      </c>
      <c r="C3" s="243"/>
      <c r="D3" s="243"/>
      <c r="E3" s="243"/>
      <c r="F3" s="243"/>
      <c r="G3" s="243"/>
      <c r="H3" s="243"/>
    </row>
    <row r="4" spans="1:9" x14ac:dyDescent="0.3">
      <c r="A4" s="2"/>
      <c r="B4" s="3" t="s">
        <v>105</v>
      </c>
      <c r="C4" s="3" t="s">
        <v>106</v>
      </c>
      <c r="D4" s="3" t="s">
        <v>66</v>
      </c>
      <c r="E4" s="3" t="s">
        <v>107</v>
      </c>
      <c r="F4" s="3" t="s">
        <v>113</v>
      </c>
      <c r="G4" s="3" t="s">
        <v>114</v>
      </c>
      <c r="H4" s="3" t="s">
        <v>108</v>
      </c>
    </row>
    <row r="5" spans="1:9" ht="15" customHeight="1" x14ac:dyDescent="0.3">
      <c r="A5" s="2"/>
      <c r="B5" s="5" t="s">
        <v>109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">
      <c r="A6" s="2"/>
      <c r="B6" s="5" t="s">
        <v>109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">
      <c r="A7" s="2"/>
      <c r="B7" s="5" t="s">
        <v>109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">
      <c r="A8" s="2"/>
      <c r="B8" s="5" t="s">
        <v>109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">
      <c r="A9" s="2"/>
      <c r="B9" s="5" t="s">
        <v>109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110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">
      <c r="A11" s="2"/>
      <c r="B11" s="5" t="s">
        <v>110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">
      <c r="A12" s="2"/>
      <c r="B12" s="10" t="s">
        <v>111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">
      <c r="B13" s="10" t="s">
        <v>112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pranitam503@gmail.com</cp:lastModifiedBy>
  <cp:lastPrinted>2025-08-14T07:28:56Z</cp:lastPrinted>
  <dcterms:created xsi:type="dcterms:W3CDTF">2019-07-16T09:29:46Z</dcterms:created>
  <dcterms:modified xsi:type="dcterms:W3CDTF">2025-08-14T10:12:41Z</dcterms:modified>
</cp:coreProperties>
</file>