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674BB644-544E-402C-898B-1A08949A67B1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3" i="1" l="1"/>
  <c r="D162" i="1"/>
  <c r="D161" i="1"/>
  <c r="D160" i="1"/>
  <c r="D159" i="1"/>
  <c r="D158" i="1"/>
  <c r="D157" i="1"/>
  <c r="D156" i="1"/>
  <c r="E173" i="1" l="1"/>
  <c r="D173" i="1"/>
  <c r="E172" i="1"/>
  <c r="D172" i="1"/>
  <c r="E171" i="1"/>
  <c r="D171" i="1"/>
  <c r="E170" i="1"/>
  <c r="D170" i="1"/>
  <c r="E169" i="1"/>
  <c r="D169" i="1"/>
  <c r="E168" i="1"/>
  <c r="D168" i="1"/>
  <c r="I168" i="1"/>
  <c r="F163" i="1"/>
  <c r="F162" i="1"/>
  <c r="H162" i="1"/>
  <c r="F161" i="1"/>
  <c r="H160" i="1"/>
  <c r="F159" i="1"/>
  <c r="H158" i="1"/>
  <c r="J158" i="1" s="1"/>
  <c r="F157" i="1"/>
  <c r="H156" i="1"/>
  <c r="D154" i="1"/>
  <c r="H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D144" i="1"/>
  <c r="H144" i="1" s="1"/>
  <c r="L144" i="1" s="1"/>
  <c r="D143" i="1"/>
  <c r="D142" i="1"/>
  <c r="H153" i="1"/>
  <c r="H150" i="1"/>
  <c r="H146" i="1"/>
  <c r="L146" i="1" s="1"/>
  <c r="D140" i="1"/>
  <c r="D139" i="1"/>
  <c r="D138" i="1"/>
  <c r="D137" i="1"/>
  <c r="H137" i="1" s="1"/>
  <c r="L137" i="1" s="1"/>
  <c r="I140" i="1"/>
  <c r="I139" i="1"/>
  <c r="I138" i="1"/>
  <c r="I137" i="1"/>
  <c r="H145" i="1"/>
  <c r="L145" i="1" s="1"/>
  <c r="H143" i="1"/>
  <c r="L143" i="1" s="1"/>
  <c r="H138" i="1"/>
  <c r="L138" i="1" s="1"/>
  <c r="H142" i="1" l="1"/>
  <c r="L142" i="1" s="1"/>
  <c r="F142" i="1"/>
  <c r="H148" i="1"/>
  <c r="L148" i="1" s="1"/>
  <c r="H152" i="1"/>
  <c r="F154" i="1"/>
  <c r="F172" i="1"/>
  <c r="H172" i="1" s="1"/>
  <c r="F173" i="1"/>
  <c r="H173" i="1" s="1"/>
  <c r="J173" i="1" s="1"/>
  <c r="H149" i="1"/>
  <c r="F158" i="1"/>
  <c r="H147" i="1"/>
  <c r="H151" i="1"/>
  <c r="F156" i="1"/>
  <c r="E126" i="1" s="1"/>
  <c r="F160" i="1"/>
  <c r="H157" i="1"/>
  <c r="H159" i="1"/>
  <c r="J159" i="1" s="1"/>
  <c r="J160" i="1" s="1"/>
  <c r="H161" i="1"/>
  <c r="H163" i="1"/>
  <c r="F143" i="1"/>
  <c r="F144" i="1"/>
  <c r="F145" i="1"/>
  <c r="F138" i="1"/>
  <c r="F139" i="1"/>
  <c r="F140" i="1"/>
  <c r="F137" i="1"/>
  <c r="H139" i="1"/>
  <c r="H140" i="1"/>
  <c r="L140" i="1" s="1"/>
  <c r="B177" i="1"/>
  <c r="B176" i="1"/>
  <c r="F169" i="1"/>
  <c r="F170" i="1"/>
  <c r="F171" i="1"/>
  <c r="F168" i="1"/>
  <c r="G124" i="1" l="1"/>
  <c r="L139" i="1"/>
  <c r="L141" i="1" s="1"/>
  <c r="C130" i="1"/>
  <c r="E130" i="1"/>
  <c r="E124" i="1"/>
  <c r="C124" i="1"/>
  <c r="G126" i="1"/>
  <c r="C126" i="1"/>
  <c r="G125" i="1"/>
  <c r="L147" i="1"/>
  <c r="L149" i="1" s="1"/>
  <c r="I125" i="1"/>
  <c r="J172" i="1"/>
  <c r="C125" i="1"/>
  <c r="E125" i="1"/>
  <c r="C15" i="1"/>
  <c r="E127" i="1" l="1"/>
  <c r="E131" i="1" s="1"/>
  <c r="C127" i="1"/>
  <c r="C131" i="1" s="1"/>
  <c r="G127" i="1"/>
  <c r="Z12" i="1"/>
  <c r="I14" i="1"/>
  <c r="H168" i="1" l="1"/>
  <c r="I124" i="1" l="1"/>
  <c r="I126" i="1" s="1"/>
  <c r="J168" i="1"/>
  <c r="E43" i="1"/>
  <c r="E44" i="1" s="1"/>
  <c r="E30" i="1" l="1"/>
  <c r="H169" i="1" l="1"/>
  <c r="H170" i="1"/>
  <c r="J170" i="1" s="1"/>
  <c r="H171" i="1"/>
  <c r="J171" i="1" s="1"/>
  <c r="A169" i="1"/>
  <c r="A170" i="1" s="1"/>
  <c r="A171" i="1" s="1"/>
  <c r="A172" i="1" s="1"/>
  <c r="A173" i="1" s="1"/>
  <c r="J169" i="1" l="1"/>
  <c r="J174" i="1" s="1"/>
  <c r="G130" i="1"/>
  <c r="G131" i="1" s="1"/>
  <c r="F12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9" i="1"/>
  <c r="A138" i="1"/>
  <c r="A139" i="1" s="1"/>
  <c r="A140" i="1" s="1"/>
  <c r="C94" i="1"/>
  <c r="B95" i="1" s="1"/>
  <c r="C80" i="1"/>
  <c r="B81" i="1" s="1"/>
  <c r="C66" i="1"/>
  <c r="B67" i="1" s="1"/>
  <c r="D55" i="1"/>
  <c r="G50" i="1"/>
  <c r="G51" i="1" s="1"/>
  <c r="C50" i="1"/>
  <c r="E27" i="1"/>
  <c r="E25" i="1"/>
  <c r="E7" i="1"/>
  <c r="E3" i="1"/>
  <c r="H95" i="1"/>
  <c r="D60" i="1" l="1"/>
  <c r="C100" i="1"/>
  <c r="J94" i="1" s="1"/>
  <c r="J96" i="1" s="1"/>
  <c r="J98" i="1"/>
  <c r="D107" i="1"/>
  <c r="D105" i="1"/>
  <c r="D103" i="1"/>
  <c r="D101" i="1"/>
  <c r="J99" i="1"/>
  <c r="C98" i="1" s="1"/>
  <c r="J97" i="1"/>
  <c r="J100" i="1"/>
  <c r="J101" i="1" s="1"/>
  <c r="J106" i="1" s="1"/>
  <c r="D106" i="1"/>
  <c r="D104" i="1"/>
  <c r="D102" i="1"/>
  <c r="H67" i="1"/>
  <c r="H81" i="1"/>
  <c r="J85" i="1" l="1"/>
  <c r="C84" i="1" s="1"/>
  <c r="D84" i="1" s="1"/>
  <c r="J83" i="1"/>
  <c r="J86" i="1"/>
  <c r="J87" i="1" s="1"/>
  <c r="J92" i="1" s="1"/>
  <c r="J80" i="1"/>
  <c r="J82" i="1" s="1"/>
  <c r="D88" i="1"/>
  <c r="D90" i="1"/>
  <c r="D93" i="1"/>
  <c r="D87" i="1"/>
  <c r="D91" i="1"/>
  <c r="D92" i="1"/>
  <c r="D89" i="1"/>
  <c r="J84" i="1"/>
  <c r="D79" i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102" i="1"/>
  <c r="J103" i="1" s="1"/>
  <c r="J104" i="1" s="1"/>
  <c r="J105" i="1" s="1"/>
  <c r="J107" i="1" s="1"/>
  <c r="C99" i="1" s="1"/>
  <c r="J88" i="1"/>
  <c r="J89" i="1" s="1"/>
  <c r="J90" i="1" s="1"/>
  <c r="J91" i="1" s="1"/>
  <c r="J74" i="1"/>
  <c r="J75" i="1" s="1"/>
  <c r="J76" i="1" s="1"/>
  <c r="J77" i="1" s="1"/>
  <c r="D100" i="1"/>
  <c r="D98" i="1"/>
  <c r="D86" i="1"/>
  <c r="D72" i="1"/>
  <c r="J79" i="1" l="1"/>
  <c r="C71" i="1" s="1"/>
  <c r="G70" i="1" s="1"/>
  <c r="D64" i="1" s="1"/>
  <c r="D65" i="1" s="1"/>
  <c r="E98" i="1"/>
  <c r="G98" i="1"/>
  <c r="D99" i="1"/>
  <c r="I95" i="1" s="1"/>
  <c r="J93" i="1"/>
  <c r="J81" i="1" s="1"/>
  <c r="J95" i="1"/>
  <c r="J67" i="1" l="1"/>
  <c r="D71" i="1"/>
  <c r="I67" i="1" s="1"/>
  <c r="I68" i="1" s="1"/>
  <c r="E70" i="1"/>
  <c r="F65" i="1"/>
  <c r="E84" i="1"/>
  <c r="G84" i="1"/>
  <c r="D85" i="1"/>
  <c r="I81" i="1" s="1"/>
  <c r="I82" i="1" s="1"/>
  <c r="I96" i="1"/>
  <c r="I94" i="1" s="1"/>
  <c r="C96" i="1" s="1"/>
  <c r="I66" i="1" l="1"/>
  <c r="C68" i="1" s="1"/>
  <c r="I80" i="1"/>
  <c r="C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<sst xmlns="http://schemas.openxmlformats.org/spreadsheetml/2006/main" count="499" uniqueCount="291">
  <si>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</si>
  <si>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</si>
  <si>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</si>
  <si>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</si>
  <si>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</si>
  <si>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</si>
  <si>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</si>
  <si>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</si>
  <si>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</si>
  <si>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</si>
  <si>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</si>
  <si>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</si>
  <si>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</si>
  <si>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</si>
  <si>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</si>
  <si>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</si>
  <si>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</si>
  <si>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</si>
  <si>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</si>
  <si>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</si>
  <si>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</si>
  <si>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</si>
  <si>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</si>
  <si>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</si>
  <si>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</si>
  <si>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</si>
  <si>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</si>
  <si>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</si>
  <si>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</si>
  <si>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</si>
  <si>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</si>
  <si>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</si>
  <si>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</si>
  <si>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</si>
  <si>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</si>
  <si>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</si>
  <si>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</si>
  <si>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</si>
  <si>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</si>
  <si>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</si>
  <si>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</si>
  <si>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</si>
  <si>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</si>
  <si>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</si>
  <si>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</si>
  <si>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</si>
  <si>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</si>
  <si>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</si>
  <si>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</si>
  <si>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</si>
  <si>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</si>
  <si>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</si>
  <si>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</si>
  <si>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</si>
  <si>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</si>
  <si>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</si>
  <si>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</si>
  <si>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</si>
  <si>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</si>
  <si>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</si>
  <si>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</si>
  <si>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</si>
  <si>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</si>
  <si>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</si>
  <si>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</si>
  <si>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</si>
  <si>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</si>
  <si>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</si>
  <si>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</si>
  <si>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</si>
  <si>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</si>
  <si>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</si>
  <si>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</si>
  <si>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</si>
  <si>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</si>
  <si>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</si>
  <si>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</si>
  <si>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</si>
  <si>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</si>
  <si>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</si>
  <si>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</si>
  <si>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</si>
  <si>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</si>
  <si>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</si>
  <si>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</si>
  <si>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</si>
  <si>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</si>
  <si>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</si>
  <si>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</si>
  <si>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</si>
  <si>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</si>
  <si>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</si>
  <si>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</si>
  <si>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</si>
  <si>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</si>
  <si>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</si>
  <si>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</si>
  <si>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</si>
  <si>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</si>
  <si>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</si>
  <si>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</si>
  <si>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</si>
  <si>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</si>
  <si>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</si>
  <si>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</si>
  <si>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</si>
  <si>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</si>
  <si>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</si>
  <si>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</si>
  <si>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</si>
  <si>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</si>
  <si>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</si>
  <si>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</si>
  <si>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</si>
  <si>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</si>
  <si>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</si>
  <si>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</si>
  <si>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</si>
  <si>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</si>
  <si>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</si>
  <si>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</si>
  <si>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</si>
  <si>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</si>
  <si>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</si>
  <si>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</si>
  <si>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</si>
  <si>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</si>
  <si>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</si>
  <si>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</si>
  <si>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</si>
  <si>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</si>
  <si>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</si>
  <si>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</si>
  <si>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</si>
  <si>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</si>
  <si>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</si>
  <si>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</si>
  <si>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</si>
  <si>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</si>
  <si>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</si>
  <si>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</si>
  <si>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</si>
  <si>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</si>
  <si>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</si>
  <si>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</si>
  <si>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</si>
  <si>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</si>
  <si>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</si>
  <si>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</si>
  <si>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</si>
  <si>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</si>
  <si>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</si>
  <si>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</si>
  <si>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</si>
  <si>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</si>
  <si>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</si>
  <si>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</si>
  <si>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</si>
  <si>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</si>
  <si>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</si>
  <si>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</si>
  <si>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</si>
  <si>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</si>
  <si>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</si>
  <si>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</si>
  <si>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</si>
  <si>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</si>
  <si>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</si>
  <si>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</si>
  <si>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</si>
  <si>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</si>
  <si>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</si>
  <si>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</si>
  <si>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</si>
  <si>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</si>
  <si>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</si>
  <si>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</si>
  <si>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</si>
  <si>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</si>
  <si>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</si>
  <si>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</si>
  <si>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</si>
  <si>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</si>
  <si>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</si>
  <si>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</si>
  <si>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</si>
  <si>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</si>
  <si>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</si>
  <si>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</si>
  <si>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</si>
  <si>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</si>
  <si>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</si>
  <si>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</si>
  <si>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</si>
  <si>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</si>
  <si>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</si>
  <si>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</si>
  <si>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</si>
  <si>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</si>
  <si>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</si>
  <si>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</si>
  <si>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</si>
  <si>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</si>
  <si>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</si>
  <si>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</si>
  <si>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</si>
  <si>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</si>
  <si>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</si>
  <si>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</si>
  <si>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</si>
  <si>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</si>
  <si>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</si>
  <si>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</si>
  <si>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</si>
  <si>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</si>
  <si>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</si>
  <si>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</si>
  <si>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</si>
  <si>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</si>
  <si>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</si>
  <si>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</si>
  <si>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</si>
  <si>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</si>
  <si>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</si>
  <si>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</si>
  <si>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</si>
  <si>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</si>
  <si>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</si>
  <si>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</si>
  <si>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</si>
  <si>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</si>
  <si>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</si>
  <si>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</si>
  <si>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 xml:space="preserve">Please check for Environment Clearance Certificate.
</t>
  </si>
  <si>
    <t>Axis Badlapur</t>
  </si>
  <si>
    <t>Samruddhi Builders &amp; Developers</t>
  </si>
  <si>
    <t>Om Moreshwar</t>
  </si>
  <si>
    <t>As per RERA - 31/12/2026</t>
  </si>
  <si>
    <t>Om Aarti Co Op Housing Society</t>
  </si>
  <si>
    <t>P51700052478</t>
  </si>
  <si>
    <t>Survey No</t>
  </si>
  <si>
    <t>Shirgaon</t>
  </si>
  <si>
    <t>Internal Road</t>
  </si>
  <si>
    <t>2 KM from Badlapur Railway Station</t>
  </si>
  <si>
    <t xml:space="preserve">Badlapur </t>
  </si>
  <si>
    <t>Akashganga Complex</t>
  </si>
  <si>
    <t>Moreshwar Apartment</t>
  </si>
  <si>
    <t>15.00 M.W.D.P</t>
  </si>
  <si>
    <t>Other Plot</t>
  </si>
  <si>
    <t>15.00 M Road</t>
  </si>
  <si>
    <t>Road/Nav Rushikesh Building</t>
  </si>
  <si>
    <t>https://maps.app.goo.gl/WZNr552N6R5EebHeA</t>
  </si>
  <si>
    <t>Kulgoan Badlapur Municipal Council</t>
  </si>
  <si>
    <t>KBNP/NRV/BP/171-163</t>
  </si>
  <si>
    <t>KBNP/NRV/BP/2022-2023/171/Uuique No. 163</t>
  </si>
  <si>
    <t>23, Hissa No.1(Pt), Plot No. 6 &amp; 7, Existing Building Name - Om Aarti Co op Housing Society.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</si>
  <si>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</si>
  <si>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1B + Gr + 1st to 7th Floor</t>
  </si>
  <si>
    <t>Basement Floor for Commercial &amp; Parking</t>
  </si>
  <si>
    <t>Storage</t>
  </si>
  <si>
    <t>Ground Floor for Society Office, Entrance Lobby &amp; Driver Room</t>
  </si>
  <si>
    <t>Shop</t>
  </si>
  <si>
    <t>1st Floor</t>
  </si>
  <si>
    <t>Office</t>
  </si>
  <si>
    <t>2nd to 7th Floor for Residential</t>
  </si>
  <si>
    <t>1BHK</t>
  </si>
  <si>
    <t>2BHK</t>
  </si>
  <si>
    <t>sale</t>
  </si>
  <si>
    <t>604 to 606</t>
  </si>
  <si>
    <t>701 to 706</t>
  </si>
  <si>
    <t>as per Builder Sheet</t>
  </si>
  <si>
    <t>We considered Gross carpet area = Net carpet + AP Area + C.P Area</t>
  </si>
  <si>
    <t>AP Area/CP Area</t>
  </si>
  <si>
    <t>Flats</t>
  </si>
  <si>
    <t>Shops</t>
  </si>
  <si>
    <t>Offices</t>
  </si>
  <si>
    <t>Storages</t>
  </si>
  <si>
    <t>We have received the builder area sheet for rehab sale tenants, but we have not considered them.</t>
  </si>
  <si>
    <t>Housing</t>
  </si>
  <si>
    <t xml:space="preserve">https://housing.com/in/buy/projects/page/306526-samruddhi-om-moreshwar-by-samruddhi-builders-and-developers-in-badlapur-west </t>
  </si>
  <si>
    <t>Recommended rate of the Storages Per Sq. Ft. (Basement Floor)</t>
  </si>
  <si>
    <t>Meter Room, Vitrified Tiles, Modular Kitchen</t>
  </si>
  <si>
    <t>Flats - 36, Shops - 13, Offices - 8, Storages - 4</t>
  </si>
  <si>
    <t>19.160550,73.230070</t>
  </si>
  <si>
    <t>Construction work is in process at the time of Visit (Labour found).</t>
  </si>
  <si>
    <t>Mr. Om Deshmukh 9326386514
Mr. Santosh 8087390139</t>
  </si>
  <si>
    <t>4500 to 4700</t>
  </si>
  <si>
    <t>Bhargav</t>
  </si>
  <si>
    <t xml:space="preserve">Recommended Rates / Other charges of the Property have been revised on 22/05/2025.
</t>
  </si>
  <si>
    <t xml:space="preserve"> Sudhir Bhosale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</si>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</sst>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8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7" xfId="1" applyFont="1" applyBorder="1"/>
    <xf numFmtId="0" fontId="18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3" xfId="0" applyFont="1" applyFill="1" applyBorder="1"/>
    <xf numFmtId="0" fontId="26" fillId="0" borderId="24" xfId="0" applyFont="1" applyBorder="1"/>
    <xf numFmtId="0" fontId="26" fillId="0" borderId="1" xfId="0" applyFont="1" applyBorder="1"/>
    <xf numFmtId="0" fontId="26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>
      <alignment horizontal="center" vertical="center"/>
    </xf>
    <xf numFmtId="0" fontId="30" fillId="0" borderId="0" xfId="0" applyFont="1"/>
    <xf numFmtId="1" fontId="10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27" fillId="0" borderId="0" xfId="10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5" fillId="2" borderId="12" xfId="0" applyFont="1" applyFill="1" applyBorder="1"/>
    <xf numFmtId="0" fontId="26" fillId="0" borderId="6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2" xfId="1" applyFont="1" applyBorder="1" applyAlignment="1">
      <alignment horizontal="center"/>
    </xf>
    <xf numFmtId="0" fontId="7" fillId="0" borderId="0" xfId="1" applyFont="1" applyAlignment="1">
      <alignment horizontal="center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10" fillId="0" borderId="26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1" fontId="10" fillId="0" borderId="26" xfId="0" applyNumberFormat="1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6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6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1" fontId="17" fillId="0" borderId="18" xfId="0" applyNumberFormat="1" applyFont="1" applyBorder="1" applyAlignment="1" applyProtection="1">
      <alignment vertical="top" wrapText="1"/>
      <protection locked="0"/>
    </xf>
    <xf numFmtId="1" fontId="17" fillId="0" borderId="6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207818</xdr:colOff>
      <xdr:row>8</xdr:row>
      <xdr:rowOff>355022</xdr:rowOff>
    </xdr:from>
    <xdr:to>
      <xdr:col>11</xdr:col>
      <xdr:colOff>168111</xdr:colOff>
      <xdr:row>15</xdr:row>
      <xdr:rowOff>93649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0" y="2337954"/>
          <a:ext cx="2631622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502227</xdr:colOff>
      <xdr:row>288</xdr:row>
      <xdr:rowOff>17318</xdr:rowOff>
    </xdr:from>
    <xdr:to>
      <xdr:col>7</xdr:col>
      <xdr:colOff>280523</xdr:colOff>
      <xdr:row>306</xdr:row>
      <xdr:rowOff>32455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2227" y="55634659"/>
          <a:ext cx="545000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502227</xdr:colOff>
      <xdr:row>307</xdr:row>
      <xdr:rowOff>100445</xdr:rowOff>
    </xdr:from>
    <xdr:to>
      <xdr:col>7</xdr:col>
      <xdr:colOff>183572</xdr:colOff>
      <xdr:row>324</xdr:row>
      <xdr:rowOff>86590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2227" y="59501809"/>
          <a:ext cx="5353050" cy="33718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138547</xdr:colOff>
      <xdr:row>315</xdr:row>
      <xdr:rowOff>121228</xdr:rowOff>
    </xdr:from>
    <xdr:to>
      <xdr:col>3</xdr:col>
      <xdr:colOff>787978</xdr:colOff>
      <xdr:row>319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9978104">
          <a:off x="2545774" y="61115864"/>
          <a:ext cx="649431" cy="675409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8659</xdr:colOff>
      <xdr:row>248</xdr:row>
      <xdr:rowOff>77931</xdr:rowOff>
    </xdr:from>
    <xdr:to>
      <xdr:col>6</xdr:col>
      <xdr:colOff>737144</xdr:colOff>
      <xdr:row>262</xdr:row>
      <xdr:rowOff>194466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0659" y="47529749"/>
          <a:ext cx="4876190" cy="290476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270510</xdr:colOff>
      <xdr:row>197</xdr:row>
      <xdr:rowOff>60007</xdr:rowOff>
    </xdr:from>
    <xdr:to>
      <xdr:col>17</xdr:col>
      <xdr:colOff>142875</xdr:colOff>
      <xdr:row>239</xdr:row>
      <xdr:rowOff>150270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579848" y="35985376"/>
          <a:ext cx="7146535" cy="8454679"/>
          <a:chOff x="95250" y="36295012"/>
          <a:chExt cx="6981825" cy="8481788"/>
        </a:xfrm>
      </xdr:grpSpPr>
      <xdr:pic>
        <xdr:nvPicPr>
          <xdr:cNvPr id="27" name="Picture 26" descr="https://vsjcllp.vsjadon.com/upload/insp-234007-1525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24175" y="43577710"/>
            <a:ext cx="1590675" cy="11990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4007-843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4" y="36295012"/>
            <a:ext cx="2260141" cy="30051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4007-845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314951" y="41692512"/>
            <a:ext cx="1348125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4007-844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66900" y="39371588"/>
            <a:ext cx="1676400" cy="22289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4007-849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38399" y="36295012"/>
            <a:ext cx="2260141" cy="30051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4007-851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72024" y="36295012"/>
            <a:ext cx="2260141" cy="30051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4007-861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29025" y="39371588"/>
            <a:ext cx="1676400" cy="22289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4007-871.jpg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39371588"/>
            <a:ext cx="1676400" cy="22289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34007-916.jp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38450" y="41690925"/>
            <a:ext cx="2387823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34007-874.jpg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400675" y="39371588"/>
            <a:ext cx="1676400" cy="222898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34007-922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1475" y="41690925"/>
            <a:ext cx="2387823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175260</xdr:colOff>
      <xdr:row>199</xdr:row>
      <xdr:rowOff>91440</xdr:rowOff>
    </xdr:from>
    <xdr:to>
      <xdr:col>7</xdr:col>
      <xdr:colOff>1226820</xdr:colOff>
      <xdr:row>241</xdr:row>
      <xdr:rowOff>53340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BAE5493-577D-554E-7530-1E7093EAF7D3}"/>
            </a:ext>
          </a:extLst>
        </xdr:cNvPr>
        <xdr:cNvGrpSpPr/>
      </xdr:nvGrpSpPr>
      <xdr:grpSpPr>
        <a:xfrm>
          <a:off x="175260" y="36415394"/>
          <a:ext cx="6883791" cy="8326315"/>
          <a:chOff x="412113" y="447758"/>
          <a:chExt cx="6052484" cy="6545973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4EB442FC-F413-8F69-A98B-B5E96CC124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2568" y="5603974"/>
            <a:ext cx="1842029" cy="13885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646061CE-BEE0-BFC7-7DA8-56A07687CA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16408" y="447758"/>
            <a:ext cx="2415311" cy="321145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B221BAAA-0FE5-653B-8DBE-2C00F36727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22513" y="3732503"/>
            <a:ext cx="1353101" cy="17991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CA9A55A8-AF50-9E22-3817-41C1504780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4934" y="5605164"/>
            <a:ext cx="1842029" cy="13885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11C47A0C-2089-1D8B-420F-F5ADBDD5A3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81988" y="447758"/>
            <a:ext cx="2415118" cy="3211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6D0EF5BD-DCE8-405C-C358-CDBFC6D4CC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4098" y="5604569"/>
            <a:ext cx="1039979" cy="13885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B5FFDAD0-0F85-ABFE-C4C3-AB1DFBC5280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44005" y="3731908"/>
            <a:ext cx="1353101" cy="17991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37A7575-874D-9D35-6AEE-FBF6F46759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76786" y="3732503"/>
            <a:ext cx="1353101" cy="17991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753A6D05-A6BA-4CBC-99E7-0FC15D4C1B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5649" y="3731908"/>
            <a:ext cx="1353101" cy="17991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E0E0F993-1B51-D2FA-7A35-04FFC69C7F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2113" y="5603974"/>
            <a:ext cx="1044330" cy="138856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13</xdr:row>
      <xdr:rowOff>168088</xdr:rowOff>
    </xdr:from>
    <xdr:to>
      <xdr:col>6</xdr:col>
      <xdr:colOff>323544</xdr:colOff>
      <xdr:row>26</xdr:row>
      <xdr:rowOff>53493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2655794"/>
          <a:ext cx="6923809" cy="2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306526-samruddhi-om-moreshwar-by-samruddhi-builders-and-developers-in-badlapur-west" TargetMode="External"/><Relationship Id="rId1" Type="http://schemas.openxmlformats.org/officeDocument/2006/relationships/hyperlink" Target="https://maps.app.goo.gl/WZNr552N6R5EebHeA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87"/>
  <sheetViews>
    <sheetView tabSelected="1" view="pageBreakPreview" zoomScale="130" zoomScaleNormal="100" zoomScaleSheetLayoutView="130" zoomScalePageLayoutView="85" workbookViewId="0">
      <selection activeCell="I2" sqref="I2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6" width="11.6640625" style="40" customWidth="1"/>
    <col min="7" max="7" width="11.44140625" style="40" customWidth="1"/>
    <col min="8" max="8" width="21.5546875" style="40" customWidth="1"/>
    <col min="9" max="9" width="17.44140625" style="21" customWidth="1"/>
    <col min="10" max="10" width="11.44140625" style="21" customWidth="1"/>
    <col min="11" max="11" width="11.3320312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26" ht="46.5" customHeight="1" x14ac:dyDescent="0.3">
      <c r="A1" s="135" t="s">
        <v>165</v>
      </c>
      <c r="B1" s="135"/>
      <c r="C1" s="135"/>
      <c r="D1" s="135"/>
      <c r="E1" s="135"/>
      <c r="F1" s="135"/>
      <c r="G1" s="135"/>
      <c r="H1" s="135"/>
    </row>
    <row r="2" spans="1:26" ht="16.5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</row>
    <row r="3" spans="1:26" x14ac:dyDescent="0.3">
      <c r="A3" s="78" t="s">
        <v>1</v>
      </c>
      <c r="B3" s="78"/>
      <c r="C3" s="78"/>
      <c r="D3" s="78"/>
      <c r="E3" s="78" t="str">
        <f ca="1">TEXT(TODAY(),"DD/MM/YYYY")</f>
        <v>14/08/2025</v>
      </c>
      <c r="F3" s="78"/>
      <c r="G3" s="78"/>
      <c r="H3" s="78"/>
    </row>
    <row r="4" spans="1:26" ht="15" customHeight="1" x14ac:dyDescent="0.3">
      <c r="A4" s="78" t="s">
        <v>2</v>
      </c>
      <c r="B4" s="78"/>
      <c r="C4" s="78"/>
      <c r="D4" s="78"/>
      <c r="E4" s="78" t="s">
        <v>234</v>
      </c>
      <c r="F4" s="78"/>
      <c r="G4" s="78"/>
      <c r="H4" s="78"/>
    </row>
    <row r="5" spans="1:26" x14ac:dyDescent="0.3">
      <c r="A5" s="78" t="s">
        <v>3</v>
      </c>
      <c r="B5" s="78"/>
      <c r="C5" s="78"/>
      <c r="D5" s="78"/>
      <c r="E5" s="137">
        <v>45881</v>
      </c>
      <c r="F5" s="78"/>
      <c r="G5" s="78"/>
      <c r="H5" s="78"/>
    </row>
    <row r="6" spans="1:26" ht="16.5" customHeight="1" x14ac:dyDescent="0.3">
      <c r="A6" s="78" t="s">
        <v>4</v>
      </c>
      <c r="B6" s="78"/>
      <c r="C6" s="78"/>
      <c r="D6" s="78"/>
      <c r="E6" s="78" t="s">
        <v>235</v>
      </c>
      <c r="F6" s="78"/>
      <c r="G6" s="78"/>
      <c r="H6" s="78"/>
    </row>
    <row r="7" spans="1:26" ht="15" customHeight="1" x14ac:dyDescent="0.3">
      <c r="A7" s="78" t="s">
        <v>5</v>
      </c>
      <c r="B7" s="78"/>
      <c r="C7" s="78"/>
      <c r="D7" s="78"/>
      <c r="E7" s="78" t="str">
        <f>E6</f>
        <v>Samruddhi Builders &amp; Developers</v>
      </c>
      <c r="F7" s="78"/>
      <c r="G7" s="78"/>
      <c r="H7" s="78"/>
    </row>
    <row r="8" spans="1:26" x14ac:dyDescent="0.3">
      <c r="A8" s="78" t="s">
        <v>6</v>
      </c>
      <c r="B8" s="78"/>
      <c r="C8" s="78"/>
      <c r="D8" s="78"/>
      <c r="E8" s="122" t="s">
        <v>236</v>
      </c>
      <c r="F8" s="122"/>
      <c r="G8" s="122"/>
      <c r="H8" s="122"/>
    </row>
    <row r="9" spans="1:26" ht="33" customHeight="1" x14ac:dyDescent="0.3">
      <c r="A9" s="78" t="s">
        <v>168</v>
      </c>
      <c r="B9" s="78"/>
      <c r="C9" s="78"/>
      <c r="D9" s="78"/>
      <c r="E9" s="96" t="s">
        <v>285</v>
      </c>
      <c r="F9" s="78"/>
      <c r="G9" s="78"/>
      <c r="H9" s="78"/>
    </row>
    <row r="10" spans="1:26" x14ac:dyDescent="0.3">
      <c r="A10" s="78" t="s">
        <v>169</v>
      </c>
      <c r="B10" s="78"/>
      <c r="C10" s="78"/>
      <c r="D10" s="78"/>
      <c r="E10" s="78" t="s">
        <v>29</v>
      </c>
      <c r="F10" s="78"/>
      <c r="G10" s="78"/>
      <c r="H10" s="78"/>
    </row>
    <row r="11" spans="1:26" x14ac:dyDescent="0.3">
      <c r="A11" s="78" t="s">
        <v>7</v>
      </c>
      <c r="B11" s="78"/>
      <c r="C11" s="78"/>
      <c r="D11" s="78"/>
      <c r="E11" s="78" t="s">
        <v>121</v>
      </c>
      <c r="F11" s="78"/>
      <c r="G11" s="78"/>
      <c r="H11" s="78"/>
    </row>
    <row r="12" spans="1:26" x14ac:dyDescent="0.3">
      <c r="A12" s="78" t="s">
        <v>171</v>
      </c>
      <c r="B12" s="78"/>
      <c r="C12" s="78"/>
      <c r="D12" s="78"/>
      <c r="E12" s="78" t="s">
        <v>238</v>
      </c>
      <c r="F12" s="78"/>
      <c r="G12" s="78"/>
      <c r="H12" s="78"/>
      <c r="S12" s="53" t="s">
        <v>179</v>
      </c>
      <c r="T12" s="53" t="s">
        <v>189</v>
      </c>
      <c r="U12" s="53" t="s">
        <v>172</v>
      </c>
      <c r="V12" s="53" t="s">
        <v>194</v>
      </c>
      <c r="W12" s="53" t="s">
        <v>212</v>
      </c>
      <c r="X12"/>
      <c r="Y12" t="s">
        <v>194</v>
      </c>
      <c r="Z12" t="e">
        <f ca="1">OFFSET($S$12,1,MATCH($G19,$S$12:$W$12,0)-1,15,1)</f>
        <v>#VALUE!</v>
      </c>
    </row>
    <row r="13" spans="1:26" x14ac:dyDescent="0.3">
      <c r="A13" s="82" t="s">
        <v>8</v>
      </c>
      <c r="B13" s="82"/>
      <c r="C13" s="82"/>
      <c r="D13" s="82"/>
      <c r="E13" s="96" t="s">
        <v>227</v>
      </c>
      <c r="F13" s="96"/>
      <c r="G13" s="96"/>
      <c r="H13" s="96"/>
      <c r="S13" s="53" t="s">
        <v>180</v>
      </c>
      <c r="T13" s="53" t="s">
        <v>187</v>
      </c>
      <c r="U13" s="53" t="s">
        <v>209</v>
      </c>
      <c r="V13" s="53" t="s">
        <v>195</v>
      </c>
      <c r="W13" s="53" t="s">
        <v>213</v>
      </c>
      <c r="X13"/>
      <c r="Y13"/>
      <c r="Z13"/>
    </row>
    <row r="14" spans="1:26" x14ac:dyDescent="0.3">
      <c r="A14" s="82" t="s">
        <v>9</v>
      </c>
      <c r="B14" s="82"/>
      <c r="C14" s="82"/>
      <c r="D14" s="82"/>
      <c r="E14" s="96" t="s">
        <v>239</v>
      </c>
      <c r="F14" s="78"/>
      <c r="G14" s="78"/>
      <c r="H14" s="78"/>
      <c r="I14" s="73" t="e">
        <f ca="1">OFFSET($D$4,1,MATCH($J12,$D$4:$H$4,0)-1,15,1)</f>
        <v>#N/A</v>
      </c>
      <c r="J14" s="74"/>
      <c r="K14" s="74"/>
      <c r="L14" s="74"/>
      <c r="M14" s="74"/>
      <c r="N14" s="74"/>
      <c r="O14" s="74"/>
      <c r="P14" s="74"/>
      <c r="S14" s="53" t="s">
        <v>181</v>
      </c>
      <c r="T14" s="53" t="s">
        <v>188</v>
      </c>
      <c r="U14" s="53" t="s">
        <v>210</v>
      </c>
      <c r="V14" s="53" t="s">
        <v>196</v>
      </c>
      <c r="W14" s="53" t="s">
        <v>226</v>
      </c>
      <c r="X14"/>
      <c r="Y14"/>
      <c r="Z14"/>
    </row>
    <row r="15" spans="1:26" ht="51" customHeight="1" x14ac:dyDescent="0.3">
      <c r="A15" s="96" t="s">
        <v>10</v>
      </c>
      <c r="B15" s="96"/>
      <c r="C15" s="9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Om Moreshwar, Survey No.23, Hissa No.1(Pt), Plot No. 6 &amp; 7, Existing Building Name - Om Aarti Co op Housing Society., near Akashganga Complex, Internal Road, , Shirgaon, Badlapur , Ambernath, Thane  - 421503.</v>
      </c>
      <c r="D15" s="96"/>
      <c r="E15" s="96"/>
      <c r="F15" s="96"/>
      <c r="G15" s="96"/>
      <c r="H15" s="96"/>
      <c r="S15" s="53" t="s">
        <v>182</v>
      </c>
      <c r="T15" s="53" t="s">
        <v>190</v>
      </c>
      <c r="U15" s="53" t="s">
        <v>211</v>
      </c>
      <c r="V15" s="53" t="s">
        <v>197</v>
      </c>
      <c r="W15" s="53" t="s">
        <v>214</v>
      </c>
      <c r="X15"/>
      <c r="Y15"/>
      <c r="Z15"/>
    </row>
    <row r="16" spans="1:26" ht="32.25" customHeight="1" x14ac:dyDescent="0.3">
      <c r="A16" s="96" t="s">
        <v>240</v>
      </c>
      <c r="B16" s="96"/>
      <c r="C16" s="96" t="s">
        <v>255</v>
      </c>
      <c r="D16" s="96"/>
      <c r="E16" s="96"/>
      <c r="F16" s="96"/>
      <c r="G16" s="96"/>
      <c r="H16" s="96"/>
      <c r="S16" s="53" t="s">
        <v>183</v>
      </c>
      <c r="T16" s="53" t="s">
        <v>191</v>
      </c>
      <c r="U16" s="53" t="s">
        <v>172</v>
      </c>
      <c r="V16" s="53" t="s">
        <v>198</v>
      </c>
      <c r="W16" s="53" t="s">
        <v>215</v>
      </c>
      <c r="X16"/>
      <c r="Y16"/>
      <c r="Z16"/>
    </row>
    <row r="17" spans="1:26" ht="15.75" customHeight="1" x14ac:dyDescent="0.3">
      <c r="A17" s="96" t="s">
        <v>163</v>
      </c>
      <c r="B17" s="96"/>
      <c r="C17" s="96" t="s">
        <v>29</v>
      </c>
      <c r="D17" s="96"/>
      <c r="E17" s="96"/>
      <c r="F17" s="96"/>
      <c r="G17" s="96"/>
      <c r="H17" s="96"/>
      <c r="S17" s="53" t="s">
        <v>184</v>
      </c>
      <c r="T17" s="53" t="s">
        <v>189</v>
      </c>
      <c r="U17" s="53"/>
      <c r="V17" s="53" t="s">
        <v>199</v>
      </c>
      <c r="W17" s="53" t="s">
        <v>216</v>
      </c>
      <c r="X17"/>
      <c r="Y17"/>
      <c r="Z17"/>
    </row>
    <row r="18" spans="1:26" ht="15.75" customHeight="1" x14ac:dyDescent="0.3">
      <c r="A18" s="96" t="s">
        <v>11</v>
      </c>
      <c r="B18" s="96"/>
      <c r="C18" s="78" t="s">
        <v>242</v>
      </c>
      <c r="D18" s="78"/>
      <c r="E18" s="96" t="s">
        <v>72</v>
      </c>
      <c r="F18" s="96"/>
      <c r="G18" s="96" t="s">
        <v>241</v>
      </c>
      <c r="H18" s="96"/>
      <c r="S18" s="53" t="s">
        <v>185</v>
      </c>
      <c r="T18" s="53" t="s">
        <v>192</v>
      </c>
      <c r="U18" s="53"/>
      <c r="V18" s="53" t="s">
        <v>200</v>
      </c>
      <c r="W18" s="53" t="s">
        <v>217</v>
      </c>
      <c r="X18"/>
      <c r="Y18"/>
      <c r="Z18"/>
    </row>
    <row r="19" spans="1:26" x14ac:dyDescent="0.3">
      <c r="A19" s="78" t="s">
        <v>13</v>
      </c>
      <c r="B19" s="78"/>
      <c r="C19" s="96" t="s">
        <v>244</v>
      </c>
      <c r="D19" s="96"/>
      <c r="E19" s="96" t="s">
        <v>12</v>
      </c>
      <c r="F19" s="96"/>
      <c r="G19" s="142" t="s">
        <v>179</v>
      </c>
      <c r="H19" s="142"/>
      <c r="S19" s="53" t="s">
        <v>186</v>
      </c>
      <c r="T19" s="53" t="s">
        <v>193</v>
      </c>
      <c r="U19" s="53"/>
      <c r="V19" s="53" t="s">
        <v>201</v>
      </c>
      <c r="W19" s="53" t="s">
        <v>218</v>
      </c>
      <c r="X19"/>
      <c r="Y19"/>
      <c r="Z19"/>
    </row>
    <row r="20" spans="1:26" x14ac:dyDescent="0.3">
      <c r="A20" s="78" t="s">
        <v>73</v>
      </c>
      <c r="B20" s="78"/>
      <c r="C20" s="96" t="s">
        <v>185</v>
      </c>
      <c r="D20" s="96"/>
      <c r="E20" s="96" t="s">
        <v>14</v>
      </c>
      <c r="F20" s="96"/>
      <c r="G20" s="96">
        <v>421503</v>
      </c>
      <c r="H20" s="96"/>
      <c r="S20" s="53"/>
      <c r="T20" s="53"/>
      <c r="U20" s="53"/>
      <c r="V20" s="53" t="s">
        <v>202</v>
      </c>
      <c r="W20" s="53" t="s">
        <v>219</v>
      </c>
      <c r="X20"/>
      <c r="Y20"/>
      <c r="Z20"/>
    </row>
    <row r="21" spans="1:26" ht="32.25" customHeight="1" x14ac:dyDescent="0.3">
      <c r="A21" s="78" t="s">
        <v>122</v>
      </c>
      <c r="B21" s="78"/>
      <c r="C21" s="96" t="s">
        <v>245</v>
      </c>
      <c r="D21" s="96"/>
      <c r="E21" s="96" t="s">
        <v>15</v>
      </c>
      <c r="F21" s="96"/>
      <c r="G21" s="96" t="s">
        <v>243</v>
      </c>
      <c r="H21" s="96"/>
      <c r="S21" s="53"/>
      <c r="T21" s="53"/>
      <c r="U21" s="53"/>
      <c r="V21" s="53" t="s">
        <v>203</v>
      </c>
      <c r="W21" s="53" t="s">
        <v>220</v>
      </c>
      <c r="X21"/>
      <c r="Y21"/>
      <c r="Z21"/>
    </row>
    <row r="22" spans="1:26" ht="15" customHeight="1" x14ac:dyDescent="0.3">
      <c r="A22" s="86" t="s">
        <v>75</v>
      </c>
      <c r="B22" s="86"/>
      <c r="C22" s="86"/>
      <c r="D22" s="86"/>
      <c r="E22" s="78" t="s">
        <v>16</v>
      </c>
      <c r="F22" s="78"/>
      <c r="G22" s="78"/>
      <c r="H22" s="78"/>
      <c r="S22" s="53"/>
      <c r="T22" s="53"/>
      <c r="U22" s="53"/>
      <c r="V22" s="53" t="s">
        <v>204</v>
      </c>
      <c r="W22" s="53" t="s">
        <v>221</v>
      </c>
      <c r="X22"/>
      <c r="Y22"/>
      <c r="Z22"/>
    </row>
    <row r="23" spans="1:26" ht="18.75" customHeight="1" x14ac:dyDescent="0.3">
      <c r="A23" s="86"/>
      <c r="B23" s="86"/>
      <c r="C23" s="86"/>
      <c r="D23" s="86"/>
      <c r="E23" s="78"/>
      <c r="F23" s="78"/>
      <c r="G23" s="78"/>
      <c r="H23" s="78"/>
      <c r="S23" s="53"/>
      <c r="T23" s="53"/>
      <c r="U23" s="53"/>
      <c r="V23" s="53" t="s">
        <v>205</v>
      </c>
      <c r="W23" s="53" t="s">
        <v>222</v>
      </c>
      <c r="X23"/>
      <c r="Y23"/>
      <c r="Z23"/>
    </row>
    <row r="24" spans="1:26" ht="15" customHeight="1" x14ac:dyDescent="0.3">
      <c r="A24" s="86" t="s">
        <v>17</v>
      </c>
      <c r="B24" s="86"/>
      <c r="C24" s="86"/>
      <c r="D24" s="86"/>
      <c r="E24" s="96" t="s">
        <v>18</v>
      </c>
      <c r="F24" s="96"/>
      <c r="G24" s="96"/>
      <c r="H24" s="96"/>
      <c r="S24" s="53"/>
      <c r="T24" s="53"/>
      <c r="U24" s="53"/>
      <c r="V24" s="53" t="s">
        <v>206</v>
      </c>
      <c r="W24" s="53" t="s">
        <v>223</v>
      </c>
      <c r="X24"/>
      <c r="Y24"/>
      <c r="Z24"/>
    </row>
    <row r="25" spans="1:26" ht="15" customHeight="1" x14ac:dyDescent="0.3">
      <c r="A25" s="82" t="s">
        <v>19</v>
      </c>
      <c r="B25" s="82"/>
      <c r="C25" s="82"/>
      <c r="D25" s="82"/>
      <c r="E25" s="96" t="str">
        <f>IF(AND(G19="Mumbai"),"Upper Class","Middle Class")</f>
        <v>Middle Class</v>
      </c>
      <c r="F25" s="96"/>
      <c r="G25" s="96"/>
      <c r="H25" s="96"/>
      <c r="S25" s="53"/>
      <c r="T25" s="53"/>
      <c r="U25" s="53"/>
      <c r="V25" s="53" t="s">
        <v>207</v>
      </c>
      <c r="W25" s="53" t="s">
        <v>224</v>
      </c>
      <c r="X25"/>
      <c r="Y25"/>
      <c r="Z25"/>
    </row>
    <row r="26" spans="1:26" x14ac:dyDescent="0.3">
      <c r="A26" s="82" t="s">
        <v>20</v>
      </c>
      <c r="B26" s="82"/>
      <c r="C26" s="82"/>
      <c r="D26" s="82"/>
      <c r="E26" s="96" t="s">
        <v>21</v>
      </c>
      <c r="F26" s="96"/>
      <c r="G26" s="96"/>
      <c r="H26" s="96"/>
      <c r="S26" s="53"/>
      <c r="T26" s="53"/>
      <c r="U26" s="53"/>
      <c r="V26" s="53" t="s">
        <v>208</v>
      </c>
      <c r="W26" s="53" t="s">
        <v>225</v>
      </c>
      <c r="X26"/>
      <c r="Y26"/>
      <c r="Z26"/>
    </row>
    <row r="27" spans="1:26" ht="15.75" customHeight="1" x14ac:dyDescent="0.3">
      <c r="A27" s="82" t="s">
        <v>22</v>
      </c>
      <c r="B27" s="82"/>
      <c r="C27" s="82"/>
      <c r="D27" s="82"/>
      <c r="E27" s="96" t="str">
        <f>IF(AND(G19="Mumbai"),"Developed","Developing")</f>
        <v>Developing</v>
      </c>
      <c r="F27" s="96"/>
      <c r="G27" s="96"/>
      <c r="H27" s="96"/>
    </row>
    <row r="28" spans="1:26" x14ac:dyDescent="0.3">
      <c r="A28" s="82" t="s">
        <v>23</v>
      </c>
      <c r="B28" s="82"/>
      <c r="C28" s="82"/>
      <c r="D28" s="82"/>
      <c r="E28" s="96" t="s">
        <v>24</v>
      </c>
      <c r="F28" s="96"/>
      <c r="G28" s="96"/>
      <c r="H28" s="96"/>
    </row>
    <row r="29" spans="1:26" ht="15.75" customHeight="1" x14ac:dyDescent="0.3">
      <c r="A29" s="82" t="s">
        <v>80</v>
      </c>
      <c r="B29" s="82"/>
      <c r="C29" s="82"/>
      <c r="D29" s="82"/>
      <c r="E29" s="96" t="s">
        <v>81</v>
      </c>
      <c r="F29" s="96"/>
      <c r="G29" s="96"/>
      <c r="H29" s="96"/>
    </row>
    <row r="30" spans="1:26" ht="15" customHeight="1" x14ac:dyDescent="0.3">
      <c r="A30" s="82" t="s">
        <v>32</v>
      </c>
      <c r="B30" s="82"/>
      <c r="C30" s="82"/>
      <c r="D30" s="82"/>
      <c r="E30" s="9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6"/>
      <c r="G30" s="96"/>
      <c r="H30" s="96"/>
    </row>
    <row r="31" spans="1:26" ht="15.75" customHeight="1" x14ac:dyDescent="0.3">
      <c r="A31" s="82" t="s">
        <v>92</v>
      </c>
      <c r="B31" s="82"/>
      <c r="C31" s="82"/>
      <c r="D31" s="82"/>
      <c r="E31" s="96" t="s">
        <v>33</v>
      </c>
      <c r="F31" s="96"/>
      <c r="G31" s="96"/>
      <c r="H31" s="96"/>
    </row>
    <row r="32" spans="1:26" s="22" customFormat="1" x14ac:dyDescent="0.3">
      <c r="A32" s="147" t="s">
        <v>93</v>
      </c>
      <c r="B32" s="147"/>
      <c r="C32" s="144" t="s">
        <v>173</v>
      </c>
      <c r="D32" s="145"/>
      <c r="E32" s="146"/>
      <c r="F32" s="144" t="s">
        <v>30</v>
      </c>
      <c r="G32" s="145"/>
      <c r="H32" s="146"/>
    </row>
    <row r="33" spans="1:8" s="22" customFormat="1" x14ac:dyDescent="0.3">
      <c r="A33" s="138" t="s">
        <v>25</v>
      </c>
      <c r="B33" s="138" t="s">
        <v>29</v>
      </c>
      <c r="C33" s="139" t="s">
        <v>249</v>
      </c>
      <c r="D33" s="140"/>
      <c r="E33" s="141"/>
      <c r="F33" s="139" t="s">
        <v>250</v>
      </c>
      <c r="G33" s="140"/>
      <c r="H33" s="141"/>
    </row>
    <row r="34" spans="1:8" x14ac:dyDescent="0.3">
      <c r="A34" s="138" t="s">
        <v>26</v>
      </c>
      <c r="B34" s="138" t="s">
        <v>29</v>
      </c>
      <c r="C34" s="139" t="s">
        <v>248</v>
      </c>
      <c r="D34" s="140"/>
      <c r="E34" s="141"/>
      <c r="F34" s="139" t="s">
        <v>245</v>
      </c>
      <c r="G34" s="140"/>
      <c r="H34" s="141"/>
    </row>
    <row r="35" spans="1:8" s="22" customFormat="1" x14ac:dyDescent="0.3">
      <c r="A35" s="138" t="s">
        <v>28</v>
      </c>
      <c r="B35" s="138" t="s">
        <v>29</v>
      </c>
      <c r="C35" s="143" t="s">
        <v>247</v>
      </c>
      <c r="D35" s="143"/>
      <c r="E35" s="143"/>
      <c r="F35" s="143" t="s">
        <v>242</v>
      </c>
      <c r="G35" s="143"/>
      <c r="H35" s="143"/>
    </row>
    <row r="36" spans="1:8" x14ac:dyDescent="0.3">
      <c r="A36" s="138" t="s">
        <v>27</v>
      </c>
      <c r="B36" s="138" t="s">
        <v>29</v>
      </c>
      <c r="C36" s="143" t="s">
        <v>248</v>
      </c>
      <c r="D36" s="143"/>
      <c r="E36" s="143"/>
      <c r="F36" s="143" t="s">
        <v>246</v>
      </c>
      <c r="G36" s="143"/>
      <c r="H36" s="143"/>
    </row>
    <row r="37" spans="1:8" x14ac:dyDescent="0.3">
      <c r="A37" s="82" t="s">
        <v>31</v>
      </c>
      <c r="B37" s="82"/>
      <c r="C37" s="82"/>
      <c r="D37" s="82"/>
      <c r="E37" s="82"/>
      <c r="F37" s="82"/>
      <c r="G37" s="82"/>
      <c r="H37" s="82"/>
    </row>
    <row r="38" spans="1:8" ht="15.75" customHeight="1" x14ac:dyDescent="0.3">
      <c r="A38" s="82" t="s">
        <v>166</v>
      </c>
      <c r="B38" s="82"/>
      <c r="C38" s="158" t="s">
        <v>283</v>
      </c>
      <c r="D38" s="158"/>
      <c r="E38" s="158"/>
      <c r="F38" s="158"/>
      <c r="G38" s="158"/>
      <c r="H38" s="158"/>
    </row>
    <row r="39" spans="1:8" x14ac:dyDescent="0.3">
      <c r="A39" s="82" t="s">
        <v>162</v>
      </c>
      <c r="B39" s="82"/>
      <c r="C39" s="171" t="s">
        <v>251</v>
      </c>
      <c r="D39" s="96"/>
      <c r="E39" s="96"/>
      <c r="F39" s="96"/>
      <c r="G39" s="96"/>
      <c r="H39" s="96"/>
    </row>
    <row r="40" spans="1:8" x14ac:dyDescent="0.3">
      <c r="A40" s="122" t="s">
        <v>34</v>
      </c>
      <c r="B40" s="122"/>
      <c r="C40" s="122"/>
      <c r="D40" s="122"/>
      <c r="E40" s="122"/>
      <c r="F40" s="122"/>
      <c r="G40" s="122"/>
      <c r="H40" s="122"/>
    </row>
    <row r="41" spans="1:8" x14ac:dyDescent="0.3">
      <c r="A41" s="78" t="s">
        <v>35</v>
      </c>
      <c r="B41" s="78"/>
      <c r="C41" s="78"/>
      <c r="D41" s="78"/>
      <c r="E41" s="151">
        <v>724.07</v>
      </c>
      <c r="F41" s="151"/>
      <c r="G41" s="151"/>
      <c r="H41" s="151"/>
    </row>
    <row r="42" spans="1:8" x14ac:dyDescent="0.3">
      <c r="A42" s="78" t="s">
        <v>36</v>
      </c>
      <c r="B42" s="78"/>
      <c r="C42" s="78"/>
      <c r="D42" s="78"/>
      <c r="E42" s="88">
        <v>1.6</v>
      </c>
      <c r="F42" s="88"/>
      <c r="G42" s="88"/>
      <c r="H42" s="88"/>
    </row>
    <row r="43" spans="1:8" x14ac:dyDescent="0.3">
      <c r="A43" s="78" t="s">
        <v>37</v>
      </c>
      <c r="B43" s="78"/>
      <c r="C43" s="78"/>
      <c r="D43" s="78"/>
      <c r="E43" s="88">
        <f>E45/E41-E42</f>
        <v>1.9268689491347515</v>
      </c>
      <c r="F43" s="88"/>
      <c r="G43" s="88"/>
      <c r="H43" s="88"/>
    </row>
    <row r="44" spans="1:8" x14ac:dyDescent="0.3">
      <c r="A44" s="78" t="s">
        <v>38</v>
      </c>
      <c r="B44" s="78"/>
      <c r="C44" s="78"/>
      <c r="D44" s="78"/>
      <c r="E44" s="88">
        <f>E42+E43</f>
        <v>3.5268689491347516</v>
      </c>
      <c r="F44" s="88"/>
      <c r="G44" s="88"/>
      <c r="H44" s="88"/>
    </row>
    <row r="45" spans="1:8" x14ac:dyDescent="0.3">
      <c r="A45" s="78" t="s">
        <v>91</v>
      </c>
      <c r="B45" s="78"/>
      <c r="C45" s="78"/>
      <c r="D45" s="78"/>
      <c r="E45" s="155">
        <v>2553.6999999999998</v>
      </c>
      <c r="F45" s="155"/>
      <c r="G45" s="155"/>
      <c r="H45" s="155"/>
    </row>
    <row r="46" spans="1:8" x14ac:dyDescent="0.3">
      <c r="A46" s="78" t="s">
        <v>39</v>
      </c>
      <c r="B46" s="78"/>
      <c r="C46" s="78"/>
      <c r="D46" s="78"/>
      <c r="E46" s="78" t="s">
        <v>121</v>
      </c>
      <c r="F46" s="78"/>
      <c r="G46" s="78"/>
      <c r="H46" s="78"/>
    </row>
    <row r="47" spans="1:8" x14ac:dyDescent="0.3">
      <c r="A47" s="158" t="s">
        <v>40</v>
      </c>
      <c r="B47" s="158"/>
      <c r="C47" s="158"/>
      <c r="D47" s="158"/>
      <c r="E47" s="158"/>
      <c r="F47" s="158"/>
      <c r="G47" s="158"/>
      <c r="H47" s="158"/>
    </row>
    <row r="48" spans="1:8" ht="33.75" customHeight="1" x14ac:dyDescent="0.3">
      <c r="A48" s="91" t="s">
        <v>151</v>
      </c>
      <c r="B48" s="92"/>
      <c r="C48" s="176" t="s">
        <v>252</v>
      </c>
      <c r="D48" s="177"/>
      <c r="E48" s="177"/>
      <c r="F48" s="177"/>
      <c r="G48" s="177"/>
      <c r="H48" s="178"/>
    </row>
    <row r="49" spans="1:14" ht="15.75" customHeight="1" x14ac:dyDescent="0.3">
      <c r="A49" s="91" t="s">
        <v>41</v>
      </c>
      <c r="B49" s="92"/>
      <c r="C49" s="91" t="s">
        <v>253</v>
      </c>
      <c r="D49" s="93"/>
      <c r="E49" s="92"/>
      <c r="F49" s="19" t="s">
        <v>42</v>
      </c>
      <c r="G49" s="94">
        <v>44958</v>
      </c>
      <c r="H49" s="92"/>
    </row>
    <row r="50" spans="1:14" x14ac:dyDescent="0.3">
      <c r="A50" s="91" t="s">
        <v>43</v>
      </c>
      <c r="B50" s="92"/>
      <c r="C50" s="91" t="str">
        <f>C49</f>
        <v>KBNP/NRV/BP/171-163</v>
      </c>
      <c r="D50" s="93"/>
      <c r="E50" s="92"/>
      <c r="F50" s="19" t="s">
        <v>42</v>
      </c>
      <c r="G50" s="94">
        <f>G49</f>
        <v>44958</v>
      </c>
      <c r="H50" s="92"/>
    </row>
    <row r="51" spans="1:14" s="23" customFormat="1" ht="32.25" customHeight="1" x14ac:dyDescent="0.3">
      <c r="A51" s="163" t="s">
        <v>155</v>
      </c>
      <c r="B51" s="164"/>
      <c r="C51" s="91" t="s">
        <v>254</v>
      </c>
      <c r="D51" s="93"/>
      <c r="E51" s="92"/>
      <c r="F51" s="19" t="s">
        <v>42</v>
      </c>
      <c r="G51" s="94">
        <f>G50</f>
        <v>44958</v>
      </c>
      <c r="H51" s="92"/>
    </row>
    <row r="52" spans="1:14" s="23" customFormat="1" x14ac:dyDescent="0.3">
      <c r="A52" s="165"/>
      <c r="B52" s="166"/>
      <c r="C52" s="91" t="s">
        <v>257</v>
      </c>
      <c r="D52" s="93"/>
      <c r="E52" s="93"/>
      <c r="F52" s="93"/>
      <c r="G52" s="93"/>
      <c r="H52" s="92"/>
    </row>
    <row r="53" spans="1:14" x14ac:dyDescent="0.3">
      <c r="A53" s="79" t="s">
        <v>44</v>
      </c>
      <c r="B53" s="80"/>
      <c r="C53" s="79" t="s">
        <v>105</v>
      </c>
      <c r="D53" s="81"/>
      <c r="E53" s="80"/>
      <c r="F53" s="43" t="s">
        <v>42</v>
      </c>
      <c r="G53" s="97" t="s">
        <v>29</v>
      </c>
      <c r="H53" s="98"/>
    </row>
    <row r="54" spans="1:14" x14ac:dyDescent="0.3">
      <c r="A54" s="95" t="s">
        <v>46</v>
      </c>
      <c r="B54" s="95"/>
      <c r="C54" s="95"/>
      <c r="D54" s="95"/>
      <c r="E54" s="95"/>
      <c r="F54" s="95"/>
      <c r="G54" s="95"/>
      <c r="H54" s="95"/>
    </row>
    <row r="55" spans="1:14" x14ac:dyDescent="0.3">
      <c r="A55" s="86" t="s">
        <v>90</v>
      </c>
      <c r="B55" s="86"/>
      <c r="C55" s="86"/>
      <c r="D55" s="82">
        <f>E45</f>
        <v>2553.6999999999998</v>
      </c>
      <c r="E55" s="82"/>
      <c r="F55" s="82"/>
      <c r="G55" s="82"/>
      <c r="H55" s="82"/>
    </row>
    <row r="56" spans="1:14" x14ac:dyDescent="0.3">
      <c r="A56" s="96" t="s">
        <v>47</v>
      </c>
      <c r="B56" s="78"/>
      <c r="C56" s="78"/>
      <c r="D56" s="78" t="s">
        <v>282</v>
      </c>
      <c r="E56" s="78"/>
      <c r="F56" s="78"/>
      <c r="G56" s="78"/>
      <c r="H56" s="78"/>
      <c r="I56" s="24"/>
    </row>
    <row r="57" spans="1:14" x14ac:dyDescent="0.3">
      <c r="A57" s="99" t="s">
        <v>48</v>
      </c>
      <c r="B57" s="100"/>
      <c r="C57" s="162"/>
      <c r="D57" s="102" t="s">
        <v>257</v>
      </c>
      <c r="E57" s="161"/>
      <c r="F57" s="161"/>
      <c r="G57" s="161"/>
      <c r="H57" s="161"/>
    </row>
    <row r="58" spans="1:14" ht="15.75" customHeight="1" x14ac:dyDescent="0.3">
      <c r="A58" s="99" t="s">
        <v>88</v>
      </c>
      <c r="B58" s="100"/>
      <c r="C58" s="100"/>
      <c r="D58" s="96" t="s">
        <v>257</v>
      </c>
      <c r="E58" s="78"/>
      <c r="F58" s="78"/>
      <c r="G58" s="78"/>
      <c r="H58" s="78"/>
    </row>
    <row r="59" spans="1:14" ht="15.75" customHeight="1" x14ac:dyDescent="0.3">
      <c r="A59" s="82" t="s">
        <v>45</v>
      </c>
      <c r="B59" s="82"/>
      <c r="C59" s="82"/>
      <c r="D59" s="152" t="s">
        <v>237</v>
      </c>
      <c r="E59" s="152"/>
      <c r="F59" s="152"/>
      <c r="G59" s="152"/>
      <c r="H59" s="152"/>
      <c r="J59" s="25"/>
      <c r="K59" s="24"/>
      <c r="N59" s="24"/>
    </row>
    <row r="60" spans="1:14" ht="15.75" customHeight="1" x14ac:dyDescent="0.3">
      <c r="A60" s="82" t="s">
        <v>86</v>
      </c>
      <c r="B60" s="82"/>
      <c r="C60" s="82"/>
      <c r="D60" s="154" t="str">
        <f>(IF(G53="NA","60 Years After Completion",IF(G53&lt;&gt;"NA",""&amp;60-ROUNDDOWN((E3-G53)/360,0)&amp;" Years"," ")))</f>
        <v>60 Years After Completion</v>
      </c>
      <c r="E60" s="154"/>
      <c r="F60" s="154"/>
      <c r="G60" s="154"/>
      <c r="H60" s="154"/>
      <c r="N60" s="24"/>
    </row>
    <row r="61" spans="1:14" ht="15.75" customHeight="1" x14ac:dyDescent="0.3">
      <c r="A61" s="82" t="s">
        <v>87</v>
      </c>
      <c r="B61" s="82"/>
      <c r="C61" s="82"/>
      <c r="D61" s="86" t="s">
        <v>24</v>
      </c>
      <c r="E61" s="86"/>
      <c r="F61" s="86"/>
      <c r="G61" s="86"/>
      <c r="H61" s="86"/>
      <c r="J61" s="26"/>
      <c r="K61" s="26"/>
    </row>
    <row r="62" spans="1:14" x14ac:dyDescent="0.3">
      <c r="A62" s="78" t="s">
        <v>256</v>
      </c>
      <c r="B62" s="78"/>
      <c r="C62" s="78"/>
      <c r="D62" s="96" t="s">
        <v>281</v>
      </c>
      <c r="E62" s="96"/>
      <c r="F62" s="96"/>
      <c r="G62" s="96"/>
      <c r="H62" s="96"/>
    </row>
    <row r="63" spans="1:14" x14ac:dyDescent="0.3">
      <c r="A63" s="86" t="s">
        <v>148</v>
      </c>
      <c r="B63" s="86"/>
      <c r="C63" s="86"/>
      <c r="D63" s="86" t="s">
        <v>29</v>
      </c>
      <c r="E63" s="86"/>
      <c r="F63" s="86"/>
      <c r="G63" s="86"/>
      <c r="H63" s="86"/>
      <c r="I63" s="27"/>
      <c r="J63" s="27"/>
      <c r="K63" s="27"/>
      <c r="L63" s="27"/>
      <c r="M63" s="27"/>
      <c r="N63" s="27"/>
    </row>
    <row r="64" spans="1:14" ht="15.75" customHeight="1" x14ac:dyDescent="0.3">
      <c r="A64" s="87" t="s">
        <v>85</v>
      </c>
      <c r="B64" s="87"/>
      <c r="C64" s="87"/>
      <c r="D64" s="102" t="str">
        <f ca="1">(IF(G70&gt;95%,"Nothing",IF(G70&gt;0%,"Cement, Aggregate, Steel, etc",IF(G70=0%,"Work not yet Started"))))</f>
        <v>Cement, Aggregate, Steel, etc</v>
      </c>
      <c r="E64" s="102"/>
      <c r="F64" s="102"/>
      <c r="G64" s="102"/>
      <c r="H64" s="102"/>
      <c r="J64" s="26"/>
    </row>
    <row r="65" spans="1:10" ht="33.75" customHeight="1" thickBot="1" x14ac:dyDescent="0.35">
      <c r="A65" s="101" t="s">
        <v>118</v>
      </c>
      <c r="B65" s="101"/>
      <c r="C65" s="101"/>
      <c r="D65" s="102" t="str">
        <f ca="1">(IF(D64="Nothing","Yes",IF(D64="Cement, Aggregate, Steel, etc","Under Construction",IF(D64="Work not yet Started","Work not yet Started"))))</f>
        <v>Under Construction</v>
      </c>
      <c r="E65" s="102"/>
      <c r="F65" s="102" t="str">
        <f ca="1">(IF(D64="Nothing","Yes",IF(D64="Cement, Aggregate, Steel, etc","Under Construction",IF(D64="Work not yet Started","Work not yet Started"))))</f>
        <v>Under Construction</v>
      </c>
      <c r="G65" s="102"/>
      <c r="H65" s="102"/>
    </row>
    <row r="66" spans="1:10" ht="15.75" customHeight="1" x14ac:dyDescent="0.3">
      <c r="A66" s="168" t="s">
        <v>140</v>
      </c>
      <c r="B66" s="169"/>
      <c r="C66" s="148" t="str">
        <f>D58</f>
        <v>1B + Gr + 1st to 7th Floor</v>
      </c>
      <c r="D66" s="149"/>
      <c r="E66" s="149"/>
      <c r="F66" s="149"/>
      <c r="G66" s="149"/>
      <c r="H66" s="150"/>
      <c r="I66" s="47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4 Floor, Finishing upto 3 Floor Completed</v>
      </c>
      <c r="J66" s="48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4 Floor, Finishing upto 3 Floor</v>
      </c>
    </row>
    <row r="67" spans="1:10" x14ac:dyDescent="0.3">
      <c r="A67" s="17" t="s">
        <v>142</v>
      </c>
      <c r="B67" s="45">
        <f>IF(AND(ISNUMBER(SEARCH("1B",C66))),1,IF(AND(ISNUMBER(SEARCH("2B",C66))),2,IF(AND(ISNUMBER(SEARCH("3B",C66))),3,IF(AND(ISNUMBER(SEARCH("4B",C66))),4,IF(ISNUMBER(SEARCH("5B",C66)),5,0)))))</f>
        <v>1</v>
      </c>
      <c r="C67" s="45" t="s">
        <v>71</v>
      </c>
      <c r="D67" s="45">
        <v>1</v>
      </c>
      <c r="E67" s="45" t="s">
        <v>70</v>
      </c>
      <c r="F67" s="45">
        <v>0</v>
      </c>
      <c r="G67" s="45" t="s">
        <v>79</v>
      </c>
      <c r="H67" s="18">
        <f ca="1">--TRIM(RIGHT(SUBSTITUTE(LEFT(C66,_xlfn.AGGREGATE(16,6,FIND({0,1,2,3,4,5,6,7,8,9},C66,ROW(INDIRECT("1:"&amp;LEN(C66)))),1))," ",REPT(" ",LEN(C66))),LEN(C66)))</f>
        <v>7</v>
      </c>
      <c r="I67" s="4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5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75" customHeight="1" x14ac:dyDescent="0.3">
      <c r="A68" s="167" t="s">
        <v>89</v>
      </c>
      <c r="B68" s="122"/>
      <c r="C68" s="156" t="str">
        <f ca="1">I66</f>
        <v>Excavation, Plinth, RCC Slab, Brickwork, Internal Plaster, External Plaster, Flooring Completed, Painting upto 4 Floor, Finishing upto 3 Floor Completed</v>
      </c>
      <c r="D68" s="156"/>
      <c r="E68" s="156"/>
      <c r="F68" s="156"/>
      <c r="G68" s="156"/>
      <c r="H68" s="157"/>
      <c r="I68" s="49" t="str">
        <f ca="1">IF(I67&lt;&gt;""," Completed","")</f>
        <v xml:space="preserve"> Completed</v>
      </c>
      <c r="J68" s="50" t="str">
        <f ca="1">IF(J66&lt;&gt;"","Completed","")</f>
        <v>Completed</v>
      </c>
    </row>
    <row r="69" spans="1:10" ht="15.75" customHeight="1" x14ac:dyDescent="0.3">
      <c r="A69" s="175" t="s">
        <v>49</v>
      </c>
      <c r="B69" s="90"/>
      <c r="C69" s="55" t="s">
        <v>139</v>
      </c>
      <c r="D69" s="55" t="s">
        <v>82</v>
      </c>
      <c r="E69" s="90" t="s">
        <v>84</v>
      </c>
      <c r="F69" s="90"/>
      <c r="G69" s="90" t="s">
        <v>83</v>
      </c>
      <c r="H69" s="103"/>
      <c r="I69" s="14" t="s">
        <v>141</v>
      </c>
      <c r="J69" s="28">
        <f ca="1">H67*25%</f>
        <v>1.75</v>
      </c>
    </row>
    <row r="70" spans="1:10" x14ac:dyDescent="0.3">
      <c r="A70" s="90" t="s">
        <v>128</v>
      </c>
      <c r="B70" s="90"/>
      <c r="C70" s="55">
        <f ca="1">J71</f>
        <v>7</v>
      </c>
      <c r="D70" s="56">
        <f ca="1">((100/H67)*C70)/100</f>
        <v>1</v>
      </c>
      <c r="E70" s="153">
        <f ca="1">(((C71/H67*10)+(40/(D67+F67+H67)*C72)+(7.5/(H67)*C73)+(7.5/(H67)*C74)+(10/H67*C75)+(10/H67*C76)+(5/H67*C77)+(5/H67*C78)+(5/H67*C79))/100)</f>
        <v>0.9</v>
      </c>
      <c r="F70" s="153"/>
      <c r="G70" s="153">
        <f ca="1">((((C70/H67)*20)+((C71/H67)*25)+(30/(H67+F67+D67)*C72)+(5/H67*C73)+(5/H67*C74)+(5/H67*C75)+(5/H67*C76)+(0/H67*C77)+(0/H67*C78)+(5/H67*C79))/100)</f>
        <v>0.95</v>
      </c>
      <c r="H70" s="153"/>
      <c r="I70" s="14" t="s">
        <v>100</v>
      </c>
      <c r="J70" s="29">
        <f ca="1">H67*50%</f>
        <v>3.5</v>
      </c>
    </row>
    <row r="71" spans="1:10" x14ac:dyDescent="0.3">
      <c r="A71" s="90" t="s">
        <v>50</v>
      </c>
      <c r="B71" s="90"/>
      <c r="C71" s="55">
        <f ca="1">J79</f>
        <v>7</v>
      </c>
      <c r="D71" s="56">
        <f ca="1">((100/H67)*C71)/100</f>
        <v>1</v>
      </c>
      <c r="E71" s="153"/>
      <c r="F71" s="153"/>
      <c r="G71" s="153"/>
      <c r="H71" s="153"/>
      <c r="I71" s="14" t="s">
        <v>101</v>
      </c>
      <c r="J71" s="29">
        <f ca="1">H67</f>
        <v>7</v>
      </c>
    </row>
    <row r="72" spans="1:10" ht="15.75" customHeight="1" x14ac:dyDescent="0.3">
      <c r="A72" s="90" t="s">
        <v>129</v>
      </c>
      <c r="B72" s="90"/>
      <c r="C72" s="55">
        <v>8</v>
      </c>
      <c r="D72" s="56">
        <f ca="1">((100/(D67+F67+H67))*C72)/100</f>
        <v>1</v>
      </c>
      <c r="E72" s="153"/>
      <c r="F72" s="153"/>
      <c r="G72" s="153"/>
      <c r="H72" s="153"/>
      <c r="I72" s="14" t="s">
        <v>102</v>
      </c>
      <c r="J72" s="30">
        <f ca="1">(IF(B67&gt;1,(H67/(B67+2)),H67/4))</f>
        <v>1.75</v>
      </c>
    </row>
    <row r="73" spans="1:10" ht="15.75" customHeight="1" x14ac:dyDescent="0.3">
      <c r="A73" s="90" t="s">
        <v>136</v>
      </c>
      <c r="B73" s="90" t="s">
        <v>130</v>
      </c>
      <c r="C73" s="55">
        <v>7</v>
      </c>
      <c r="D73" s="56">
        <f ca="1">((100/H67)*C73)/100</f>
        <v>1</v>
      </c>
      <c r="E73" s="153"/>
      <c r="F73" s="153"/>
      <c r="G73" s="153"/>
      <c r="H73" s="153"/>
      <c r="I73" s="14" t="s">
        <v>103</v>
      </c>
      <c r="J73" s="30">
        <f ca="1">(IF(B67&gt;1,(H67/(B67+2)+J72),H67/4+J72))</f>
        <v>3.5</v>
      </c>
    </row>
    <row r="74" spans="1:10" ht="15.75" customHeight="1" x14ac:dyDescent="0.3">
      <c r="A74" s="90" t="s">
        <v>137</v>
      </c>
      <c r="B74" s="90" t="s">
        <v>130</v>
      </c>
      <c r="C74" s="55">
        <v>7</v>
      </c>
      <c r="D74" s="56">
        <f ca="1">((100/H67)*C74)/100</f>
        <v>1</v>
      </c>
      <c r="E74" s="153"/>
      <c r="F74" s="153"/>
      <c r="G74" s="153"/>
      <c r="H74" s="153"/>
      <c r="I74" s="14" t="s">
        <v>146</v>
      </c>
      <c r="J74" s="30">
        <f>(IF(B67&gt;1,(H67/(B67+2)+J73),0))</f>
        <v>0</v>
      </c>
    </row>
    <row r="75" spans="1:10" ht="15" customHeight="1" x14ac:dyDescent="0.3">
      <c r="A75" s="90" t="s">
        <v>135</v>
      </c>
      <c r="B75" s="90" t="s">
        <v>132</v>
      </c>
      <c r="C75" s="55">
        <v>7</v>
      </c>
      <c r="D75" s="56">
        <f ca="1">((100/(H67))*C75)/100</f>
        <v>1</v>
      </c>
      <c r="E75" s="153"/>
      <c r="F75" s="153"/>
      <c r="G75" s="153"/>
      <c r="H75" s="153"/>
      <c r="I75" s="14" t="s">
        <v>143</v>
      </c>
      <c r="J75" s="30">
        <f>(IF(B67&gt;2,(H67/(B67+2)+J74),0))</f>
        <v>0</v>
      </c>
    </row>
    <row r="76" spans="1:10" ht="15.75" customHeight="1" x14ac:dyDescent="0.3">
      <c r="A76" s="90" t="s">
        <v>131</v>
      </c>
      <c r="B76" s="90" t="s">
        <v>131</v>
      </c>
      <c r="C76" s="55">
        <v>7</v>
      </c>
      <c r="D76" s="56">
        <f ca="1">((100/H67)*C76)/100</f>
        <v>1</v>
      </c>
      <c r="E76" s="153"/>
      <c r="F76" s="153"/>
      <c r="G76" s="153"/>
      <c r="H76" s="153"/>
      <c r="I76" s="14" t="s">
        <v>144</v>
      </c>
      <c r="J76" s="31">
        <f>(IF(B67&gt;3,(H67/(B67+2)+J75),0))</f>
        <v>0</v>
      </c>
    </row>
    <row r="77" spans="1:10" ht="15.75" customHeight="1" x14ac:dyDescent="0.3">
      <c r="A77" s="90" t="s">
        <v>138</v>
      </c>
      <c r="B77" s="90"/>
      <c r="C77" s="55">
        <v>4</v>
      </c>
      <c r="D77" s="56">
        <f ca="1">((100/H67)*C77)/100</f>
        <v>0.57142857142857151</v>
      </c>
      <c r="E77" s="153"/>
      <c r="F77" s="153"/>
      <c r="G77" s="153"/>
      <c r="H77" s="153"/>
      <c r="I77" s="14" t="s">
        <v>145</v>
      </c>
      <c r="J77" s="30">
        <f>(IF(B67&gt;4,(H67/(B67+2)+J76),0))</f>
        <v>0</v>
      </c>
    </row>
    <row r="78" spans="1:10" ht="15.75" customHeight="1" x14ac:dyDescent="0.3">
      <c r="A78" s="90" t="s">
        <v>133</v>
      </c>
      <c r="B78" s="90" t="s">
        <v>133</v>
      </c>
      <c r="C78" s="55">
        <v>3</v>
      </c>
      <c r="D78" s="56">
        <f ca="1">((100/(H67))*C78)/100</f>
        <v>0.4285714285714286</v>
      </c>
      <c r="E78" s="153"/>
      <c r="F78" s="153"/>
      <c r="G78" s="153"/>
      <c r="H78" s="153"/>
      <c r="I78" s="14" t="s">
        <v>147</v>
      </c>
      <c r="J78" s="30">
        <f ca="1">(IF(B67=1,(H67/(B67+3)+J73),IF(B67=0,(H67/4+J73),IF(B67&gt;1,0))))</f>
        <v>5.25</v>
      </c>
    </row>
    <row r="79" spans="1:10" ht="16.2" thickBot="1" x14ac:dyDescent="0.35">
      <c r="A79" s="90" t="s">
        <v>134</v>
      </c>
      <c r="B79" s="90"/>
      <c r="C79" s="55">
        <v>0</v>
      </c>
      <c r="D79" s="56">
        <f ca="1">((100/(H67))*C79)/100</f>
        <v>0</v>
      </c>
      <c r="E79" s="153"/>
      <c r="F79" s="153"/>
      <c r="G79" s="153"/>
      <c r="H79" s="153"/>
      <c r="I79" s="16" t="s">
        <v>104</v>
      </c>
      <c r="J79" s="32">
        <f ca="1">(IF(B67&gt;1.5,(H67/(B67+2)+J73+MAX(0,J74-J73)+MAX(0,J75-J74)+MAX(0,J76-J75)+MAX(0,J77-J76)+MAX(0,J78-J77)),IF(B67=1,(H67/(B67+3)+J78),IF(B67=0,H67/4+J78))))</f>
        <v>7</v>
      </c>
    </row>
    <row r="80" spans="1:10" ht="15.75" hidden="1" customHeight="1" x14ac:dyDescent="0.3">
      <c r="A80" s="89" t="s">
        <v>140</v>
      </c>
      <c r="B80" s="89"/>
      <c r="C80" s="89" t="e">
        <f>#REF!</f>
        <v>#REF!</v>
      </c>
      <c r="D80" s="89"/>
      <c r="E80" s="89"/>
      <c r="F80" s="89"/>
      <c r="G80" s="89"/>
      <c r="H80" s="89"/>
      <c r="I80" s="64" t="e">
        <f ca="1">IF(D93=100%,"All work Completed. Possession granted to the Building.",IF(D92=100%,"All work Completed, Waiting for OC",I81&amp;""&amp;I82&amp;""&amp;J81&amp;""&amp;J80&amp;" "&amp;J82))</f>
        <v>#REF!</v>
      </c>
      <c r="J80" s="48" t="e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#REF!</v>
      </c>
    </row>
    <row r="81" spans="1:10" hidden="1" x14ac:dyDescent="0.3">
      <c r="A81" s="45" t="s">
        <v>142</v>
      </c>
      <c r="B81" s="45">
        <f>IF(AND(ISNUMBER(SEARCH("1B",C80))),1,IF(AND(ISNUMBER(SEARCH("2B",C80))),2,IF(AND(ISNUMBER(SEARCH("3B",C80))),3,IF(AND(ISNUMBER(SEARCH("4B",C80))),4,IF(ISNUMBER(SEARCH("5B",C80)),5,0)))))</f>
        <v>0</v>
      </c>
      <c r="C81" s="45" t="s">
        <v>71</v>
      </c>
      <c r="D81" s="45">
        <v>1</v>
      </c>
      <c r="E81" s="45" t="s">
        <v>70</v>
      </c>
      <c r="F81" s="15">
        <v>0</v>
      </c>
      <c r="G81" s="46" t="s">
        <v>79</v>
      </c>
      <c r="H81" s="45" t="e">
        <f ca="1">--TRIM(RIGHT(SUBSTITUTE(LEFT(C80,_xlfn.AGGREGATE(16,6,FIND({0,1,2,3,4,5,6,7,8,9},C80,ROW(INDIRECT("1:"&amp;LEN(C80)))),1))," ",REPT(" ",LEN(C80))),LEN(C80)))</f>
        <v>#REF!</v>
      </c>
      <c r="I81" s="65" t="e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#REF!</v>
      </c>
      <c r="J81" s="50" t="e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>#REF!</v>
      </c>
    </row>
    <row r="82" spans="1:10" ht="33.75" hidden="1" customHeight="1" x14ac:dyDescent="0.3">
      <c r="A82" s="122" t="s">
        <v>89</v>
      </c>
      <c r="B82" s="122"/>
      <c r="C82" s="156" t="e">
        <f ca="1">(IF($G$53="NA",I80,"All work Completed. OC Received."))</f>
        <v>#REF!</v>
      </c>
      <c r="D82" s="156"/>
      <c r="E82" s="156"/>
      <c r="F82" s="156"/>
      <c r="G82" s="156"/>
      <c r="H82" s="156"/>
      <c r="I82" s="65" t="e">
        <f ca="1">IF(I81&lt;&gt;""," Completed","")</f>
        <v>#REF!</v>
      </c>
      <c r="J82" s="50" t="e">
        <f ca="1">IF(J80&lt;&gt;"","Completed","")</f>
        <v>#REF!</v>
      </c>
    </row>
    <row r="83" spans="1:10" ht="15.75" hidden="1" customHeight="1" x14ac:dyDescent="0.3">
      <c r="A83" s="106" t="s">
        <v>49</v>
      </c>
      <c r="B83" s="106"/>
      <c r="C83" s="63" t="s">
        <v>139</v>
      </c>
      <c r="D83" s="63" t="s">
        <v>82</v>
      </c>
      <c r="E83" s="106" t="s">
        <v>84</v>
      </c>
      <c r="F83" s="106"/>
      <c r="G83" s="106" t="s">
        <v>83</v>
      </c>
      <c r="H83" s="106"/>
      <c r="I83" s="14" t="s">
        <v>141</v>
      </c>
      <c r="J83" s="28" t="e">
        <f ca="1">H81*25%</f>
        <v>#REF!</v>
      </c>
    </row>
    <row r="84" spans="1:10" hidden="1" x14ac:dyDescent="0.3">
      <c r="A84" s="106" t="s">
        <v>128</v>
      </c>
      <c r="B84" s="106"/>
      <c r="C84" s="63" t="e">
        <f ca="1">J85</f>
        <v>#REF!</v>
      </c>
      <c r="D84" s="20" t="e">
        <f ca="1">((100/H81)*C84)/100</f>
        <v>#REF!</v>
      </c>
      <c r="E84" s="126" t="e">
        <f ca="1">(((C85/H81*10)+(40/(D81+F81+H81)*C86)+(7.5/(H81)*C87)+(7.5/(H81)*C88)+(10/H81*C89)+(10/H81*C90)+(5/H81*C91)+(5/H81*C92)+(5/H81*C93))/100)</f>
        <v>#REF!</v>
      </c>
      <c r="F84" s="126"/>
      <c r="G84" s="126" t="e">
        <f ca="1">((((C84/H81)*20)+((C85/H81)*25)+(30/(H81+F81+D81)*C86)+(5/H81*C87)+(5/H81*C88)+(5/H81*C89)+(5/H81*C90)+(0/H81*C91)+(0/H81*C92)+(5/H81*C93))/100)</f>
        <v>#REF!</v>
      </c>
      <c r="H84" s="126"/>
      <c r="I84" s="14" t="s">
        <v>100</v>
      </c>
      <c r="J84" s="29" t="e">
        <f ca="1">H81*50%</f>
        <v>#REF!</v>
      </c>
    </row>
    <row r="85" spans="1:10" hidden="1" x14ac:dyDescent="0.3">
      <c r="A85" s="106" t="s">
        <v>50</v>
      </c>
      <c r="B85" s="106"/>
      <c r="C85" s="51">
        <v>20</v>
      </c>
      <c r="D85" s="20" t="e">
        <f ca="1">((100/H81)*C85)/100</f>
        <v>#REF!</v>
      </c>
      <c r="E85" s="126"/>
      <c r="F85" s="126"/>
      <c r="G85" s="126"/>
      <c r="H85" s="126"/>
      <c r="I85" s="14" t="s">
        <v>101</v>
      </c>
      <c r="J85" s="29" t="e">
        <f ca="1">H81</f>
        <v>#REF!</v>
      </c>
    </row>
    <row r="86" spans="1:10" ht="15.75" hidden="1" customHeight="1" x14ac:dyDescent="0.3">
      <c r="A86" s="106" t="s">
        <v>129</v>
      </c>
      <c r="B86" s="106"/>
      <c r="C86" s="63">
        <v>0</v>
      </c>
      <c r="D86" s="20" t="e">
        <f ca="1">((100/(D81+F81+H81))*C86)/100</f>
        <v>#REF!</v>
      </c>
      <c r="E86" s="126"/>
      <c r="F86" s="126"/>
      <c r="G86" s="126"/>
      <c r="H86" s="126"/>
      <c r="I86" s="14" t="s">
        <v>102</v>
      </c>
      <c r="J86" s="30" t="e">
        <f ca="1">(IF(B81&gt;1,(H81/(B81+2)),H81/4))</f>
        <v>#REF!</v>
      </c>
    </row>
    <row r="87" spans="1:10" ht="15.75" hidden="1" customHeight="1" x14ac:dyDescent="0.3">
      <c r="A87" s="106" t="s">
        <v>136</v>
      </c>
      <c r="B87" s="106" t="s">
        <v>130</v>
      </c>
      <c r="C87" s="63">
        <v>0</v>
      </c>
      <c r="D87" s="20" t="e">
        <f ca="1">((100/H81)*C87)/100</f>
        <v>#REF!</v>
      </c>
      <c r="E87" s="126"/>
      <c r="F87" s="126"/>
      <c r="G87" s="126"/>
      <c r="H87" s="126"/>
      <c r="I87" s="14" t="s">
        <v>103</v>
      </c>
      <c r="J87" s="30" t="e">
        <f ca="1">(IF(B81&gt;1,(H81/(B81+2)+J86),H81/4+J86))</f>
        <v>#REF!</v>
      </c>
    </row>
    <row r="88" spans="1:10" ht="15.75" hidden="1" customHeight="1" x14ac:dyDescent="0.3">
      <c r="A88" s="106" t="s">
        <v>137</v>
      </c>
      <c r="B88" s="106" t="s">
        <v>130</v>
      </c>
      <c r="C88" s="63">
        <v>0</v>
      </c>
      <c r="D88" s="20" t="e">
        <f ca="1">((100/H81)*C88)/100</f>
        <v>#REF!</v>
      </c>
      <c r="E88" s="126"/>
      <c r="F88" s="126"/>
      <c r="G88" s="126"/>
      <c r="H88" s="126"/>
      <c r="I88" s="14" t="s">
        <v>146</v>
      </c>
      <c r="J88" s="30">
        <f>(IF(B81&gt;1,(H81/(B81+2)+J87),0))</f>
        <v>0</v>
      </c>
    </row>
    <row r="89" spans="1:10" ht="15" hidden="1" customHeight="1" x14ac:dyDescent="0.3">
      <c r="A89" s="106" t="s">
        <v>135</v>
      </c>
      <c r="B89" s="106" t="s">
        <v>132</v>
      </c>
      <c r="C89" s="63">
        <v>0</v>
      </c>
      <c r="D89" s="20" t="e">
        <f ca="1">((100/(H81))*C89)/100</f>
        <v>#REF!</v>
      </c>
      <c r="E89" s="126"/>
      <c r="F89" s="126"/>
      <c r="G89" s="126"/>
      <c r="H89" s="126"/>
      <c r="I89" s="14" t="s">
        <v>143</v>
      </c>
      <c r="J89" s="30">
        <f>(IF(B81&gt;2,(H81/(B81+2)+J88),0))</f>
        <v>0</v>
      </c>
    </row>
    <row r="90" spans="1:10" ht="15.75" hidden="1" customHeight="1" x14ac:dyDescent="0.3">
      <c r="A90" s="106" t="s">
        <v>131</v>
      </c>
      <c r="B90" s="106" t="s">
        <v>131</v>
      </c>
      <c r="C90" s="63">
        <v>0</v>
      </c>
      <c r="D90" s="20" t="e">
        <f ca="1">((100/H81)*C90)/100</f>
        <v>#REF!</v>
      </c>
      <c r="E90" s="126"/>
      <c r="F90" s="126"/>
      <c r="G90" s="126"/>
      <c r="H90" s="126"/>
      <c r="I90" s="14" t="s">
        <v>144</v>
      </c>
      <c r="J90" s="31">
        <f>(IF(B81&gt;3,(H81/(B81+2)+J89),0))</f>
        <v>0</v>
      </c>
    </row>
    <row r="91" spans="1:10" ht="15.75" hidden="1" customHeight="1" x14ac:dyDescent="0.3">
      <c r="A91" s="106" t="s">
        <v>138</v>
      </c>
      <c r="B91" s="106"/>
      <c r="C91" s="63">
        <v>0</v>
      </c>
      <c r="D91" s="20" t="e">
        <f ca="1">((100/H81)*C91)/100</f>
        <v>#REF!</v>
      </c>
      <c r="E91" s="126"/>
      <c r="F91" s="126"/>
      <c r="G91" s="126"/>
      <c r="H91" s="126"/>
      <c r="I91" s="14" t="s">
        <v>145</v>
      </c>
      <c r="J91" s="30">
        <f>(IF(B81&gt;4,(H81/(B81+2)+J90),0))</f>
        <v>0</v>
      </c>
    </row>
    <row r="92" spans="1:10" ht="15.75" hidden="1" customHeight="1" x14ac:dyDescent="0.3">
      <c r="A92" s="106" t="s">
        <v>133</v>
      </c>
      <c r="B92" s="106" t="s">
        <v>133</v>
      </c>
      <c r="C92" s="63">
        <v>0</v>
      </c>
      <c r="D92" s="20" t="e">
        <f ca="1">((100/(H81))*C92)/100</f>
        <v>#REF!</v>
      </c>
      <c r="E92" s="126"/>
      <c r="F92" s="126"/>
      <c r="G92" s="126"/>
      <c r="H92" s="126"/>
      <c r="I92" s="14" t="s">
        <v>147</v>
      </c>
      <c r="J92" s="30" t="e">
        <f ca="1">(IF(B81=1,(H81/(B81+3)+J87),IF(B81=0,(H81/4+J87),IF(B81&gt;1,0))))</f>
        <v>#REF!</v>
      </c>
    </row>
    <row r="93" spans="1:10" ht="16.2" hidden="1" thickBot="1" x14ac:dyDescent="0.35">
      <c r="A93" s="106" t="s">
        <v>134</v>
      </c>
      <c r="B93" s="106"/>
      <c r="C93" s="63">
        <v>0</v>
      </c>
      <c r="D93" s="20" t="e">
        <f ca="1">((100/(H81))*C93)/100</f>
        <v>#REF!</v>
      </c>
      <c r="E93" s="126"/>
      <c r="F93" s="126"/>
      <c r="G93" s="126"/>
      <c r="H93" s="126"/>
      <c r="I93" s="16" t="s">
        <v>104</v>
      </c>
      <c r="J93" s="32" t="e">
        <f ca="1">(IF(B81&gt;1.5,(H81/(B81+2)+J87+MAX(0,J88-J87)+MAX(0,J89-J88)+MAX(0,J90-J89)+MAX(0,J91-J90)+MAX(0,J92-J91)),IF(B81=1,(H81/(B81+3)+J92),IF(B81=0,H81/4+J92))))</f>
        <v>#REF!</v>
      </c>
    </row>
    <row r="94" spans="1:10" ht="15.75" hidden="1" customHeight="1" x14ac:dyDescent="0.3">
      <c r="A94" s="89" t="s">
        <v>140</v>
      </c>
      <c r="B94" s="89"/>
      <c r="C94" s="89" t="e">
        <f>#REF!</f>
        <v>#REF!</v>
      </c>
      <c r="D94" s="89"/>
      <c r="E94" s="89"/>
      <c r="F94" s="89"/>
      <c r="G94" s="89"/>
      <c r="H94" s="89"/>
      <c r="I94" s="64" t="e">
        <f ca="1">IF(D107=100%,"All work Completed. Possession granted to the Building.",IF(D106=100%,"All work Completed, Waiting for OC",I95&amp;""&amp;I96&amp;""&amp;J95&amp;""&amp;J94&amp;" "&amp;J96))</f>
        <v>#REF!</v>
      </c>
      <c r="J94" s="48" t="e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#REF!</v>
      </c>
    </row>
    <row r="95" spans="1:10" hidden="1" x14ac:dyDescent="0.3">
      <c r="A95" s="45" t="s">
        <v>142</v>
      </c>
      <c r="B95" s="45">
        <f>IF(AND(ISNUMBER(SEARCH("1B",C94))),1,IF(AND(ISNUMBER(SEARCH("2B",C94))),2,IF(AND(ISNUMBER(SEARCH("3B",C94))),3,IF(AND(ISNUMBER(SEARCH("4B",C94))),4,IF(ISNUMBER(SEARCH("5B",C94)),5,0)))))</f>
        <v>0</v>
      </c>
      <c r="C95" s="45" t="s">
        <v>71</v>
      </c>
      <c r="D95" s="45">
        <v>1</v>
      </c>
      <c r="E95" s="45" t="s">
        <v>70</v>
      </c>
      <c r="F95" s="15">
        <v>0</v>
      </c>
      <c r="G95" s="46" t="s">
        <v>79</v>
      </c>
      <c r="H95" s="45" t="e">
        <f ca="1">--TRIM(RIGHT(SUBSTITUTE(LEFT(C94,_xlfn.AGGREGATE(16,6,FIND({0,1,2,3,4,5,6,7,8,9},C94,ROW(INDIRECT("1:"&amp;LEN(C94)))),1))," ",REPT(" ",LEN(C94))),LEN(C94)))</f>
        <v>#REF!</v>
      </c>
      <c r="I95" s="65" t="e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#REF!</v>
      </c>
      <c r="J95" s="50" t="e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>#REF!</v>
      </c>
    </row>
    <row r="96" spans="1:10" hidden="1" x14ac:dyDescent="0.3">
      <c r="A96" s="122" t="s">
        <v>89</v>
      </c>
      <c r="B96" s="122"/>
      <c r="C96" s="156" t="e">
        <f ca="1">(IF($G$53="NA",I94,"All work Completed. OC Received."))</f>
        <v>#REF!</v>
      </c>
      <c r="D96" s="156"/>
      <c r="E96" s="156"/>
      <c r="F96" s="156"/>
      <c r="G96" s="156"/>
      <c r="H96" s="156"/>
      <c r="I96" s="65" t="e">
        <f ca="1">IF(I95&lt;&gt;""," Completed","")</f>
        <v>#REF!</v>
      </c>
      <c r="J96" s="50" t="e">
        <f ca="1">IF(J94&lt;&gt;"","Completed","")</f>
        <v>#REF!</v>
      </c>
    </row>
    <row r="97" spans="1:11" ht="15.75" hidden="1" customHeight="1" x14ac:dyDescent="0.3">
      <c r="A97" s="106" t="s">
        <v>49</v>
      </c>
      <c r="B97" s="106"/>
      <c r="C97" s="63" t="s">
        <v>139</v>
      </c>
      <c r="D97" s="63" t="s">
        <v>82</v>
      </c>
      <c r="E97" s="106" t="s">
        <v>84</v>
      </c>
      <c r="F97" s="106"/>
      <c r="G97" s="106" t="s">
        <v>83</v>
      </c>
      <c r="H97" s="106"/>
      <c r="I97" s="14" t="s">
        <v>141</v>
      </c>
      <c r="J97" s="28" t="e">
        <f ca="1">H95*25%</f>
        <v>#REF!</v>
      </c>
    </row>
    <row r="98" spans="1:11" hidden="1" x14ac:dyDescent="0.3">
      <c r="A98" s="106" t="s">
        <v>128</v>
      </c>
      <c r="B98" s="106"/>
      <c r="C98" s="63" t="e">
        <f ca="1">J99</f>
        <v>#REF!</v>
      </c>
      <c r="D98" s="20" t="e">
        <f ca="1">((100/H95)*C98)/100</f>
        <v>#REF!</v>
      </c>
      <c r="E98" s="126" t="e">
        <f ca="1">(((C99/H95*10)+(40/(D95+F95+H95)*C100)+(7.5/(H95)*C101)+(7.5/(H95)*C102)+(10/H95*C103)+(10/H95*C104)+(5/H95*C105)+(5/H95*C106)+(5/H95*C107))/100)</f>
        <v>#REF!</v>
      </c>
      <c r="F98" s="126"/>
      <c r="G98" s="126" t="e">
        <f ca="1">((((C98/H95)*20)+((C99/H95)*25)+(30/(H95+F95+D95)*C100)+(5/H95*C101)+(5/H95*C102)+(5/H95*C103)+(5/H95*C104)+(0/H95*C105)+(0/H95*C106)+(5/H95*C107))/100)</f>
        <v>#REF!</v>
      </c>
      <c r="H98" s="126"/>
      <c r="I98" s="14" t="s">
        <v>100</v>
      </c>
      <c r="J98" s="29" t="e">
        <f ca="1">H95*50%</f>
        <v>#REF!</v>
      </c>
    </row>
    <row r="99" spans="1:11" hidden="1" x14ac:dyDescent="0.3">
      <c r="A99" s="106" t="s">
        <v>50</v>
      </c>
      <c r="B99" s="106"/>
      <c r="C99" s="63" t="e">
        <f ca="1">J107</f>
        <v>#REF!</v>
      </c>
      <c r="D99" s="20" t="e">
        <f ca="1">((100/H95)*C99)/100</f>
        <v>#REF!</v>
      </c>
      <c r="E99" s="126"/>
      <c r="F99" s="126"/>
      <c r="G99" s="126"/>
      <c r="H99" s="126"/>
      <c r="I99" s="14" t="s">
        <v>101</v>
      </c>
      <c r="J99" s="29" t="e">
        <f ca="1">H95</f>
        <v>#REF!</v>
      </c>
    </row>
    <row r="100" spans="1:11" ht="15.75" hidden="1" customHeight="1" x14ac:dyDescent="0.3">
      <c r="A100" s="106" t="s">
        <v>129</v>
      </c>
      <c r="B100" s="106"/>
      <c r="C100" s="63" t="e">
        <f ca="1">D95+H95</f>
        <v>#REF!</v>
      </c>
      <c r="D100" s="20" t="e">
        <f ca="1">((100/(D95+F95+H95))*C100)/100</f>
        <v>#REF!</v>
      </c>
      <c r="E100" s="126"/>
      <c r="F100" s="126"/>
      <c r="G100" s="126"/>
      <c r="H100" s="126"/>
      <c r="I100" s="14" t="s">
        <v>102</v>
      </c>
      <c r="J100" s="30" t="e">
        <f ca="1">(IF(B95&gt;1,(H95/(B95+2)),H95/4))</f>
        <v>#REF!</v>
      </c>
    </row>
    <row r="101" spans="1:11" ht="15.75" hidden="1" customHeight="1" x14ac:dyDescent="0.3">
      <c r="A101" s="106" t="s">
        <v>136</v>
      </c>
      <c r="B101" s="106" t="s">
        <v>130</v>
      </c>
      <c r="C101" s="63">
        <v>0</v>
      </c>
      <c r="D101" s="20" t="e">
        <f ca="1">((100/H95)*C101)/100</f>
        <v>#REF!</v>
      </c>
      <c r="E101" s="126"/>
      <c r="F101" s="126"/>
      <c r="G101" s="126"/>
      <c r="H101" s="126"/>
      <c r="I101" s="14" t="s">
        <v>103</v>
      </c>
      <c r="J101" s="30" t="e">
        <f ca="1">(IF(B95&gt;1,(H95/(B95+2)+J100),H95/4+J100))</f>
        <v>#REF!</v>
      </c>
    </row>
    <row r="102" spans="1:11" ht="15.75" hidden="1" customHeight="1" x14ac:dyDescent="0.3">
      <c r="A102" s="106" t="s">
        <v>137</v>
      </c>
      <c r="B102" s="106" t="s">
        <v>130</v>
      </c>
      <c r="C102" s="63">
        <v>0</v>
      </c>
      <c r="D102" s="20" t="e">
        <f ca="1">((100/H95)*C102)/100</f>
        <v>#REF!</v>
      </c>
      <c r="E102" s="126"/>
      <c r="F102" s="126"/>
      <c r="G102" s="126"/>
      <c r="H102" s="126"/>
      <c r="I102" s="14" t="s">
        <v>146</v>
      </c>
      <c r="J102" s="30">
        <f>(IF(B95&gt;1,(H95/(B95+2)+J101),0))</f>
        <v>0</v>
      </c>
    </row>
    <row r="103" spans="1:11" ht="15" hidden="1" customHeight="1" x14ac:dyDescent="0.3">
      <c r="A103" s="106" t="s">
        <v>135</v>
      </c>
      <c r="B103" s="106" t="s">
        <v>132</v>
      </c>
      <c r="C103" s="63">
        <v>0</v>
      </c>
      <c r="D103" s="20" t="e">
        <f ca="1">((100/(H95))*C103)/100</f>
        <v>#REF!</v>
      </c>
      <c r="E103" s="126"/>
      <c r="F103" s="126"/>
      <c r="G103" s="126"/>
      <c r="H103" s="126"/>
      <c r="I103" s="14" t="s">
        <v>143</v>
      </c>
      <c r="J103" s="30">
        <f>(IF(B95&gt;2,(H95/(B95+2)+J102),0))</f>
        <v>0</v>
      </c>
    </row>
    <row r="104" spans="1:11" ht="15.75" hidden="1" customHeight="1" x14ac:dyDescent="0.3">
      <c r="A104" s="106" t="s">
        <v>131</v>
      </c>
      <c r="B104" s="106" t="s">
        <v>131</v>
      </c>
      <c r="C104" s="63">
        <v>0</v>
      </c>
      <c r="D104" s="20" t="e">
        <f ca="1">((100/H95)*C104)/100</f>
        <v>#REF!</v>
      </c>
      <c r="E104" s="126"/>
      <c r="F104" s="126"/>
      <c r="G104" s="126"/>
      <c r="H104" s="126"/>
      <c r="I104" s="14" t="s">
        <v>144</v>
      </c>
      <c r="J104" s="31">
        <f>(IF(B95&gt;3,(H95/(B95+2)+J103),0))</f>
        <v>0</v>
      </c>
    </row>
    <row r="105" spans="1:11" ht="15.75" hidden="1" customHeight="1" x14ac:dyDescent="0.3">
      <c r="A105" s="106" t="s">
        <v>138</v>
      </c>
      <c r="B105" s="106"/>
      <c r="C105" s="63">
        <v>0</v>
      </c>
      <c r="D105" s="20" t="e">
        <f ca="1">((100/H95)*C105)/100</f>
        <v>#REF!</v>
      </c>
      <c r="E105" s="126"/>
      <c r="F105" s="126"/>
      <c r="G105" s="126"/>
      <c r="H105" s="126"/>
      <c r="I105" s="14" t="s">
        <v>145</v>
      </c>
      <c r="J105" s="30">
        <f>(IF(B95&gt;4,(H95/(B95+2)+J104),0))</f>
        <v>0</v>
      </c>
    </row>
    <row r="106" spans="1:11" ht="15.75" hidden="1" customHeight="1" x14ac:dyDescent="0.3">
      <c r="A106" s="106" t="s">
        <v>133</v>
      </c>
      <c r="B106" s="106" t="s">
        <v>133</v>
      </c>
      <c r="C106" s="63">
        <v>0</v>
      </c>
      <c r="D106" s="20" t="e">
        <f ca="1">((100/(H95))*C106)/100</f>
        <v>#REF!</v>
      </c>
      <c r="E106" s="126"/>
      <c r="F106" s="126"/>
      <c r="G106" s="126"/>
      <c r="H106" s="126"/>
      <c r="I106" s="14" t="s">
        <v>147</v>
      </c>
      <c r="J106" s="30" t="e">
        <f ca="1">(IF(B95=1,(H95/(B95+3)+J101),IF(B95=0,(H95/4+J101),IF(B95&gt;1,0))))</f>
        <v>#REF!</v>
      </c>
    </row>
    <row r="107" spans="1:11" ht="16.2" hidden="1" thickBot="1" x14ac:dyDescent="0.35">
      <c r="A107" s="106" t="s">
        <v>134</v>
      </c>
      <c r="B107" s="106"/>
      <c r="C107" s="63">
        <v>0</v>
      </c>
      <c r="D107" s="20" t="e">
        <f ca="1">((100/(H95))*C107)/100</f>
        <v>#REF!</v>
      </c>
      <c r="E107" s="126"/>
      <c r="F107" s="126"/>
      <c r="G107" s="126"/>
      <c r="H107" s="126"/>
      <c r="I107" s="16" t="s">
        <v>104</v>
      </c>
      <c r="J107" s="32" t="e">
        <f ca="1">(IF(B95&gt;1.5,(H95/(B95+2)+J101+MAX(0,J102-J101)+MAX(0,J103-J102)+MAX(0,J104-J103)+MAX(0,J105-J104)+MAX(0,J106-J105)),IF(B95=1,(H95/(B95+3)+J106),IF(B95=0,H95/4+J106))))</f>
        <v>#REF!</v>
      </c>
    </row>
    <row r="108" spans="1:11" x14ac:dyDescent="0.3">
      <c r="A108" s="122" t="s">
        <v>157</v>
      </c>
      <c r="B108" s="122"/>
      <c r="C108" s="122"/>
      <c r="D108" s="122"/>
      <c r="E108" s="122"/>
      <c r="F108" s="76" t="s">
        <v>161</v>
      </c>
      <c r="G108" s="76"/>
      <c r="H108" s="76"/>
    </row>
    <row r="109" spans="1:11" x14ac:dyDescent="0.3">
      <c r="A109" s="78" t="s">
        <v>159</v>
      </c>
      <c r="B109" s="78"/>
      <c r="C109" s="78"/>
      <c r="D109" s="78"/>
      <c r="E109" s="78"/>
      <c r="F109" s="75">
        <v>4700</v>
      </c>
      <c r="G109" s="75"/>
      <c r="H109" s="75"/>
      <c r="I109" s="21" t="s">
        <v>286</v>
      </c>
      <c r="J109" s="21" t="s">
        <v>287</v>
      </c>
      <c r="K109" s="25">
        <v>45799</v>
      </c>
    </row>
    <row r="110" spans="1:11" x14ac:dyDescent="0.3">
      <c r="A110" s="78" t="s">
        <v>158</v>
      </c>
      <c r="B110" s="78"/>
      <c r="C110" s="78"/>
      <c r="D110" s="78"/>
      <c r="E110" s="78"/>
      <c r="F110" s="75">
        <v>12000</v>
      </c>
      <c r="G110" s="75"/>
      <c r="H110" s="75"/>
    </row>
    <row r="111" spans="1:11" x14ac:dyDescent="0.3">
      <c r="A111" s="78" t="s">
        <v>280</v>
      </c>
      <c r="B111" s="78"/>
      <c r="C111" s="78"/>
      <c r="D111" s="78"/>
      <c r="E111" s="78"/>
      <c r="F111" s="75">
        <v>8000</v>
      </c>
      <c r="G111" s="75"/>
      <c r="H111" s="75"/>
    </row>
    <row r="112" spans="1:11" x14ac:dyDescent="0.3">
      <c r="A112" s="78" t="s">
        <v>160</v>
      </c>
      <c r="B112" s="78"/>
      <c r="C112" s="78"/>
      <c r="D112" s="78"/>
      <c r="E112" s="78"/>
      <c r="F112" s="75">
        <v>10000</v>
      </c>
      <c r="G112" s="75"/>
      <c r="H112" s="75"/>
    </row>
    <row r="113" spans="1:9" s="33" customFormat="1" hidden="1" x14ac:dyDescent="0.25">
      <c r="A113" s="78" t="s">
        <v>175</v>
      </c>
      <c r="B113" s="78"/>
      <c r="C113" s="78"/>
      <c r="D113" s="78"/>
      <c r="E113" s="78"/>
      <c r="F113" s="75"/>
      <c r="G113" s="75"/>
      <c r="H113" s="75"/>
    </row>
    <row r="114" spans="1:9" s="33" customFormat="1" hidden="1" x14ac:dyDescent="0.25">
      <c r="A114" s="78" t="s">
        <v>94</v>
      </c>
      <c r="B114" s="78"/>
      <c r="C114" s="78"/>
      <c r="D114" s="78"/>
      <c r="E114" s="78"/>
      <c r="F114" s="75"/>
      <c r="G114" s="75"/>
      <c r="H114" s="75"/>
    </row>
    <row r="115" spans="1:9" s="33" customFormat="1" hidden="1" x14ac:dyDescent="0.25">
      <c r="A115" s="78" t="s">
        <v>95</v>
      </c>
      <c r="B115" s="78"/>
      <c r="C115" s="78"/>
      <c r="D115" s="78"/>
      <c r="E115" s="78"/>
      <c r="F115" s="75"/>
      <c r="G115" s="75"/>
      <c r="H115" s="75"/>
    </row>
    <row r="116" spans="1:9" s="33" customFormat="1" hidden="1" x14ac:dyDescent="0.25">
      <c r="A116" s="78" t="s">
        <v>96</v>
      </c>
      <c r="B116" s="78"/>
      <c r="C116" s="78"/>
      <c r="D116" s="78"/>
      <c r="E116" s="78"/>
      <c r="F116" s="75"/>
      <c r="G116" s="75"/>
      <c r="H116" s="75"/>
    </row>
    <row r="117" spans="1:9" s="33" customFormat="1" hidden="1" x14ac:dyDescent="0.25">
      <c r="A117" s="78" t="s">
        <v>97</v>
      </c>
      <c r="B117" s="78"/>
      <c r="C117" s="78"/>
      <c r="D117" s="78"/>
      <c r="E117" s="78"/>
      <c r="F117" s="75"/>
      <c r="G117" s="75"/>
      <c r="H117" s="75"/>
    </row>
    <row r="118" spans="1:9" s="33" customFormat="1" hidden="1" x14ac:dyDescent="0.25">
      <c r="A118" s="78" t="s">
        <v>98</v>
      </c>
      <c r="B118" s="78"/>
      <c r="C118" s="78"/>
      <c r="D118" s="78"/>
      <c r="E118" s="78"/>
      <c r="F118" s="75"/>
      <c r="G118" s="75"/>
      <c r="H118" s="75"/>
    </row>
    <row r="119" spans="1:9" s="33" customFormat="1" hidden="1" x14ac:dyDescent="0.25">
      <c r="A119" s="78" t="s">
        <v>99</v>
      </c>
      <c r="B119" s="78"/>
      <c r="C119" s="78"/>
      <c r="D119" s="78"/>
      <c r="E119" s="78"/>
      <c r="F119" s="75"/>
      <c r="G119" s="75"/>
      <c r="H119" s="75"/>
    </row>
    <row r="120" spans="1:9" x14ac:dyDescent="0.3">
      <c r="A120" s="78" t="s">
        <v>51</v>
      </c>
      <c r="B120" s="78"/>
      <c r="C120" s="78"/>
      <c r="D120" s="78"/>
      <c r="E120" s="78"/>
      <c r="F120" s="75">
        <v>200000</v>
      </c>
      <c r="G120" s="75"/>
      <c r="H120" s="75"/>
    </row>
    <row r="121" spans="1:9" s="34" customFormat="1" x14ac:dyDescent="0.3">
      <c r="A121" s="122" t="s">
        <v>52</v>
      </c>
      <c r="B121" s="122"/>
      <c r="C121" s="122"/>
      <c r="D121" s="122"/>
      <c r="E121" s="122"/>
      <c r="F121" s="75">
        <f>F109*0.8</f>
        <v>3760</v>
      </c>
      <c r="G121" s="75"/>
      <c r="H121" s="75"/>
    </row>
    <row r="122" spans="1:9" s="35" customFormat="1" ht="15.75" customHeight="1" x14ac:dyDescent="0.3">
      <c r="A122" s="129" t="s">
        <v>74</v>
      </c>
      <c r="B122" s="129"/>
      <c r="C122" s="129"/>
      <c r="D122" s="129"/>
      <c r="E122" s="129"/>
      <c r="F122" s="129"/>
      <c r="G122" s="129"/>
      <c r="H122" s="129"/>
    </row>
    <row r="123" spans="1:9" s="35" customFormat="1" ht="15.75" customHeight="1" x14ac:dyDescent="0.3">
      <c r="A123" s="77" t="s">
        <v>53</v>
      </c>
      <c r="B123" s="77"/>
      <c r="C123" s="85" t="s">
        <v>77</v>
      </c>
      <c r="D123" s="85"/>
      <c r="E123" s="83" t="s">
        <v>54</v>
      </c>
      <c r="F123" s="83"/>
      <c r="G123" s="77" t="s">
        <v>55</v>
      </c>
      <c r="H123" s="77"/>
      <c r="I123" s="35" t="s">
        <v>278</v>
      </c>
    </row>
    <row r="124" spans="1:9" s="35" customFormat="1" x14ac:dyDescent="0.3">
      <c r="A124" s="84" t="s">
        <v>276</v>
      </c>
      <c r="B124" s="84"/>
      <c r="C124" s="124">
        <f>COUNT(F137:F140)</f>
        <v>4</v>
      </c>
      <c r="D124" s="125"/>
      <c r="E124" s="107">
        <f>SUM(F137:F140)</f>
        <v>1034.0974799999999</v>
      </c>
      <c r="F124" s="108"/>
      <c r="G124" s="107">
        <f>SUM(H137:H140)</f>
        <v>1551.1462200000001</v>
      </c>
      <c r="H124" s="108"/>
      <c r="I124" s="60">
        <f>2800000/H168</f>
        <v>4482.6956708347361</v>
      </c>
    </row>
    <row r="125" spans="1:9" s="35" customFormat="1" x14ac:dyDescent="0.3">
      <c r="A125" s="84" t="s">
        <v>274</v>
      </c>
      <c r="B125" s="84"/>
      <c r="C125" s="124">
        <f>COUNT(F142:F154)</f>
        <v>13</v>
      </c>
      <c r="D125" s="125"/>
      <c r="E125" s="107">
        <f>SUM(F142:F154)</f>
        <v>1487.6924399999998</v>
      </c>
      <c r="F125" s="108"/>
      <c r="G125" s="107">
        <f>SUM(H142:H154)</f>
        <v>2231.5386599999997</v>
      </c>
      <c r="H125" s="108"/>
      <c r="I125" s="60">
        <f>3700000/H172</f>
        <v>4416.1877179794456</v>
      </c>
    </row>
    <row r="126" spans="1:9" s="35" customFormat="1" x14ac:dyDescent="0.3">
      <c r="A126" s="84" t="s">
        <v>275</v>
      </c>
      <c r="B126" s="84"/>
      <c r="C126" s="124">
        <f>COUNT(F156:F163)</f>
        <v>8</v>
      </c>
      <c r="D126" s="125"/>
      <c r="E126" s="107">
        <f>SUM(F156:F163)</f>
        <v>2791.8586799999998</v>
      </c>
      <c r="F126" s="108"/>
      <c r="G126" s="107">
        <f>SUM(H156:H163)</f>
        <v>4187.78802</v>
      </c>
      <c r="H126" s="108"/>
      <c r="I126" s="61">
        <f>AVERAGE(I124:I125)</f>
        <v>4449.4416944070908</v>
      </c>
    </row>
    <row r="127" spans="1:9" s="35" customFormat="1" x14ac:dyDescent="0.3">
      <c r="A127" s="129" t="s">
        <v>150</v>
      </c>
      <c r="B127" s="129"/>
      <c r="C127" s="182">
        <f t="shared" ref="C127:G127" si="0">SUM(C124:D126)</f>
        <v>25</v>
      </c>
      <c r="D127" s="85"/>
      <c r="E127" s="183">
        <f t="shared" si="0"/>
        <v>5313.6485999999995</v>
      </c>
      <c r="F127" s="83"/>
      <c r="G127" s="77">
        <f t="shared" si="0"/>
        <v>7970.4728999999998</v>
      </c>
      <c r="H127" s="77"/>
    </row>
    <row r="128" spans="1:9" s="35" customFormat="1" x14ac:dyDescent="0.3">
      <c r="A128" s="129" t="s">
        <v>69</v>
      </c>
      <c r="B128" s="129"/>
      <c r="C128" s="129"/>
      <c r="D128" s="129"/>
      <c r="E128" s="129"/>
      <c r="F128" s="129"/>
      <c r="G128" s="129"/>
      <c r="H128" s="129"/>
      <c r="I128" s="62" t="s">
        <v>279</v>
      </c>
    </row>
    <row r="129" spans="1:13" s="35" customFormat="1" ht="15.75" customHeight="1" x14ac:dyDescent="0.3">
      <c r="A129" s="77" t="s">
        <v>53</v>
      </c>
      <c r="B129" s="77"/>
      <c r="C129" s="85" t="s">
        <v>77</v>
      </c>
      <c r="D129" s="85"/>
      <c r="E129" s="83" t="s">
        <v>54</v>
      </c>
      <c r="F129" s="83"/>
      <c r="G129" s="77" t="s">
        <v>55</v>
      </c>
      <c r="H129" s="77"/>
    </row>
    <row r="130" spans="1:13" s="35" customFormat="1" ht="16.2" thickBot="1" x14ac:dyDescent="0.35">
      <c r="A130" s="84" t="s">
        <v>273</v>
      </c>
      <c r="B130" s="84"/>
      <c r="C130" s="124">
        <f>COUNT(F168:F173)*6</f>
        <v>36</v>
      </c>
      <c r="D130" s="125"/>
      <c r="E130" s="107">
        <f>SUM(F168:F173)*6</f>
        <v>18902.60658</v>
      </c>
      <c r="F130" s="108"/>
      <c r="G130" s="107">
        <f>SUM(H168:H173)*6</f>
        <v>27408.779540999993</v>
      </c>
      <c r="H130" s="108"/>
    </row>
    <row r="131" spans="1:13" s="35" customFormat="1" ht="16.2" thickBot="1" x14ac:dyDescent="0.35">
      <c r="A131" s="115" t="s">
        <v>167</v>
      </c>
      <c r="B131" s="116"/>
      <c r="C131" s="117">
        <f>C127+C130</f>
        <v>61</v>
      </c>
      <c r="D131" s="118"/>
      <c r="E131" s="119">
        <f>E127+E130</f>
        <v>24216.25518</v>
      </c>
      <c r="F131" s="120"/>
      <c r="G131" s="173">
        <f>G127+G130</f>
        <v>35379.25244099999</v>
      </c>
      <c r="H131" s="174"/>
    </row>
    <row r="132" spans="1:13" s="34" customFormat="1" x14ac:dyDescent="0.3">
      <c r="A132" s="121" t="s">
        <v>56</v>
      </c>
      <c r="B132" s="121"/>
      <c r="C132" s="121"/>
      <c r="D132" s="121"/>
      <c r="E132" s="121"/>
      <c r="F132" s="121"/>
      <c r="G132" s="121"/>
      <c r="H132" s="121"/>
      <c r="I132" s="58" t="s">
        <v>277</v>
      </c>
    </row>
    <row r="133" spans="1:13" x14ac:dyDescent="0.3">
      <c r="A133" s="76" t="s">
        <v>174</v>
      </c>
      <c r="B133" s="76"/>
      <c r="C133" s="76"/>
      <c r="D133" s="76"/>
      <c r="E133" s="76"/>
      <c r="F133" s="76"/>
      <c r="G133" s="76"/>
      <c r="H133" s="76"/>
    </row>
    <row r="134" spans="1:13" ht="47.25" customHeight="1" x14ac:dyDescent="0.3">
      <c r="A134" s="130" t="s">
        <v>119</v>
      </c>
      <c r="B134" s="130" t="s">
        <v>176</v>
      </c>
      <c r="C134" s="130" t="s">
        <v>57</v>
      </c>
      <c r="D134" s="130" t="s">
        <v>232</v>
      </c>
      <c r="E134" s="159" t="s">
        <v>156</v>
      </c>
      <c r="F134" s="130" t="s">
        <v>58</v>
      </c>
      <c r="G134" s="159" t="s">
        <v>59</v>
      </c>
      <c r="H134" s="54" t="s">
        <v>149</v>
      </c>
    </row>
    <row r="135" spans="1:13" s="37" customFormat="1" x14ac:dyDescent="0.3">
      <c r="A135" s="131"/>
      <c r="B135" s="131"/>
      <c r="C135" s="131"/>
      <c r="D135" s="131"/>
      <c r="E135" s="160"/>
      <c r="F135" s="131"/>
      <c r="G135" s="160"/>
      <c r="H135" s="13">
        <v>0.5</v>
      </c>
    </row>
    <row r="136" spans="1:13" s="37" customFormat="1" x14ac:dyDescent="0.3">
      <c r="A136" s="109" t="s">
        <v>258</v>
      </c>
      <c r="B136" s="110"/>
      <c r="C136" s="110"/>
      <c r="D136" s="110"/>
      <c r="E136" s="110"/>
      <c r="F136" s="110"/>
      <c r="G136" s="110"/>
      <c r="H136" s="111"/>
      <c r="I136" s="36"/>
    </row>
    <row r="137" spans="1:13" s="37" customFormat="1" ht="15.75" customHeight="1" x14ac:dyDescent="0.3">
      <c r="A137" s="68">
        <v>1</v>
      </c>
      <c r="B137" s="69"/>
      <c r="C137" s="42" t="s">
        <v>259</v>
      </c>
      <c r="D137" s="42">
        <f>(18.42)*10.764</f>
        <v>198.27288000000001</v>
      </c>
      <c r="E137" s="42">
        <v>0</v>
      </c>
      <c r="F137" s="42">
        <f>D137+E137</f>
        <v>198.27288000000001</v>
      </c>
      <c r="G137" s="42">
        <v>0</v>
      </c>
      <c r="H137" s="42">
        <f>(D137+E137)*(($H$135)+1)</f>
        <v>297.40932000000004</v>
      </c>
      <c r="I137" s="42">
        <f>(2.75*6.65)</f>
        <v>18.287500000000001</v>
      </c>
      <c r="J137" s="70"/>
      <c r="K137" s="70"/>
      <c r="L137" s="36">
        <f>1742400/H137</f>
        <v>5858.5924610567008</v>
      </c>
    </row>
    <row r="138" spans="1:13" s="37" customFormat="1" ht="15.75" customHeight="1" x14ac:dyDescent="0.3">
      <c r="A138" s="68">
        <f t="shared" ref="A138:A140" si="1">A137+1</f>
        <v>2</v>
      </c>
      <c r="B138" s="69"/>
      <c r="C138" s="42" t="s">
        <v>259</v>
      </c>
      <c r="D138" s="42">
        <f>(18.42)*10.764</f>
        <v>198.27288000000001</v>
      </c>
      <c r="E138" s="42">
        <v>0</v>
      </c>
      <c r="F138" s="42">
        <f t="shared" ref="F138:F140" si="2">D138+E138</f>
        <v>198.27288000000001</v>
      </c>
      <c r="G138" s="42">
        <v>0</v>
      </c>
      <c r="H138" s="42">
        <f>(D138+E138)*(($H$135)+1)</f>
        <v>297.40932000000004</v>
      </c>
      <c r="I138" s="42">
        <f>(2.75*6.65)</f>
        <v>18.287500000000001</v>
      </c>
      <c r="K138" s="36"/>
      <c r="L138" s="36">
        <f>1742400/H138</f>
        <v>5858.5924610567008</v>
      </c>
      <c r="M138" s="36"/>
    </row>
    <row r="139" spans="1:13" s="37" customFormat="1" ht="15.75" customHeight="1" x14ac:dyDescent="0.3">
      <c r="A139" s="68">
        <f t="shared" si="1"/>
        <v>3</v>
      </c>
      <c r="B139" s="69"/>
      <c r="C139" s="42" t="s">
        <v>259</v>
      </c>
      <c r="D139" s="42">
        <f>(9.57)*10.764</f>
        <v>103.01147999999999</v>
      </c>
      <c r="E139" s="42">
        <v>0</v>
      </c>
      <c r="F139" s="42">
        <f t="shared" si="2"/>
        <v>103.01147999999999</v>
      </c>
      <c r="G139" s="42">
        <v>0</v>
      </c>
      <c r="H139" s="42">
        <f t="shared" ref="H139:H140" si="3">(D139+E139)*(($H$135)+1)</f>
        <v>154.51721999999998</v>
      </c>
      <c r="I139" s="42">
        <f>(2.25*4.25)</f>
        <v>9.5625</v>
      </c>
      <c r="K139" s="36"/>
      <c r="L139" s="36">
        <f>906400/H139</f>
        <v>5866.0128625146126</v>
      </c>
      <c r="M139" s="36"/>
    </row>
    <row r="140" spans="1:13" s="37" customFormat="1" ht="15.75" customHeight="1" x14ac:dyDescent="0.3">
      <c r="A140" s="68">
        <f t="shared" si="1"/>
        <v>4</v>
      </c>
      <c r="B140" s="69"/>
      <c r="C140" s="42" t="s">
        <v>259</v>
      </c>
      <c r="D140" s="42">
        <f>(49.66)*10.764</f>
        <v>534.54023999999993</v>
      </c>
      <c r="E140" s="42">
        <v>0</v>
      </c>
      <c r="F140" s="42">
        <f t="shared" si="2"/>
        <v>534.54023999999993</v>
      </c>
      <c r="G140" s="42">
        <v>0</v>
      </c>
      <c r="H140" s="42">
        <f t="shared" si="3"/>
        <v>801.81035999999995</v>
      </c>
      <c r="I140" s="42">
        <f>(4.65*10.65)</f>
        <v>49.522500000000008</v>
      </c>
      <c r="K140" s="36"/>
      <c r="L140" s="36">
        <f>4699200/H140</f>
        <v>5860.7374442006467</v>
      </c>
      <c r="M140" s="36"/>
    </row>
    <row r="141" spans="1:13" s="37" customFormat="1" x14ac:dyDescent="0.3">
      <c r="A141" s="109" t="s">
        <v>260</v>
      </c>
      <c r="B141" s="110"/>
      <c r="C141" s="110"/>
      <c r="D141" s="110"/>
      <c r="E141" s="110"/>
      <c r="F141" s="110"/>
      <c r="G141" s="110"/>
      <c r="H141" s="111"/>
      <c r="I141" s="36"/>
      <c r="K141" s="36"/>
      <c r="L141" s="59">
        <f>AVERAGE(L137:L140)</f>
        <v>5860.9838072071652</v>
      </c>
    </row>
    <row r="142" spans="1:13" s="37" customFormat="1" ht="15.75" customHeight="1" x14ac:dyDescent="0.3">
      <c r="A142" s="68">
        <v>1</v>
      </c>
      <c r="B142" s="69"/>
      <c r="C142" s="42" t="s">
        <v>261</v>
      </c>
      <c r="D142" s="42">
        <f>(7.59)*10.764</f>
        <v>81.698759999999993</v>
      </c>
      <c r="E142" s="42">
        <v>0</v>
      </c>
      <c r="F142" s="42">
        <f>D142+E142</f>
        <v>81.698759999999993</v>
      </c>
      <c r="G142" s="42">
        <v>0</v>
      </c>
      <c r="H142" s="42">
        <f>(D142+E142)*(($H$135)+1)</f>
        <v>122.54813999999999</v>
      </c>
      <c r="K142" s="36"/>
      <c r="L142" s="36">
        <f>2099200/H142</f>
        <v>17129.594949380709</v>
      </c>
      <c r="M142" s="36"/>
    </row>
    <row r="143" spans="1:13" s="37" customFormat="1" ht="15.75" customHeight="1" x14ac:dyDescent="0.3">
      <c r="A143" s="68">
        <v>2</v>
      </c>
      <c r="B143" s="69"/>
      <c r="C143" s="42" t="s">
        <v>261</v>
      </c>
      <c r="D143" s="42">
        <f>(11)*10.764</f>
        <v>118.404</v>
      </c>
      <c r="E143" s="42">
        <v>0</v>
      </c>
      <c r="F143" s="42">
        <f t="shared" ref="F143:F145" si="4">D143+E143</f>
        <v>118.404</v>
      </c>
      <c r="G143" s="42">
        <v>0</v>
      </c>
      <c r="H143" s="42">
        <f>(D143+E143)*(($H$135)+1)</f>
        <v>177.60599999999999</v>
      </c>
      <c r="K143" s="36"/>
      <c r="L143" s="36">
        <f>3115200/H143</f>
        <v>17539.947974730585</v>
      </c>
      <c r="M143" s="36"/>
    </row>
    <row r="144" spans="1:13" s="37" customFormat="1" ht="15.75" customHeight="1" x14ac:dyDescent="0.3">
      <c r="A144" s="68">
        <v>3</v>
      </c>
      <c r="B144" s="69"/>
      <c r="C144" s="42" t="s">
        <v>261</v>
      </c>
      <c r="D144" s="42">
        <f>(12.1)*10.764</f>
        <v>130.24439999999998</v>
      </c>
      <c r="E144" s="42">
        <v>0</v>
      </c>
      <c r="F144" s="42">
        <f t="shared" si="4"/>
        <v>130.24439999999998</v>
      </c>
      <c r="G144" s="42">
        <v>0</v>
      </c>
      <c r="H144" s="42">
        <f t="shared" ref="H144:H145" si="5">(D144+E144)*(($H$135)+1)</f>
        <v>195.36659999999998</v>
      </c>
      <c r="I144" s="42">
        <v>10.763999999999999</v>
      </c>
      <c r="K144" s="36"/>
      <c r="L144" s="36">
        <f>3536000/H144</f>
        <v>18099.306636856047</v>
      </c>
      <c r="M144" s="36"/>
    </row>
    <row r="145" spans="1:13" s="37" customFormat="1" ht="15.75" customHeight="1" x14ac:dyDescent="0.3">
      <c r="A145" s="68">
        <v>4</v>
      </c>
      <c r="B145" s="69"/>
      <c r="C145" s="42" t="s">
        <v>261</v>
      </c>
      <c r="D145" s="42">
        <f>(12.1)*10.764</f>
        <v>130.24439999999998</v>
      </c>
      <c r="E145" s="42">
        <v>0</v>
      </c>
      <c r="F145" s="42">
        <f t="shared" si="4"/>
        <v>130.24439999999998</v>
      </c>
      <c r="G145" s="42">
        <v>0</v>
      </c>
      <c r="H145" s="42">
        <f t="shared" si="5"/>
        <v>195.36659999999998</v>
      </c>
      <c r="K145" s="36"/>
      <c r="L145" s="36">
        <f>3640000/H145</f>
        <v>18631.639184998872</v>
      </c>
      <c r="M145" s="36"/>
    </row>
    <row r="146" spans="1:13" s="37" customFormat="1" ht="15.75" customHeight="1" x14ac:dyDescent="0.3">
      <c r="A146" s="68">
        <v>5</v>
      </c>
      <c r="B146" s="69"/>
      <c r="C146" s="42" t="s">
        <v>261</v>
      </c>
      <c r="D146" s="42">
        <f>(9.21)*10.764</f>
        <v>99.136440000000007</v>
      </c>
      <c r="E146" s="42">
        <v>0</v>
      </c>
      <c r="F146" s="42">
        <f>D146+E146</f>
        <v>99.136440000000007</v>
      </c>
      <c r="G146" s="42">
        <v>0</v>
      </c>
      <c r="H146" s="42">
        <f>(D146+E146)*(($H$135)+1)</f>
        <v>148.70466000000002</v>
      </c>
      <c r="K146" s="36"/>
      <c r="L146" s="36">
        <f>2851200/H146</f>
        <v>19173.575327094655</v>
      </c>
      <c r="M146" s="36"/>
    </row>
    <row r="147" spans="1:13" s="37" customFormat="1" ht="15.75" customHeight="1" x14ac:dyDescent="0.3">
      <c r="A147" s="68">
        <v>6</v>
      </c>
      <c r="B147" s="69"/>
      <c r="C147" s="42" t="s">
        <v>261</v>
      </c>
      <c r="D147" s="42">
        <f>(9.46)*10.764</f>
        <v>101.82744000000001</v>
      </c>
      <c r="E147" s="42">
        <v>0</v>
      </c>
      <c r="F147" s="42">
        <f t="shared" ref="F147:F150" si="6">D147+E147</f>
        <v>101.82744000000001</v>
      </c>
      <c r="G147" s="42">
        <v>0</v>
      </c>
      <c r="H147" s="42">
        <f>(D147+E147)*(($H$135)+1)</f>
        <v>152.74116000000001</v>
      </c>
      <c r="K147" s="36"/>
      <c r="L147" s="36">
        <f>3019200/H147</f>
        <v>19766.774064044032</v>
      </c>
      <c r="M147" s="36"/>
    </row>
    <row r="148" spans="1:13" s="37" customFormat="1" ht="15.75" customHeight="1" x14ac:dyDescent="0.3">
      <c r="A148" s="68">
        <v>7</v>
      </c>
      <c r="B148" s="69"/>
      <c r="C148" s="42" t="s">
        <v>261</v>
      </c>
      <c r="D148" s="42">
        <f>(12.1)*10.764</f>
        <v>130.24439999999998</v>
      </c>
      <c r="E148" s="42">
        <v>0</v>
      </c>
      <c r="F148" s="42">
        <f t="shared" si="6"/>
        <v>130.24439999999998</v>
      </c>
      <c r="G148" s="42">
        <v>0</v>
      </c>
      <c r="H148" s="42">
        <f t="shared" ref="H148:H150" si="7">(D148+E148)*(($H$135)+1)</f>
        <v>195.36659999999998</v>
      </c>
      <c r="K148" s="36"/>
      <c r="L148" s="36">
        <f>3952000/H148</f>
        <v>20228.636829427345</v>
      </c>
      <c r="M148" s="36"/>
    </row>
    <row r="149" spans="1:13" s="37" customFormat="1" ht="15.75" customHeight="1" x14ac:dyDescent="0.3">
      <c r="A149" s="68">
        <v>8</v>
      </c>
      <c r="B149" s="69"/>
      <c r="C149" s="42" t="s">
        <v>261</v>
      </c>
      <c r="D149" s="42">
        <f>(12.1)*10.764</f>
        <v>130.24439999999998</v>
      </c>
      <c r="E149" s="42">
        <v>0</v>
      </c>
      <c r="F149" s="42">
        <f t="shared" si="6"/>
        <v>130.24439999999998</v>
      </c>
      <c r="G149" s="42">
        <v>0</v>
      </c>
      <c r="H149" s="42">
        <f t="shared" si="7"/>
        <v>195.36659999999998</v>
      </c>
      <c r="K149" s="36"/>
      <c r="L149" s="59">
        <f>AVERAGE(L142:L148)</f>
        <v>18652.782138076036</v>
      </c>
      <c r="M149" s="36"/>
    </row>
    <row r="150" spans="1:13" s="37" customFormat="1" ht="15.75" customHeight="1" x14ac:dyDescent="0.3">
      <c r="A150" s="68">
        <v>9</v>
      </c>
      <c r="B150" s="69"/>
      <c r="C150" s="42" t="s">
        <v>261</v>
      </c>
      <c r="D150" s="42">
        <f>(6.89)*10.764</f>
        <v>74.163959999999989</v>
      </c>
      <c r="E150" s="42">
        <v>0</v>
      </c>
      <c r="F150" s="42">
        <f t="shared" si="6"/>
        <v>74.163959999999989</v>
      </c>
      <c r="G150" s="42">
        <v>0</v>
      </c>
      <c r="H150" s="42">
        <f t="shared" si="7"/>
        <v>111.24593999999999</v>
      </c>
      <c r="K150" s="36"/>
      <c r="L150" s="36"/>
      <c r="M150" s="36"/>
    </row>
    <row r="151" spans="1:13" s="37" customFormat="1" ht="15.75" customHeight="1" x14ac:dyDescent="0.3">
      <c r="A151" s="68">
        <v>10</v>
      </c>
      <c r="B151" s="69"/>
      <c r="C151" s="42" t="s">
        <v>261</v>
      </c>
      <c r="D151" s="42">
        <f>(11.55)*10.764</f>
        <v>124.3242</v>
      </c>
      <c r="E151" s="42">
        <v>0</v>
      </c>
      <c r="F151" s="42">
        <f>D151+E151</f>
        <v>124.3242</v>
      </c>
      <c r="G151" s="42">
        <v>0</v>
      </c>
      <c r="H151" s="42">
        <f>(D151+E151)*(($H$135)+1)</f>
        <v>186.4863</v>
      </c>
      <c r="K151" s="36"/>
      <c r="L151" s="36"/>
      <c r="M151" s="36"/>
    </row>
    <row r="152" spans="1:13" s="37" customFormat="1" ht="15.75" customHeight="1" x14ac:dyDescent="0.3">
      <c r="A152" s="68">
        <v>11</v>
      </c>
      <c r="B152" s="69"/>
      <c r="C152" s="42" t="s">
        <v>261</v>
      </c>
      <c r="D152" s="42">
        <f>(11.55)*10.764</f>
        <v>124.3242</v>
      </c>
      <c r="E152" s="42">
        <v>0</v>
      </c>
      <c r="F152" s="42">
        <f t="shared" ref="F152:F154" si="8">D152+E152</f>
        <v>124.3242</v>
      </c>
      <c r="G152" s="42">
        <v>0</v>
      </c>
      <c r="H152" s="42">
        <f>(D152+E152)*(($H$135)+1)</f>
        <v>186.4863</v>
      </c>
      <c r="K152" s="36"/>
      <c r="L152" s="36"/>
      <c r="M152" s="36"/>
    </row>
    <row r="153" spans="1:13" s="37" customFormat="1" ht="15.75" customHeight="1" x14ac:dyDescent="0.3">
      <c r="A153" s="68">
        <v>12</v>
      </c>
      <c r="B153" s="69"/>
      <c r="C153" s="42" t="s">
        <v>261</v>
      </c>
      <c r="D153" s="42">
        <f>(11.28)*10.764</f>
        <v>121.41791999999998</v>
      </c>
      <c r="E153" s="42">
        <v>0</v>
      </c>
      <c r="F153" s="42">
        <f t="shared" si="8"/>
        <v>121.41791999999998</v>
      </c>
      <c r="G153" s="42">
        <v>0</v>
      </c>
      <c r="H153" s="42">
        <f t="shared" ref="H153:H154" si="9">(D153+E153)*(($H$135)+1)</f>
        <v>182.12687999999997</v>
      </c>
      <c r="K153" s="36"/>
      <c r="L153" s="36"/>
      <c r="M153" s="36"/>
    </row>
    <row r="154" spans="1:13" s="37" customFormat="1" ht="15.75" customHeight="1" x14ac:dyDescent="0.3">
      <c r="A154" s="68">
        <v>13</v>
      </c>
      <c r="B154" s="69"/>
      <c r="C154" s="42" t="s">
        <v>261</v>
      </c>
      <c r="D154" s="42">
        <f>(11.28)*10.764</f>
        <v>121.41791999999998</v>
      </c>
      <c r="E154" s="42">
        <v>0</v>
      </c>
      <c r="F154" s="42">
        <f t="shared" si="8"/>
        <v>121.41791999999998</v>
      </c>
      <c r="G154" s="42">
        <v>0</v>
      </c>
      <c r="H154" s="42">
        <f t="shared" si="9"/>
        <v>182.12687999999997</v>
      </c>
      <c r="K154" s="36"/>
      <c r="L154" s="36"/>
      <c r="M154" s="36"/>
    </row>
    <row r="155" spans="1:13" s="37" customFormat="1" x14ac:dyDescent="0.3">
      <c r="A155" s="123" t="s">
        <v>262</v>
      </c>
      <c r="B155" s="123"/>
      <c r="C155" s="123"/>
      <c r="D155" s="123"/>
      <c r="E155" s="123"/>
      <c r="F155" s="123"/>
      <c r="G155" s="123"/>
      <c r="H155" s="123"/>
      <c r="I155" s="36"/>
    </row>
    <row r="156" spans="1:13" s="37" customFormat="1" ht="15.75" customHeight="1" x14ac:dyDescent="0.3">
      <c r="A156" s="72">
        <v>1</v>
      </c>
      <c r="B156" s="72"/>
      <c r="C156" s="42" t="s">
        <v>263</v>
      </c>
      <c r="D156" s="42">
        <f>41.22*10.764</f>
        <v>443.69207999999998</v>
      </c>
      <c r="E156" s="42">
        <v>0</v>
      </c>
      <c r="F156" s="42">
        <f>D156+E156</f>
        <v>443.69207999999998</v>
      </c>
      <c r="G156" s="42">
        <v>0</v>
      </c>
      <c r="H156" s="42">
        <f>(D156+E156)*(($H$135)+1)</f>
        <v>665.53811999999994</v>
      </c>
      <c r="K156" s="70"/>
      <c r="L156" s="70"/>
      <c r="M156" s="36"/>
    </row>
    <row r="157" spans="1:13" s="37" customFormat="1" ht="15.75" customHeight="1" x14ac:dyDescent="0.3">
      <c r="A157" s="72">
        <v>2</v>
      </c>
      <c r="B157" s="72"/>
      <c r="C157" s="42" t="s">
        <v>263</v>
      </c>
      <c r="D157" s="42">
        <f>44.17*10.764</f>
        <v>475.44587999999999</v>
      </c>
      <c r="E157" s="42">
        <v>0</v>
      </c>
      <c r="F157" s="42">
        <f t="shared" ref="F157:F159" si="10">D157+E157</f>
        <v>475.44587999999999</v>
      </c>
      <c r="G157" s="42">
        <v>0</v>
      </c>
      <c r="H157" s="42">
        <f>(D157+E157)*(($H$135)+1)</f>
        <v>713.16881999999998</v>
      </c>
      <c r="K157" s="70"/>
      <c r="L157" s="70"/>
      <c r="M157" s="36"/>
    </row>
    <row r="158" spans="1:13" s="37" customFormat="1" ht="15.75" customHeight="1" x14ac:dyDescent="0.3">
      <c r="A158" s="72">
        <v>3</v>
      </c>
      <c r="B158" s="72"/>
      <c r="C158" s="42" t="s">
        <v>263</v>
      </c>
      <c r="D158" s="42">
        <f>25.45*10.764</f>
        <v>273.94379999999995</v>
      </c>
      <c r="E158" s="42">
        <v>0</v>
      </c>
      <c r="F158" s="42">
        <f t="shared" si="10"/>
        <v>273.94379999999995</v>
      </c>
      <c r="G158" s="42">
        <v>0</v>
      </c>
      <c r="H158" s="42">
        <f t="shared" ref="H158:H159" si="11">(D158+E158)*(($H$135)+1)</f>
        <v>410.9156999999999</v>
      </c>
      <c r="I158" s="42">
        <v>10.763999999999999</v>
      </c>
      <c r="J158" s="36">
        <f>4400000/H158</f>
        <v>10707.79237687925</v>
      </c>
      <c r="K158" s="71" t="s">
        <v>270</v>
      </c>
      <c r="L158" s="71"/>
      <c r="M158" s="36"/>
    </row>
    <row r="159" spans="1:13" s="37" customFormat="1" ht="15.75" customHeight="1" x14ac:dyDescent="0.3">
      <c r="A159" s="72">
        <v>4</v>
      </c>
      <c r="B159" s="72"/>
      <c r="C159" s="42" t="s">
        <v>263</v>
      </c>
      <c r="D159" s="42">
        <f>22.91*10.764</f>
        <v>246.60324</v>
      </c>
      <c r="E159" s="42">
        <v>0</v>
      </c>
      <c r="F159" s="42">
        <f t="shared" si="10"/>
        <v>246.60324</v>
      </c>
      <c r="G159" s="42">
        <v>0</v>
      </c>
      <c r="H159" s="42">
        <f t="shared" si="11"/>
        <v>369.90485999999999</v>
      </c>
      <c r="J159" s="36">
        <f>4000000/H159</f>
        <v>10813.59136508777</v>
      </c>
      <c r="K159" s="57">
        <v>405</v>
      </c>
      <c r="L159" s="57" t="s">
        <v>267</v>
      </c>
      <c r="M159" s="36"/>
    </row>
    <row r="160" spans="1:13" s="37" customFormat="1" ht="15.75" customHeight="1" x14ac:dyDescent="0.3">
      <c r="A160" s="72">
        <v>5</v>
      </c>
      <c r="B160" s="72"/>
      <c r="C160" s="42" t="s">
        <v>263</v>
      </c>
      <c r="D160" s="42">
        <f>25.09*10.764</f>
        <v>270.06876</v>
      </c>
      <c r="E160" s="42">
        <v>0</v>
      </c>
      <c r="F160" s="42">
        <f>D160+E160</f>
        <v>270.06876</v>
      </c>
      <c r="G160" s="42">
        <v>0</v>
      </c>
      <c r="H160" s="42">
        <f>(D160+E160)*(($H$135)+1)</f>
        <v>405.10314</v>
      </c>
      <c r="J160" s="59">
        <f>AVERAGE(J158:J159)</f>
        <v>10760.69187098351</v>
      </c>
      <c r="K160" s="57">
        <v>602</v>
      </c>
      <c r="L160" s="57" t="s">
        <v>267</v>
      </c>
      <c r="M160" s="36"/>
    </row>
    <row r="161" spans="1:14" s="37" customFormat="1" ht="15.75" customHeight="1" x14ac:dyDescent="0.3">
      <c r="A161" s="72">
        <v>6</v>
      </c>
      <c r="B161" s="72"/>
      <c r="C161" s="42" t="s">
        <v>263</v>
      </c>
      <c r="D161" s="42">
        <f>22.71*10.764</f>
        <v>244.45043999999999</v>
      </c>
      <c r="E161" s="42">
        <v>0</v>
      </c>
      <c r="F161" s="42">
        <f t="shared" ref="F161:F163" si="12">D161+E161</f>
        <v>244.45043999999999</v>
      </c>
      <c r="G161" s="42">
        <v>0</v>
      </c>
      <c r="H161" s="42">
        <f>(D161+E161)*(($H$135)+1)</f>
        <v>366.67565999999999</v>
      </c>
      <c r="J161" s="36"/>
      <c r="K161" s="57" t="s">
        <v>268</v>
      </c>
      <c r="L161" s="57" t="s">
        <v>267</v>
      </c>
      <c r="M161" s="36"/>
    </row>
    <row r="162" spans="1:14" s="37" customFormat="1" ht="15.75" customHeight="1" x14ac:dyDescent="0.3">
      <c r="A162" s="72">
        <v>7</v>
      </c>
      <c r="B162" s="72"/>
      <c r="C162" s="42" t="s">
        <v>263</v>
      </c>
      <c r="D162" s="42">
        <f>34.38*10.764</f>
        <v>370.06632000000002</v>
      </c>
      <c r="E162" s="42">
        <v>0</v>
      </c>
      <c r="F162" s="42">
        <f t="shared" si="12"/>
        <v>370.06632000000002</v>
      </c>
      <c r="G162" s="42">
        <v>0</v>
      </c>
      <c r="H162" s="42">
        <f t="shared" ref="H162:H163" si="13">(D162+E162)*(($H$135)+1)</f>
        <v>555.09948000000009</v>
      </c>
      <c r="J162" s="36"/>
      <c r="K162" s="57" t="s">
        <v>269</v>
      </c>
      <c r="L162" s="57" t="s">
        <v>267</v>
      </c>
      <c r="M162" s="36"/>
    </row>
    <row r="163" spans="1:14" s="37" customFormat="1" ht="15.75" customHeight="1" x14ac:dyDescent="0.3">
      <c r="A163" s="72">
        <v>8</v>
      </c>
      <c r="B163" s="72"/>
      <c r="C163" s="42" t="s">
        <v>263</v>
      </c>
      <c r="D163" s="42">
        <f>43.44*10.764</f>
        <v>467.58815999999996</v>
      </c>
      <c r="E163" s="42">
        <v>0</v>
      </c>
      <c r="F163" s="42">
        <f t="shared" si="12"/>
        <v>467.58815999999996</v>
      </c>
      <c r="G163" s="42">
        <v>0</v>
      </c>
      <c r="H163" s="42">
        <f t="shared" si="13"/>
        <v>701.38223999999991</v>
      </c>
      <c r="J163" s="36"/>
      <c r="K163" s="70"/>
      <c r="L163" s="70"/>
      <c r="M163" s="36"/>
    </row>
    <row r="164" spans="1:14" s="37" customFormat="1" x14ac:dyDescent="0.3">
      <c r="A164" s="72"/>
      <c r="B164" s="72"/>
      <c r="C164" s="72"/>
      <c r="D164" s="72"/>
      <c r="E164" s="72"/>
      <c r="F164" s="72"/>
      <c r="G164" s="72"/>
      <c r="H164" s="72"/>
      <c r="I164" s="36"/>
      <c r="N164" s="36"/>
    </row>
    <row r="165" spans="1:14" ht="47.25" customHeight="1" x14ac:dyDescent="0.3">
      <c r="A165" s="105" t="s">
        <v>120</v>
      </c>
      <c r="B165" s="105" t="s">
        <v>177</v>
      </c>
      <c r="C165" s="105" t="s">
        <v>57</v>
      </c>
      <c r="D165" s="105" t="s">
        <v>232</v>
      </c>
      <c r="E165" s="105" t="s">
        <v>272</v>
      </c>
      <c r="F165" s="105" t="s">
        <v>58</v>
      </c>
      <c r="G165" s="172" t="s">
        <v>59</v>
      </c>
      <c r="H165" s="66" t="s">
        <v>149</v>
      </c>
      <c r="I165" s="36"/>
    </row>
    <row r="166" spans="1:14" s="37" customFormat="1" x14ac:dyDescent="0.3">
      <c r="A166" s="105"/>
      <c r="B166" s="105"/>
      <c r="C166" s="105"/>
      <c r="D166" s="105"/>
      <c r="E166" s="105"/>
      <c r="F166" s="105"/>
      <c r="G166" s="172"/>
      <c r="H166" s="67">
        <v>0.45</v>
      </c>
      <c r="I166" s="36"/>
    </row>
    <row r="167" spans="1:14" s="37" customFormat="1" x14ac:dyDescent="0.3">
      <c r="A167" s="109" t="s">
        <v>264</v>
      </c>
      <c r="B167" s="110"/>
      <c r="C167" s="110"/>
      <c r="D167" s="110"/>
      <c r="E167" s="110"/>
      <c r="F167" s="110"/>
      <c r="G167" s="110"/>
      <c r="H167" s="111"/>
    </row>
    <row r="168" spans="1:14" s="37" customFormat="1" ht="15.75" customHeight="1" x14ac:dyDescent="0.3">
      <c r="A168" s="68">
        <v>1</v>
      </c>
      <c r="B168" s="69"/>
      <c r="C168" s="42" t="s">
        <v>265</v>
      </c>
      <c r="D168" s="42">
        <f>(35.07)*10.764</f>
        <v>377.49347999999998</v>
      </c>
      <c r="E168" s="42">
        <f>(0.9*(2.75+2.75))*10.764</f>
        <v>53.281799999999997</v>
      </c>
      <c r="F168" s="42">
        <f>D168+E168</f>
        <v>430.77527999999995</v>
      </c>
      <c r="G168" s="42">
        <v>0</v>
      </c>
      <c r="H168" s="42">
        <f>F168*(($H$166)+1)+(IF(G168&lt;101,G168,IF(G168&lt;201,G168/2,IF(G168&lt;=301,G168/3,G168/4))))</f>
        <v>624.62415599999986</v>
      </c>
      <c r="I168" s="36">
        <f>2.75*4.45+2.5*2.5+2.75*3.45+0.9*1.2+1.2*1.5+1.2*1.2+1*0.9</f>
        <v>33.195</v>
      </c>
      <c r="J168" s="36">
        <f>3142875/H168</f>
        <v>5031.6257701695431</v>
      </c>
      <c r="L168" s="70"/>
      <c r="M168" s="70"/>
      <c r="N168" s="36"/>
    </row>
    <row r="169" spans="1:14" s="37" customFormat="1" ht="15.75" customHeight="1" x14ac:dyDescent="0.3">
      <c r="A169" s="68">
        <f t="shared" ref="A169:A173" si="14">A168+1</f>
        <v>2</v>
      </c>
      <c r="B169" s="69"/>
      <c r="C169" s="42" t="s">
        <v>266</v>
      </c>
      <c r="D169" s="42">
        <f>(46.18)*10.764</f>
        <v>497.08151999999995</v>
      </c>
      <c r="E169" s="42">
        <f>0.9*(2.75+2.9+3.35)*10.764</f>
        <v>87.188399999999987</v>
      </c>
      <c r="F169" s="42">
        <f t="shared" ref="F169:F171" si="15">D169+E169</f>
        <v>584.26991999999996</v>
      </c>
      <c r="G169" s="42">
        <v>0</v>
      </c>
      <c r="H169" s="42">
        <f t="shared" ref="H169:H171" si="16">F169*(($H$166)+1)+(IF(G169&lt;101,G169,IF(G169&lt;201,G169/2,IF(G169&lt;=301,G169/3,G169/4))))</f>
        <v>847.19138399999986</v>
      </c>
      <c r="I169" s="36"/>
      <c r="J169" s="36">
        <f>4215150/H169</f>
        <v>4975.4401184986564</v>
      </c>
      <c r="L169" s="70"/>
      <c r="M169" s="70"/>
      <c r="N169" s="36"/>
    </row>
    <row r="170" spans="1:14" s="37" customFormat="1" ht="15.75" customHeight="1" x14ac:dyDescent="0.3">
      <c r="A170" s="68">
        <f t="shared" si="14"/>
        <v>3</v>
      </c>
      <c r="B170" s="69"/>
      <c r="C170" s="42" t="s">
        <v>266</v>
      </c>
      <c r="D170" s="42">
        <f>(46.11)*10.764</f>
        <v>496.32803999999999</v>
      </c>
      <c r="E170" s="42">
        <f>0.9*(2.75+3.35+2.9)*10.764</f>
        <v>87.188399999999987</v>
      </c>
      <c r="F170" s="42">
        <f t="shared" si="15"/>
        <v>583.51643999999999</v>
      </c>
      <c r="G170" s="42">
        <v>0</v>
      </c>
      <c r="H170" s="42">
        <f t="shared" si="16"/>
        <v>846.098838</v>
      </c>
      <c r="J170" s="36">
        <f>4192965/H170</f>
        <v>4955.6444373700933</v>
      </c>
      <c r="K170" s="70"/>
      <c r="L170" s="70"/>
      <c r="M170" s="36"/>
    </row>
    <row r="171" spans="1:14" s="37" customFormat="1" ht="15.75" customHeight="1" x14ac:dyDescent="0.3">
      <c r="A171" s="68">
        <f t="shared" si="14"/>
        <v>4</v>
      </c>
      <c r="B171" s="69"/>
      <c r="C171" s="42" t="s">
        <v>265</v>
      </c>
      <c r="D171" s="42">
        <f>(32.52)*10.764</f>
        <v>350.04527999999999</v>
      </c>
      <c r="E171" s="42">
        <f>0.9*(2.7+2.75)*10.764</f>
        <v>52.797420000000002</v>
      </c>
      <c r="F171" s="42">
        <f t="shared" si="15"/>
        <v>402.84269999999998</v>
      </c>
      <c r="G171" s="42">
        <v>0</v>
      </c>
      <c r="H171" s="42">
        <f t="shared" si="16"/>
        <v>584.12191499999994</v>
      </c>
      <c r="I171" s="36"/>
      <c r="J171" s="36">
        <f>2958000/H171</f>
        <v>5064.0113374277362</v>
      </c>
      <c r="L171" s="70"/>
      <c r="M171" s="70"/>
      <c r="N171" s="36"/>
    </row>
    <row r="172" spans="1:14" s="37" customFormat="1" ht="15.75" customHeight="1" x14ac:dyDescent="0.3">
      <c r="A172" s="68">
        <f t="shared" si="14"/>
        <v>5</v>
      </c>
      <c r="B172" s="69"/>
      <c r="C172" s="42" t="s">
        <v>266</v>
      </c>
      <c r="D172" s="42">
        <f>(48.55)*10.764</f>
        <v>522.59219999999993</v>
      </c>
      <c r="E172" s="42">
        <f>0.9*(2.75+2.95)*10.764</f>
        <v>55.219319999999996</v>
      </c>
      <c r="F172" s="42">
        <f t="shared" ref="F172:F173" si="17">D172+E172</f>
        <v>577.81151999999997</v>
      </c>
      <c r="G172" s="42">
        <v>0</v>
      </c>
      <c r="H172" s="42">
        <f t="shared" ref="H172:H173" si="18">F172*(($H$166)+1)+(IF(G172&lt;101,G172,IF(G172&lt;201,G172/2,IF(G172&lt;=301,G172/3,G172/4))))</f>
        <v>837.82670399999995</v>
      </c>
      <c r="I172" s="36"/>
      <c r="J172" s="36">
        <f>4252125/H172</f>
        <v>5075.1843784630673</v>
      </c>
      <c r="L172" s="70"/>
      <c r="M172" s="70"/>
      <c r="N172" s="36"/>
    </row>
    <row r="173" spans="1:14" s="37" customFormat="1" ht="15.75" customHeight="1" x14ac:dyDescent="0.3">
      <c r="A173" s="68">
        <f t="shared" si="14"/>
        <v>6</v>
      </c>
      <c r="B173" s="69"/>
      <c r="C173" s="42" t="s">
        <v>266</v>
      </c>
      <c r="D173" s="42">
        <f>(46.13)*10.764</f>
        <v>496.54331999999999</v>
      </c>
      <c r="E173" s="42">
        <f>(0.9*(2.75)+0.75*(2.6+3.35))*10.764</f>
        <v>74.675249999999991</v>
      </c>
      <c r="F173" s="42">
        <f t="shared" si="17"/>
        <v>571.21857</v>
      </c>
      <c r="G173" s="42">
        <v>0</v>
      </c>
      <c r="H173" s="42">
        <f t="shared" si="18"/>
        <v>828.26692649999995</v>
      </c>
      <c r="I173" s="36"/>
      <c r="J173" s="36">
        <f>4082040/H173</f>
        <v>4928.4112034382915</v>
      </c>
      <c r="L173" s="70"/>
      <c r="M173" s="70"/>
      <c r="N173" s="36"/>
    </row>
    <row r="174" spans="1:14" s="35" customFormat="1" x14ac:dyDescent="0.3">
      <c r="A174" s="170" t="s">
        <v>67</v>
      </c>
      <c r="B174" s="170"/>
      <c r="C174" s="170"/>
      <c r="D174" s="170"/>
      <c r="E174" s="170"/>
      <c r="F174" s="170"/>
      <c r="G174" s="170"/>
      <c r="H174" s="170"/>
      <c r="J174" s="61">
        <f>AVERAGE(J168:J173)</f>
        <v>5005.0528742278984</v>
      </c>
    </row>
    <row r="175" spans="1:14" s="35" customFormat="1" x14ac:dyDescent="0.3">
      <c r="A175" s="44" t="s">
        <v>153</v>
      </c>
      <c r="B175" s="112" t="s">
        <v>284</v>
      </c>
      <c r="C175" s="113"/>
      <c r="D175" s="113"/>
      <c r="E175" s="113"/>
      <c r="F175" s="113"/>
      <c r="G175" s="113"/>
      <c r="H175" s="114"/>
    </row>
    <row r="176" spans="1:14" s="35" customFormat="1" x14ac:dyDescent="0.3">
      <c r="A176" s="44" t="s">
        <v>153</v>
      </c>
      <c r="B176" s="112" t="str">
        <f>(IF(H165="Saleable area Loading :","We have considered Saleable area of Flats as per our Calculation.","We considered Saleable area of Flat as per Builder area Sheet."))</f>
        <v>We have considered Saleable area of Flats as per our Calculation.</v>
      </c>
      <c r="C176" s="113"/>
      <c r="D176" s="113"/>
      <c r="E176" s="113"/>
      <c r="F176" s="113"/>
      <c r="G176" s="113"/>
      <c r="H176" s="114"/>
    </row>
    <row r="177" spans="1:8" s="35" customFormat="1" x14ac:dyDescent="0.3">
      <c r="A177" s="44" t="s">
        <v>153</v>
      </c>
      <c r="B177" s="112" t="str">
        <f>(IF(H134="Saleable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7" s="113"/>
      <c r="D177" s="113"/>
      <c r="E177" s="113"/>
      <c r="F177" s="113"/>
      <c r="G177" s="113"/>
      <c r="H177" s="114"/>
    </row>
    <row r="178" spans="1:8" s="35" customFormat="1" x14ac:dyDescent="0.3">
      <c r="A178" s="44" t="s">
        <v>153</v>
      </c>
      <c r="B178" s="132" t="s">
        <v>123</v>
      </c>
      <c r="C178" s="133"/>
      <c r="D178" s="133"/>
      <c r="E178" s="133"/>
      <c r="F178" s="133"/>
      <c r="G178" s="133"/>
      <c r="H178" s="134"/>
    </row>
    <row r="179" spans="1:8" s="35" customFormat="1" x14ac:dyDescent="0.3">
      <c r="A179" s="44" t="s">
        <v>153</v>
      </c>
      <c r="B179" s="112" t="s">
        <v>271</v>
      </c>
      <c r="C179" s="113"/>
      <c r="D179" s="113"/>
      <c r="E179" s="113"/>
      <c r="F179" s="113"/>
      <c r="G179" s="113"/>
      <c r="H179" s="114"/>
    </row>
    <row r="180" spans="1:8" s="35" customFormat="1" x14ac:dyDescent="0.3">
      <c r="A180" s="44" t="s">
        <v>153</v>
      </c>
      <c r="B180" s="132" t="s">
        <v>152</v>
      </c>
      <c r="C180" s="133"/>
      <c r="D180" s="133"/>
      <c r="E180" s="133"/>
      <c r="F180" s="133"/>
      <c r="G180" s="133"/>
      <c r="H180" s="134"/>
    </row>
    <row r="181" spans="1:8" s="35" customFormat="1" x14ac:dyDescent="0.3">
      <c r="A181" s="44" t="s">
        <v>153</v>
      </c>
      <c r="B181" s="132" t="s">
        <v>124</v>
      </c>
      <c r="C181" s="133"/>
      <c r="D181" s="133"/>
      <c r="E181" s="133"/>
      <c r="F181" s="133"/>
      <c r="G181" s="133"/>
      <c r="H181" s="134"/>
    </row>
    <row r="182" spans="1:8" s="35" customFormat="1" ht="34.5" customHeight="1" x14ac:dyDescent="0.3">
      <c r="A182" s="44" t="s">
        <v>153</v>
      </c>
      <c r="B182" s="132" t="s">
        <v>154</v>
      </c>
      <c r="C182" s="133"/>
      <c r="D182" s="133"/>
      <c r="E182" s="133"/>
      <c r="F182" s="133"/>
      <c r="G182" s="133"/>
      <c r="H182" s="134"/>
    </row>
    <row r="183" spans="1:8" s="35" customFormat="1" x14ac:dyDescent="0.3">
      <c r="A183" s="44" t="s">
        <v>153</v>
      </c>
      <c r="B183" s="132" t="s">
        <v>125</v>
      </c>
      <c r="C183" s="133"/>
      <c r="D183" s="133"/>
      <c r="E183" s="133"/>
      <c r="F183" s="133"/>
      <c r="G183" s="133"/>
      <c r="H183" s="134"/>
    </row>
    <row r="184" spans="1:8" s="35" customFormat="1" ht="32.25" customHeight="1" x14ac:dyDescent="0.3">
      <c r="A184" s="44" t="s">
        <v>153</v>
      </c>
      <c r="B184" s="112" t="s">
        <v>178</v>
      </c>
      <c r="C184" s="113"/>
      <c r="D184" s="113"/>
      <c r="E184" s="113"/>
      <c r="F184" s="113"/>
      <c r="G184" s="113"/>
      <c r="H184" s="114"/>
    </row>
    <row r="185" spans="1:8" s="35" customFormat="1" x14ac:dyDescent="0.3">
      <c r="A185" s="44" t="s">
        <v>153</v>
      </c>
      <c r="B185" s="112" t="s">
        <v>288</v>
      </c>
      <c r="C185" s="113"/>
      <c r="D185" s="113"/>
      <c r="E185" s="113"/>
      <c r="F185" s="113"/>
      <c r="G185" s="113"/>
      <c r="H185" s="114"/>
    </row>
    <row r="186" spans="1:8" s="35" customFormat="1" hidden="1" x14ac:dyDescent="0.3">
      <c r="A186" s="44" t="s">
        <v>153</v>
      </c>
      <c r="B186" s="179" t="s">
        <v>233</v>
      </c>
      <c r="C186" s="180"/>
      <c r="D186" s="180"/>
      <c r="E186" s="180"/>
      <c r="F186" s="180"/>
      <c r="G186" s="180"/>
      <c r="H186" s="181"/>
    </row>
    <row r="187" spans="1:8" x14ac:dyDescent="0.3">
      <c r="A187" s="95" t="s">
        <v>60</v>
      </c>
      <c r="B187" s="95"/>
      <c r="C187" s="95"/>
      <c r="D187" s="95"/>
      <c r="E187" s="95"/>
      <c r="F187" s="95"/>
      <c r="G187" s="95"/>
      <c r="H187" s="95"/>
    </row>
    <row r="188" spans="1:8" x14ac:dyDescent="0.3">
      <c r="A188" s="82" t="s">
        <v>61</v>
      </c>
      <c r="B188" s="82"/>
      <c r="C188" s="82"/>
      <c r="D188" s="82"/>
      <c r="E188" s="82"/>
      <c r="F188" s="82"/>
      <c r="G188" s="82"/>
      <c r="H188" s="82"/>
    </row>
    <row r="189" spans="1:8" ht="15.75" customHeight="1" x14ac:dyDescent="0.3">
      <c r="A189" s="104" t="s">
        <v>62</v>
      </c>
      <c r="B189" s="104"/>
      <c r="C189" s="104"/>
      <c r="D189" s="104"/>
      <c r="E189" s="104"/>
      <c r="F189" s="104"/>
      <c r="G189" s="104"/>
      <c r="H189" s="104"/>
    </row>
    <row r="190" spans="1:8" x14ac:dyDescent="0.3">
      <c r="A190" s="82" t="s">
        <v>63</v>
      </c>
      <c r="B190" s="82"/>
      <c r="C190" s="82"/>
      <c r="D190" s="82"/>
      <c r="E190" s="82"/>
      <c r="F190" s="82"/>
      <c r="G190" s="82"/>
      <c r="H190" s="82"/>
    </row>
    <row r="191" spans="1:8" x14ac:dyDescent="0.3">
      <c r="A191" s="82" t="s">
        <v>64</v>
      </c>
      <c r="B191" s="82"/>
      <c r="C191" s="82"/>
      <c r="D191" s="82"/>
      <c r="E191" s="82"/>
      <c r="F191" s="82"/>
      <c r="G191" s="82"/>
      <c r="H191" s="82"/>
    </row>
    <row r="192" spans="1:8" x14ac:dyDescent="0.3">
      <c r="A192" s="82" t="s">
        <v>126</v>
      </c>
      <c r="B192" s="82"/>
      <c r="C192" s="82"/>
      <c r="D192" s="82"/>
      <c r="E192" s="82"/>
      <c r="F192" s="82"/>
      <c r="G192" s="82"/>
      <c r="H192" s="82"/>
    </row>
    <row r="193" spans="1:8" ht="33.9" customHeight="1" x14ac:dyDescent="0.3">
      <c r="A193" s="86" t="s">
        <v>127</v>
      </c>
      <c r="B193" s="86"/>
      <c r="C193" s="86"/>
      <c r="D193" s="86"/>
      <c r="E193" s="86"/>
      <c r="F193" s="86"/>
      <c r="G193" s="86"/>
      <c r="H193" s="86"/>
    </row>
    <row r="194" spans="1:8" x14ac:dyDescent="0.3">
      <c r="A194" s="128" t="s">
        <v>76</v>
      </c>
      <c r="B194" s="128"/>
      <c r="C194" s="128" t="s">
        <v>289</v>
      </c>
      <c r="D194" s="128"/>
      <c r="E194" s="128" t="s">
        <v>106</v>
      </c>
      <c r="F194" s="128"/>
      <c r="G194" s="128" t="s">
        <v>290</v>
      </c>
      <c r="H194" s="128"/>
    </row>
    <row r="195" spans="1:8" x14ac:dyDescent="0.3">
      <c r="A195" s="127" t="s">
        <v>78</v>
      </c>
      <c r="B195" s="127"/>
      <c r="C195" s="127"/>
      <c r="D195" s="127"/>
      <c r="E195" s="127"/>
      <c r="F195" s="127"/>
      <c r="G195" s="127"/>
      <c r="H195" s="127"/>
    </row>
    <row r="196" spans="1:8" x14ac:dyDescent="0.3">
      <c r="A196" s="127"/>
      <c r="B196" s="127"/>
      <c r="C196" s="127"/>
      <c r="D196" s="127"/>
      <c r="E196" s="127"/>
      <c r="F196" s="127"/>
      <c r="G196" s="127"/>
      <c r="H196" s="127"/>
    </row>
    <row r="197" spans="1:8" x14ac:dyDescent="0.3">
      <c r="A197" s="127"/>
      <c r="B197" s="127"/>
      <c r="C197" s="127"/>
      <c r="D197" s="127"/>
      <c r="E197" s="127"/>
      <c r="F197" s="127"/>
      <c r="G197" s="127"/>
      <c r="H197" s="127"/>
    </row>
    <row r="198" spans="1:8" x14ac:dyDescent="0.3">
      <c r="A198" s="127"/>
      <c r="B198" s="127"/>
      <c r="C198" s="127"/>
      <c r="D198" s="127"/>
      <c r="E198" s="127"/>
      <c r="F198" s="127"/>
      <c r="G198" s="127"/>
      <c r="H198" s="127"/>
    </row>
    <row r="199" spans="1:8" x14ac:dyDescent="0.3">
      <c r="A199" s="38" t="s">
        <v>65</v>
      </c>
      <c r="B199" s="39"/>
      <c r="C199" s="39"/>
      <c r="D199" s="38" t="str">
        <f>E8</f>
        <v>Om Moreshwar</v>
      </c>
      <c r="F199" s="39"/>
      <c r="G199" s="39"/>
      <c r="H199" s="39"/>
    </row>
    <row r="200" spans="1:8" x14ac:dyDescent="0.3">
      <c r="A200" s="39"/>
      <c r="B200" s="39"/>
      <c r="C200" s="39"/>
      <c r="D200" s="39"/>
      <c r="E200" s="39"/>
      <c r="F200" s="39"/>
      <c r="G200" s="39"/>
      <c r="H200" s="39"/>
    </row>
    <row r="201" spans="1:8" x14ac:dyDescent="0.3">
      <c r="A201" s="39"/>
      <c r="B201" s="39"/>
      <c r="C201" s="39"/>
      <c r="D201" s="39"/>
      <c r="E201" s="39"/>
      <c r="F201" s="39"/>
      <c r="G201" s="39"/>
      <c r="H201" s="39"/>
    </row>
    <row r="202" spans="1:8" ht="15" customHeight="1" x14ac:dyDescent="0.3"/>
    <row r="243" spans="1:1" x14ac:dyDescent="0.3">
      <c r="A243" s="41" t="s">
        <v>164</v>
      </c>
    </row>
    <row r="271" hidden="1" x14ac:dyDescent="0.3"/>
    <row r="272" hidden="1" x14ac:dyDescent="0.3"/>
    <row r="273" spans="1:1" hidden="1" x14ac:dyDescent="0.3"/>
    <row r="274" spans="1:1" hidden="1" x14ac:dyDescent="0.3"/>
    <row r="275" spans="1:1" hidden="1" x14ac:dyDescent="0.3"/>
    <row r="276" spans="1:1" hidden="1" x14ac:dyDescent="0.3"/>
    <row r="277" spans="1:1" hidden="1" x14ac:dyDescent="0.3"/>
    <row r="278" spans="1:1" hidden="1" x14ac:dyDescent="0.3"/>
    <row r="279" spans="1:1" hidden="1" x14ac:dyDescent="0.3"/>
    <row r="280" spans="1:1" hidden="1" x14ac:dyDescent="0.3"/>
    <row r="281" spans="1:1" hidden="1" x14ac:dyDescent="0.3"/>
    <row r="282" spans="1:1" hidden="1" x14ac:dyDescent="0.3"/>
    <row r="283" spans="1:1" hidden="1" x14ac:dyDescent="0.3"/>
    <row r="284" spans="1:1" hidden="1" x14ac:dyDescent="0.3"/>
    <row r="285" spans="1:1" hidden="1" x14ac:dyDescent="0.3"/>
    <row r="286" spans="1:1" hidden="1" x14ac:dyDescent="0.3"/>
    <row r="287" spans="1:1" x14ac:dyDescent="0.3">
      <c r="A287" s="41" t="s">
        <v>66</v>
      </c>
    </row>
  </sheetData>
  <mergeCells count="346">
    <mergeCell ref="B184:H184"/>
    <mergeCell ref="B186:H186"/>
    <mergeCell ref="A114:E114"/>
    <mergeCell ref="A93:B93"/>
    <mergeCell ref="A98:B98"/>
    <mergeCell ref="C96:H96"/>
    <mergeCell ref="A97:B97"/>
    <mergeCell ref="A119:E119"/>
    <mergeCell ref="C125:D125"/>
    <mergeCell ref="E125:F125"/>
    <mergeCell ref="G125:H125"/>
    <mergeCell ref="A127:B127"/>
    <mergeCell ref="C127:D127"/>
    <mergeCell ref="E127:F127"/>
    <mergeCell ref="G127:H127"/>
    <mergeCell ref="B182:H182"/>
    <mergeCell ref="A111:E111"/>
    <mergeCell ref="F111:H111"/>
    <mergeCell ref="B181:H181"/>
    <mergeCell ref="B177:H177"/>
    <mergeCell ref="B175:H175"/>
    <mergeCell ref="B176:H176"/>
    <mergeCell ref="B178:H178"/>
    <mergeCell ref="B179:H179"/>
    <mergeCell ref="A174:H174"/>
    <mergeCell ref="A39:B39"/>
    <mergeCell ref="C39:H39"/>
    <mergeCell ref="F134:F135"/>
    <mergeCell ref="C124:D124"/>
    <mergeCell ref="E124:F124"/>
    <mergeCell ref="B134:B135"/>
    <mergeCell ref="A134:A135"/>
    <mergeCell ref="C165:C166"/>
    <mergeCell ref="G165:G166"/>
    <mergeCell ref="G131:H131"/>
    <mergeCell ref="A69:B69"/>
    <mergeCell ref="A72:B72"/>
    <mergeCell ref="A48:B48"/>
    <mergeCell ref="C48:H48"/>
    <mergeCell ref="A99:B99"/>
    <mergeCell ref="A100:B100"/>
    <mergeCell ref="G97:H97"/>
    <mergeCell ref="A96:B96"/>
    <mergeCell ref="F165:F166"/>
    <mergeCell ref="G134:G135"/>
    <mergeCell ref="A74:B74"/>
    <mergeCell ref="A61:C61"/>
    <mergeCell ref="D61:H61"/>
    <mergeCell ref="A38:B38"/>
    <mergeCell ref="C38:H38"/>
    <mergeCell ref="A45:D45"/>
    <mergeCell ref="J137:K137"/>
    <mergeCell ref="A77:B77"/>
    <mergeCell ref="C130:D130"/>
    <mergeCell ref="E130:F130"/>
    <mergeCell ref="G130:H130"/>
    <mergeCell ref="A109:E109"/>
    <mergeCell ref="A94:B94"/>
    <mergeCell ref="C94:H94"/>
    <mergeCell ref="A136:H136"/>
    <mergeCell ref="E134:E135"/>
    <mergeCell ref="A84:B84"/>
    <mergeCell ref="A46:D46"/>
    <mergeCell ref="A47:H47"/>
    <mergeCell ref="D57:H57"/>
    <mergeCell ref="A57:C57"/>
    <mergeCell ref="G50:H50"/>
    <mergeCell ref="A51:B52"/>
    <mergeCell ref="A76:B76"/>
    <mergeCell ref="A68:B68"/>
    <mergeCell ref="A66:B66"/>
    <mergeCell ref="A37:H37"/>
    <mergeCell ref="A36:B36"/>
    <mergeCell ref="C36:E36"/>
    <mergeCell ref="G98:H107"/>
    <mergeCell ref="A41:D41"/>
    <mergeCell ref="E41:H41"/>
    <mergeCell ref="A40:H40"/>
    <mergeCell ref="A59:C59"/>
    <mergeCell ref="A60:C60"/>
    <mergeCell ref="D59:H59"/>
    <mergeCell ref="E70:F79"/>
    <mergeCell ref="G70:H79"/>
    <mergeCell ref="A78:B78"/>
    <mergeCell ref="A79:B79"/>
    <mergeCell ref="D60:H60"/>
    <mergeCell ref="A43:D43"/>
    <mergeCell ref="E43:H43"/>
    <mergeCell ref="E44:H44"/>
    <mergeCell ref="E45:H45"/>
    <mergeCell ref="A83:B83"/>
    <mergeCell ref="E46:H46"/>
    <mergeCell ref="A82:B82"/>
    <mergeCell ref="C82:H82"/>
    <mergeCell ref="C68:H68"/>
    <mergeCell ref="A44:D4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95:H198"/>
    <mergeCell ref="A194:B194"/>
    <mergeCell ref="E194:F194"/>
    <mergeCell ref="C194:D194"/>
    <mergeCell ref="G194:H194"/>
    <mergeCell ref="A122:H122"/>
    <mergeCell ref="A120:E120"/>
    <mergeCell ref="F120:H120"/>
    <mergeCell ref="A121:E121"/>
    <mergeCell ref="F121:H121"/>
    <mergeCell ref="A130:B130"/>
    <mergeCell ref="A124:B124"/>
    <mergeCell ref="A190:H190"/>
    <mergeCell ref="A128:H128"/>
    <mergeCell ref="A193:H193"/>
    <mergeCell ref="A191:H191"/>
    <mergeCell ref="A187:H187"/>
    <mergeCell ref="G129:H129"/>
    <mergeCell ref="C134:C135"/>
    <mergeCell ref="B165:B166"/>
    <mergeCell ref="A188:H188"/>
    <mergeCell ref="B180:H180"/>
    <mergeCell ref="D134:D135"/>
    <mergeCell ref="B183:H183"/>
    <mergeCell ref="E83:F83"/>
    <mergeCell ref="G83:H83"/>
    <mergeCell ref="A115:E115"/>
    <mergeCell ref="F115:H115"/>
    <mergeCell ref="A117:E117"/>
    <mergeCell ref="F112:H112"/>
    <mergeCell ref="A116:E116"/>
    <mergeCell ref="A101:B101"/>
    <mergeCell ref="A102:B102"/>
    <mergeCell ref="E84:F93"/>
    <mergeCell ref="A91:B91"/>
    <mergeCell ref="A92:B92"/>
    <mergeCell ref="E97:F97"/>
    <mergeCell ref="E98:F107"/>
    <mergeCell ref="G84:H93"/>
    <mergeCell ref="A85:B85"/>
    <mergeCell ref="A86:B86"/>
    <mergeCell ref="A87:B87"/>
    <mergeCell ref="F110:H110"/>
    <mergeCell ref="A110:E110"/>
    <mergeCell ref="A113:E113"/>
    <mergeCell ref="A103:B103"/>
    <mergeCell ref="A105:B105"/>
    <mergeCell ref="A106:B106"/>
    <mergeCell ref="A140:B140"/>
    <mergeCell ref="A139:B139"/>
    <mergeCell ref="A164:H164"/>
    <mergeCell ref="E129:F129"/>
    <mergeCell ref="A132:H132"/>
    <mergeCell ref="A165:A166"/>
    <mergeCell ref="A112:E112"/>
    <mergeCell ref="A108:E108"/>
    <mergeCell ref="F113:H113"/>
    <mergeCell ref="A141:H141"/>
    <mergeCell ref="A142:B142"/>
    <mergeCell ref="A143:B143"/>
    <mergeCell ref="A144:B144"/>
    <mergeCell ref="A145:B145"/>
    <mergeCell ref="A153:B153"/>
    <mergeCell ref="A154:B154"/>
    <mergeCell ref="A155:H155"/>
    <mergeCell ref="A126:B126"/>
    <mergeCell ref="C126:D126"/>
    <mergeCell ref="E126:F126"/>
    <mergeCell ref="G126:H126"/>
    <mergeCell ref="A151:B151"/>
    <mergeCell ref="A152:B152"/>
    <mergeCell ref="A146:B146"/>
    <mergeCell ref="A192:H192"/>
    <mergeCell ref="A189:H189"/>
    <mergeCell ref="A173:B173"/>
    <mergeCell ref="A129:B129"/>
    <mergeCell ref="D165:D166"/>
    <mergeCell ref="E165:E166"/>
    <mergeCell ref="A88:B88"/>
    <mergeCell ref="A89:B89"/>
    <mergeCell ref="A90:B90"/>
    <mergeCell ref="A104:B104"/>
    <mergeCell ref="F109:H109"/>
    <mergeCell ref="G124:H124"/>
    <mergeCell ref="A107:B107"/>
    <mergeCell ref="F116:H116"/>
    <mergeCell ref="C123:D123"/>
    <mergeCell ref="A167:H167"/>
    <mergeCell ref="A137:B137"/>
    <mergeCell ref="B185:H185"/>
    <mergeCell ref="A131:B131"/>
    <mergeCell ref="C131:D131"/>
    <mergeCell ref="E131:F131"/>
    <mergeCell ref="F108:H108"/>
    <mergeCell ref="F114:H114"/>
    <mergeCell ref="A168:B168"/>
    <mergeCell ref="A58:C58"/>
    <mergeCell ref="D58:H58"/>
    <mergeCell ref="C50:E50"/>
    <mergeCell ref="A71:B71"/>
    <mergeCell ref="A73:B73"/>
    <mergeCell ref="E69:F69"/>
    <mergeCell ref="A62:C62"/>
    <mergeCell ref="D62:H62"/>
    <mergeCell ref="A65:C65"/>
    <mergeCell ref="D65:H65"/>
    <mergeCell ref="A63:C63"/>
    <mergeCell ref="D64:H64"/>
    <mergeCell ref="A70:B70"/>
    <mergeCell ref="G69:H69"/>
    <mergeCell ref="C66:H66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52:H52"/>
    <mergeCell ref="C51:E51"/>
    <mergeCell ref="A171:B171"/>
    <mergeCell ref="A160:B160"/>
    <mergeCell ref="I14:P14"/>
    <mergeCell ref="F119:H119"/>
    <mergeCell ref="F117:H117"/>
    <mergeCell ref="A133:H133"/>
    <mergeCell ref="G123:H123"/>
    <mergeCell ref="A118:E118"/>
    <mergeCell ref="A138:B138"/>
    <mergeCell ref="A53:B53"/>
    <mergeCell ref="C53:E53"/>
    <mergeCell ref="D55:H55"/>
    <mergeCell ref="F118:H118"/>
    <mergeCell ref="E123:F123"/>
    <mergeCell ref="A123:B123"/>
    <mergeCell ref="A125:B125"/>
    <mergeCell ref="C129:D129"/>
    <mergeCell ref="D63:H63"/>
    <mergeCell ref="A64:C64"/>
    <mergeCell ref="E42:H42"/>
    <mergeCell ref="A42:D42"/>
    <mergeCell ref="A80:B80"/>
    <mergeCell ref="C80:H80"/>
    <mergeCell ref="A75:B75"/>
    <mergeCell ref="A147:B147"/>
    <mergeCell ref="A148:B148"/>
    <mergeCell ref="A149:B149"/>
    <mergeCell ref="A150:B150"/>
    <mergeCell ref="L173:M173"/>
    <mergeCell ref="K158:L158"/>
    <mergeCell ref="A161:B161"/>
    <mergeCell ref="A162:B162"/>
    <mergeCell ref="A163:B163"/>
    <mergeCell ref="K163:L163"/>
    <mergeCell ref="A172:B172"/>
    <mergeCell ref="A156:B156"/>
    <mergeCell ref="K156:L156"/>
    <mergeCell ref="A157:B157"/>
    <mergeCell ref="K157:L157"/>
    <mergeCell ref="A158:B158"/>
    <mergeCell ref="A159:B159"/>
    <mergeCell ref="L172:M172"/>
    <mergeCell ref="L171:M171"/>
    <mergeCell ref="L168:M168"/>
    <mergeCell ref="A169:B169"/>
    <mergeCell ref="L169:M169"/>
    <mergeCell ref="A170:B170"/>
    <mergeCell ref="K170:L170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Thane,IBHF Vashi,IBHF Thane,IBHF Andheri"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34:E135" xr:uid="{00000000-0002-0000-0000-000003000000}">
      <formula1>"Attached Loft area,Attached Otla area,Attached Mezzanine area"</formula1>
    </dataValidation>
    <dataValidation type="list" allowBlank="1" showInputMessage="1" showErrorMessage="1" sqref="G194:H194" xr:uid="{00000000-0002-0000-0000-000004000000}">
      <formula1>"Kunal Kadam,Shruti Tathare,Pranita Mhatre,Shruti Fule,Pooja Kawale,Mansee Mohite,Anjali Kamble, Hitakshi Mhatre, Sachin Sawant"</formula1>
    </dataValidation>
    <dataValidation type="list" allowBlank="1" showInputMessage="1" showErrorMessage="1" sqref="F108:H108" xr:uid="{00000000-0002-0000-0000-000005000000}">
      <formula1>"On Saleable Area,On Builtup Area,On Carpet Area,On Plot Area"</formula1>
    </dataValidation>
    <dataValidation type="list" allowBlank="1" showInputMessage="1" showErrorMessage="1" sqref="F120:H120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B134:B135" xr:uid="{00000000-0002-0000-0000-000007000000}">
      <formula1>"Shop No. (Sale Plan),Sale / Rehab,Sale / Mhada"</formula1>
    </dataValidation>
    <dataValidation type="list" allowBlank="1" showInputMessage="1" showErrorMessage="1" sqref="B165:B166" xr:uid="{00000000-0002-0000-0000-000008000000}">
      <formula1>"Flat No. (Sale Plan),Sale / Rehab,Sale / Mhada"</formula1>
    </dataValidation>
    <dataValidation type="list" allowBlank="1" showInputMessage="1" showErrorMessage="1" sqref="C20:D20" xr:uid="{00000000-0002-0000-0000-000009000000}">
      <formula1>OFFSET($S$12,1,MATCH($G19,$S$12:$W$12,0)-1,15,1)</formula1>
    </dataValidation>
    <dataValidation type="list" allowBlank="1" showInputMessage="1" showErrorMessage="1" sqref="Y12" xr:uid="{00000000-0002-0000-0000-00000A000000}">
      <formula1>$D$4:$H$4</formula1>
    </dataValidation>
    <dataValidation type="list" allowBlank="1" showInputMessage="1" showErrorMessage="1" sqref="E165:E166" xr:uid="{00000000-0002-0000-0000-00000B000000}">
      <formula1>"Fungible area,Balcony Area,Chajja Area,Cornice Area,AP Area,WS Area, AP Area/CP Area"</formula1>
    </dataValidation>
  </dataValidations>
  <hyperlinks>
    <hyperlink ref="C39" r:id="rId1" xr:uid="{00000000-0004-0000-0000-000000000000}"/>
    <hyperlink ref="I128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107" max="16383" man="1"/>
    <brk id="198" max="16383" man="1"/>
    <brk id="242" max="16383" man="1"/>
    <brk id="286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G19" sqref="G19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4" t="s">
        <v>107</v>
      </c>
      <c r="C3" s="184"/>
      <c r="D3" s="184"/>
      <c r="E3" s="184"/>
      <c r="F3" s="184"/>
      <c r="G3" s="184"/>
      <c r="H3" s="184"/>
    </row>
    <row r="4" spans="1:9" x14ac:dyDescent="0.3">
      <c r="A4" s="2"/>
      <c r="B4" s="3" t="s">
        <v>108</v>
      </c>
      <c r="C4" s="3" t="s">
        <v>109</v>
      </c>
      <c r="D4" s="3" t="s">
        <v>68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zoomScale="130" zoomScaleNormal="130" workbookViewId="0">
      <selection activeCell="C3" sqref="C3:K18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2"/>
      <c r="C4" s="52" t="s">
        <v>12</v>
      </c>
      <c r="D4" s="53" t="s">
        <v>179</v>
      </c>
      <c r="E4" s="53" t="s">
        <v>189</v>
      </c>
      <c r="F4" s="53" t="s">
        <v>172</v>
      </c>
      <c r="G4" s="53" t="s">
        <v>194</v>
      </c>
      <c r="H4" s="53" t="s">
        <v>212</v>
      </c>
      <c r="J4" t="s">
        <v>194</v>
      </c>
      <c r="K4" t="s">
        <v>210</v>
      </c>
    </row>
    <row r="5" spans="2:11" x14ac:dyDescent="0.3">
      <c r="B5" s="52"/>
      <c r="C5" s="52"/>
      <c r="D5" s="53" t="s">
        <v>180</v>
      </c>
      <c r="E5" s="53" t="s">
        <v>187</v>
      </c>
      <c r="F5" s="53" t="s">
        <v>209</v>
      </c>
      <c r="G5" s="53" t="s">
        <v>195</v>
      </c>
      <c r="H5" s="53" t="s">
        <v>213</v>
      </c>
    </row>
    <row r="6" spans="2:11" x14ac:dyDescent="0.3">
      <c r="B6" s="52"/>
      <c r="C6" s="52"/>
      <c r="D6" s="53" t="s">
        <v>181</v>
      </c>
      <c r="E6" s="53" t="s">
        <v>188</v>
      </c>
      <c r="F6" s="53" t="s">
        <v>210</v>
      </c>
      <c r="G6" s="53" t="s">
        <v>196</v>
      </c>
      <c r="H6" s="53" t="s">
        <v>226</v>
      </c>
    </row>
    <row r="7" spans="2:11" x14ac:dyDescent="0.3">
      <c r="B7" s="52"/>
      <c r="C7" s="52"/>
      <c r="D7" s="53" t="s">
        <v>182</v>
      </c>
      <c r="E7" s="53" t="s">
        <v>190</v>
      </c>
      <c r="F7" s="53" t="s">
        <v>211</v>
      </c>
      <c r="G7" s="53" t="s">
        <v>197</v>
      </c>
      <c r="H7" s="53" t="s">
        <v>214</v>
      </c>
    </row>
    <row r="8" spans="2:11" x14ac:dyDescent="0.3">
      <c r="B8" s="52"/>
      <c r="C8" s="52"/>
      <c r="D8" s="53" t="s">
        <v>183</v>
      </c>
      <c r="E8" s="53" t="s">
        <v>191</v>
      </c>
      <c r="F8" s="53"/>
      <c r="G8" s="53" t="s">
        <v>198</v>
      </c>
      <c r="H8" s="53" t="s">
        <v>215</v>
      </c>
    </row>
    <row r="9" spans="2:11" x14ac:dyDescent="0.3">
      <c r="B9" s="52"/>
      <c r="C9" s="52"/>
      <c r="D9" s="53" t="s">
        <v>184</v>
      </c>
      <c r="E9" s="53" t="s">
        <v>189</v>
      </c>
      <c r="F9" s="53"/>
      <c r="G9" s="53" t="s">
        <v>199</v>
      </c>
      <c r="H9" s="53" t="s">
        <v>216</v>
      </c>
    </row>
    <row r="10" spans="2:11" x14ac:dyDescent="0.3">
      <c r="B10" s="52"/>
      <c r="C10" s="52"/>
      <c r="D10" s="53" t="s">
        <v>185</v>
      </c>
      <c r="E10" s="53" t="s">
        <v>192</v>
      </c>
      <c r="F10" s="53"/>
      <c r="G10" s="53" t="s">
        <v>200</v>
      </c>
      <c r="H10" s="53" t="s">
        <v>217</v>
      </c>
    </row>
    <row r="11" spans="2:11" x14ac:dyDescent="0.3">
      <c r="B11" s="52"/>
      <c r="C11" s="52"/>
      <c r="D11" s="53" t="s">
        <v>186</v>
      </c>
      <c r="E11" s="53" t="s">
        <v>193</v>
      </c>
      <c r="F11" s="53"/>
      <c r="G11" s="53" t="s">
        <v>201</v>
      </c>
      <c r="H11" s="53" t="s">
        <v>218</v>
      </c>
    </row>
    <row r="12" spans="2:11" x14ac:dyDescent="0.3">
      <c r="B12" s="52"/>
      <c r="C12" s="52"/>
      <c r="D12" s="53"/>
      <c r="E12" s="53"/>
      <c r="F12" s="53"/>
      <c r="G12" s="53" t="s">
        <v>202</v>
      </c>
      <c r="H12" s="53" t="s">
        <v>219</v>
      </c>
    </row>
    <row r="13" spans="2:11" x14ac:dyDescent="0.3">
      <c r="B13" s="52"/>
      <c r="C13" s="52"/>
      <c r="D13" s="53"/>
      <c r="E13" s="53"/>
      <c r="F13" s="53"/>
      <c r="G13" s="53" t="s">
        <v>203</v>
      </c>
      <c r="H13" s="53" t="s">
        <v>220</v>
      </c>
    </row>
    <row r="14" spans="2:11" x14ac:dyDescent="0.3">
      <c r="B14" s="52"/>
      <c r="C14" s="52"/>
      <c r="D14" s="53"/>
      <c r="E14" s="53"/>
      <c r="F14" s="53"/>
      <c r="G14" s="53" t="s">
        <v>204</v>
      </c>
      <c r="H14" s="53" t="s">
        <v>221</v>
      </c>
    </row>
    <row r="15" spans="2:11" x14ac:dyDescent="0.3">
      <c r="B15" s="52"/>
      <c r="C15" s="52"/>
      <c r="D15" s="53"/>
      <c r="E15" s="53"/>
      <c r="F15" s="53"/>
      <c r="G15" s="53" t="s">
        <v>205</v>
      </c>
      <c r="H15" s="53" t="s">
        <v>222</v>
      </c>
    </row>
    <row r="16" spans="2:11" x14ac:dyDescent="0.3">
      <c r="B16" s="52"/>
      <c r="C16" s="52"/>
      <c r="D16" s="53"/>
      <c r="E16" s="53"/>
      <c r="F16" s="53"/>
      <c r="G16" s="53" t="s">
        <v>206</v>
      </c>
      <c r="H16" s="53" t="s">
        <v>223</v>
      </c>
    </row>
    <row r="17" spans="2:8" x14ac:dyDescent="0.3">
      <c r="B17" s="52"/>
      <c r="C17" s="52"/>
      <c r="D17" s="53"/>
      <c r="E17" s="53"/>
      <c r="F17" s="53"/>
      <c r="G17" s="53" t="s">
        <v>207</v>
      </c>
      <c r="H17" s="53" t="s">
        <v>224</v>
      </c>
    </row>
    <row r="18" spans="2:8" x14ac:dyDescent="0.3">
      <c r="B18" s="52"/>
      <c r="C18" s="52"/>
      <c r="D18" s="53"/>
      <c r="E18" s="53"/>
      <c r="F18" s="53"/>
      <c r="G18" s="53" t="s">
        <v>208</v>
      </c>
      <c r="H18" s="53" t="s">
        <v>225</v>
      </c>
    </row>
    <row r="24" spans="2:8" x14ac:dyDescent="0.3">
      <c r="C24" t="s">
        <v>170</v>
      </c>
    </row>
    <row r="25" spans="2:8" x14ac:dyDescent="0.3">
      <c r="C25" t="s">
        <v>227</v>
      </c>
    </row>
    <row r="26" spans="2:8" x14ac:dyDescent="0.3">
      <c r="C26" t="s">
        <v>228</v>
      </c>
    </row>
    <row r="27" spans="2:8" x14ac:dyDescent="0.3">
      <c r="C27" t="s">
        <v>229</v>
      </c>
    </row>
    <row r="28" spans="2:8" x14ac:dyDescent="0.3">
      <c r="C28" t="s">
        <v>230</v>
      </c>
    </row>
    <row r="29" spans="2:8" x14ac:dyDescent="0.3">
      <c r="C29" t="s">
        <v>231</v>
      </c>
    </row>
    <row r="30" spans="2:8" x14ac:dyDescent="0.3">
      <c r="C30" t="s">
        <v>170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2025-08-14T12:38:26Z</cp:lastPrinted>
  <dcterms:created xsi:type="dcterms:W3CDTF">2019-07-16T09:29:46Z</dcterms:created>
  <dcterms:modified xsi:type="dcterms:W3CDTF">2025-08-14T12:40:30Z</dcterms:modified>
</cp:coreProperties>
</file>