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9FDF309E-73F0-4DBD-8DEE-DCE4AEDBE03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70" i="1" s="1"/>
  <c r="C71" i="1" l="1"/>
  <c r="C84" i="1"/>
  <c r="C83" i="1"/>
  <c r="C85" i="1" s="1"/>
  <c r="E3" i="1" l="1"/>
  <c r="J70" i="1" l="1"/>
  <c r="J71" i="1"/>
  <c r="J72" i="1"/>
  <c r="J73" i="1"/>
  <c r="D229" i="1"/>
  <c r="F229" i="1" s="1"/>
  <c r="I228" i="1"/>
  <c r="D228" i="1"/>
  <c r="F228" i="1" s="1"/>
  <c r="D227" i="1"/>
  <c r="F227" i="1" s="1"/>
  <c r="D226" i="1"/>
  <c r="F226" i="1" s="1"/>
  <c r="D225" i="1"/>
  <c r="F225" i="1" s="1"/>
  <c r="D224" i="1"/>
  <c r="F224" i="1" s="1"/>
  <c r="G223" i="1"/>
  <c r="D223" i="1"/>
  <c r="F223" i="1" s="1"/>
  <c r="D221" i="1"/>
  <c r="F221" i="1" s="1"/>
  <c r="D220" i="1"/>
  <c r="F220" i="1" s="1"/>
  <c r="I219" i="1"/>
  <c r="D219" i="1"/>
  <c r="F219" i="1" s="1"/>
  <c r="D218" i="1"/>
  <c r="F218" i="1" s="1"/>
  <c r="D217" i="1"/>
  <c r="F217" i="1" s="1"/>
  <c r="D216" i="1"/>
  <c r="F216" i="1" s="1"/>
  <c r="J216" i="1" s="1"/>
  <c r="D215" i="1"/>
  <c r="F215" i="1" s="1"/>
  <c r="G214" i="1"/>
  <c r="D214" i="1"/>
  <c r="F214" i="1" s="1"/>
  <c r="J214" i="1" s="1"/>
  <c r="D212" i="1"/>
  <c r="F212" i="1" s="1"/>
  <c r="D211" i="1"/>
  <c r="F211" i="1" s="1"/>
  <c r="D210" i="1"/>
  <c r="F210" i="1" s="1"/>
  <c r="D209" i="1"/>
  <c r="F209" i="1" s="1"/>
  <c r="F208" i="1"/>
  <c r="D208" i="1"/>
  <c r="A208" i="1"/>
  <c r="A209" i="1" s="1"/>
  <c r="A210" i="1" s="1"/>
  <c r="A211" i="1" s="1"/>
  <c r="A212" i="1" s="1"/>
  <c r="I207" i="1"/>
  <c r="G207" i="1"/>
  <c r="G208" i="1" s="1"/>
  <c r="G209" i="1" s="1"/>
  <c r="G210" i="1" s="1"/>
  <c r="G211" i="1" s="1"/>
  <c r="G212" i="1" s="1"/>
  <c r="D207" i="1"/>
  <c r="D203" i="1"/>
  <c r="F203" i="1" s="1"/>
  <c r="I202" i="1"/>
  <c r="D202" i="1"/>
  <c r="F202" i="1" s="1"/>
  <c r="D201" i="1"/>
  <c r="F201" i="1" s="1"/>
  <c r="D200" i="1"/>
  <c r="F200" i="1" s="1"/>
  <c r="D199" i="1"/>
  <c r="F199" i="1" s="1"/>
  <c r="D198" i="1"/>
  <c r="F198" i="1" s="1"/>
  <c r="G197" i="1"/>
  <c r="D197" i="1"/>
  <c r="F197" i="1" s="1"/>
  <c r="D195" i="1"/>
  <c r="F195" i="1" s="1"/>
  <c r="D194" i="1"/>
  <c r="F194" i="1" s="1"/>
  <c r="I193" i="1"/>
  <c r="D193" i="1"/>
  <c r="F193" i="1" s="1"/>
  <c r="D192" i="1"/>
  <c r="F192" i="1" s="1"/>
  <c r="D191" i="1"/>
  <c r="F191" i="1" s="1"/>
  <c r="D190" i="1"/>
  <c r="F190" i="1" s="1"/>
  <c r="J190" i="1" s="1"/>
  <c r="D189" i="1"/>
  <c r="F189" i="1" s="1"/>
  <c r="G188" i="1"/>
  <c r="D188" i="1"/>
  <c r="F188" i="1" s="1"/>
  <c r="J188" i="1" s="1"/>
  <c r="D186" i="1"/>
  <c r="F186" i="1" s="1"/>
  <c r="D185" i="1"/>
  <c r="F185" i="1" s="1"/>
  <c r="D184" i="1"/>
  <c r="F184" i="1" s="1"/>
  <c r="D183" i="1"/>
  <c r="F183" i="1" s="1"/>
  <c r="D182" i="1"/>
  <c r="F182" i="1" s="1"/>
  <c r="A182" i="1"/>
  <c r="A183" i="1" s="1"/>
  <c r="A184" i="1" s="1"/>
  <c r="A185" i="1" s="1"/>
  <c r="A186" i="1" s="1"/>
  <c r="I181" i="1"/>
  <c r="G181" i="1"/>
  <c r="D181" i="1"/>
  <c r="F181" i="1" s="1"/>
  <c r="D137" i="1"/>
  <c r="O32" i="3"/>
  <c r="O31" i="3"/>
  <c r="O214" i="1"/>
  <c r="H63" i="1"/>
  <c r="O223" i="1"/>
  <c r="P214" i="1"/>
  <c r="O188" i="1"/>
  <c r="P188" i="1"/>
  <c r="P223" i="1"/>
  <c r="O197" i="1"/>
  <c r="P197" i="1"/>
  <c r="J67" i="1" l="1"/>
  <c r="C66" i="1" s="1"/>
  <c r="D70" i="1"/>
  <c r="D72" i="1"/>
  <c r="D74" i="1"/>
  <c r="J65" i="1"/>
  <c r="J68" i="1"/>
  <c r="J69" i="1" s="1"/>
  <c r="J74" i="1" s="1"/>
  <c r="J75" i="1" s="1"/>
  <c r="C67" i="1" s="1"/>
  <c r="E66" i="1" s="1"/>
  <c r="D71" i="1"/>
  <c r="D73" i="1"/>
  <c r="J66" i="1"/>
  <c r="D69" i="1"/>
  <c r="D68" i="1"/>
  <c r="D75" i="1"/>
  <c r="E126" i="1"/>
  <c r="F207" i="1"/>
  <c r="G126" i="1" s="1"/>
  <c r="C126" i="1"/>
  <c r="G125" i="1"/>
  <c r="E125" i="1"/>
  <c r="C125" i="1"/>
  <c r="O224" i="1"/>
  <c r="N223" i="1"/>
  <c r="P215" i="1"/>
  <c r="P216" i="1" s="1"/>
  <c r="P217" i="1" s="1"/>
  <c r="P218" i="1" s="1"/>
  <c r="P219" i="1" s="1"/>
  <c r="P220" i="1" s="1"/>
  <c r="P221" i="1" s="1"/>
  <c r="P224" i="1"/>
  <c r="P225" i="1" s="1"/>
  <c r="P226" i="1" s="1"/>
  <c r="P227" i="1" s="1"/>
  <c r="P228" i="1" s="1"/>
  <c r="P229" i="1" s="1"/>
  <c r="N214" i="1"/>
  <c r="O215" i="1"/>
  <c r="O198" i="1"/>
  <c r="N197" i="1"/>
  <c r="P189" i="1"/>
  <c r="P190" i="1" s="1"/>
  <c r="P191" i="1" s="1"/>
  <c r="P192" i="1" s="1"/>
  <c r="P193" i="1" s="1"/>
  <c r="P194" i="1" s="1"/>
  <c r="P195" i="1" s="1"/>
  <c r="P198" i="1"/>
  <c r="P199" i="1" s="1"/>
  <c r="P200" i="1" s="1"/>
  <c r="P201" i="1" s="1"/>
  <c r="P202" i="1" s="1"/>
  <c r="P203" i="1" s="1"/>
  <c r="N188" i="1"/>
  <c r="O189" i="1"/>
  <c r="C14" i="1"/>
  <c r="D67" i="1" l="1"/>
  <c r="G66" i="1"/>
  <c r="D66" i="1"/>
  <c r="I62" i="1" s="1"/>
  <c r="C64" i="1" s="1"/>
  <c r="N224" i="1"/>
  <c r="O225" i="1"/>
  <c r="O216" i="1"/>
  <c r="N215" i="1"/>
  <c r="O190" i="1"/>
  <c r="N189" i="1"/>
  <c r="N198" i="1"/>
  <c r="O199" i="1"/>
  <c r="D159" i="1"/>
  <c r="F159" i="1" s="1"/>
  <c r="I158" i="1"/>
  <c r="D158" i="1"/>
  <c r="F158" i="1" s="1"/>
  <c r="D157" i="1"/>
  <c r="F157" i="1" s="1"/>
  <c r="D156" i="1"/>
  <c r="F156" i="1" s="1"/>
  <c r="D155" i="1"/>
  <c r="F155" i="1" s="1"/>
  <c r="D154" i="1"/>
  <c r="F154" i="1" s="1"/>
  <c r="G153" i="1"/>
  <c r="D153" i="1"/>
  <c r="F153" i="1" s="1"/>
  <c r="D177" i="1"/>
  <c r="F177" i="1" s="1"/>
  <c r="D176" i="1"/>
  <c r="F176" i="1" s="1"/>
  <c r="I175" i="1"/>
  <c r="D175" i="1"/>
  <c r="F175" i="1" s="1"/>
  <c r="D174" i="1"/>
  <c r="F174" i="1" s="1"/>
  <c r="D173" i="1"/>
  <c r="F173" i="1" s="1"/>
  <c r="D172" i="1"/>
  <c r="F172" i="1" s="1"/>
  <c r="D171" i="1"/>
  <c r="F171" i="1" s="1"/>
  <c r="G170" i="1"/>
  <c r="G171" i="1" s="1"/>
  <c r="G172" i="1" s="1"/>
  <c r="G173" i="1" s="1"/>
  <c r="G174" i="1" s="1"/>
  <c r="G175" i="1" s="1"/>
  <c r="G176" i="1" s="1"/>
  <c r="G177" i="1" s="1"/>
  <c r="D170" i="1"/>
  <c r="F170" i="1" s="1"/>
  <c r="D168" i="1"/>
  <c r="F168" i="1" s="1"/>
  <c r="D167" i="1"/>
  <c r="F167" i="1" s="1"/>
  <c r="I166" i="1"/>
  <c r="D166" i="1"/>
  <c r="F166" i="1" s="1"/>
  <c r="D165" i="1"/>
  <c r="F165" i="1" s="1"/>
  <c r="D164" i="1"/>
  <c r="F164" i="1" s="1"/>
  <c r="D163" i="1"/>
  <c r="F163" i="1" s="1"/>
  <c r="D162" i="1"/>
  <c r="F162" i="1" s="1"/>
  <c r="G161" i="1"/>
  <c r="G162" i="1" s="1"/>
  <c r="G163" i="1" s="1"/>
  <c r="G164" i="1" s="1"/>
  <c r="G165" i="1" s="1"/>
  <c r="G166" i="1" s="1"/>
  <c r="G167" i="1" s="1"/>
  <c r="G168" i="1" s="1"/>
  <c r="D161" i="1"/>
  <c r="F161" i="1" s="1"/>
  <c r="I137" i="1"/>
  <c r="I149" i="1"/>
  <c r="D145" i="1"/>
  <c r="F145" i="1" s="1"/>
  <c r="D146" i="1"/>
  <c r="F146" i="1" s="1"/>
  <c r="J146" i="1" s="1"/>
  <c r="D147" i="1"/>
  <c r="F147" i="1" s="1"/>
  <c r="D148" i="1"/>
  <c r="F148" i="1" s="1"/>
  <c r="D149" i="1"/>
  <c r="F149" i="1" s="1"/>
  <c r="D150" i="1"/>
  <c r="F150" i="1" s="1"/>
  <c r="D151" i="1"/>
  <c r="F151" i="1" s="1"/>
  <c r="D144" i="1"/>
  <c r="F144" i="1" s="1"/>
  <c r="J144" i="1" s="1"/>
  <c r="D138" i="1"/>
  <c r="D139" i="1"/>
  <c r="D140" i="1"/>
  <c r="D141" i="1"/>
  <c r="D142" i="1"/>
  <c r="G144" i="1"/>
  <c r="P144" i="1"/>
  <c r="O153" i="1"/>
  <c r="P161" i="1"/>
  <c r="P153" i="1"/>
  <c r="P170" i="1"/>
  <c r="O144" i="1"/>
  <c r="O161" i="1"/>
  <c r="O170" i="1"/>
  <c r="E124" i="1" l="1"/>
  <c r="E127" i="1" s="1"/>
  <c r="C124" i="1"/>
  <c r="C127" i="1" s="1"/>
  <c r="N216" i="1"/>
  <c r="O217" i="1"/>
  <c r="O226" i="1"/>
  <c r="N225" i="1"/>
  <c r="O200" i="1"/>
  <c r="N199" i="1"/>
  <c r="N190" i="1"/>
  <c r="O191" i="1"/>
  <c r="P154" i="1"/>
  <c r="P155" i="1" s="1"/>
  <c r="P156" i="1" s="1"/>
  <c r="P157" i="1" s="1"/>
  <c r="P158" i="1" s="1"/>
  <c r="P159" i="1" s="1"/>
  <c r="N153" i="1"/>
  <c r="O154" i="1"/>
  <c r="P171" i="1"/>
  <c r="P172" i="1" s="1"/>
  <c r="P173" i="1" s="1"/>
  <c r="P174" i="1" s="1"/>
  <c r="P175" i="1" s="1"/>
  <c r="P176" i="1" s="1"/>
  <c r="P177" i="1" s="1"/>
  <c r="N170" i="1"/>
  <c r="O171" i="1"/>
  <c r="P162" i="1"/>
  <c r="P163" i="1" s="1"/>
  <c r="P164" i="1" s="1"/>
  <c r="P165" i="1" s="1"/>
  <c r="P166" i="1" s="1"/>
  <c r="P167" i="1" s="1"/>
  <c r="P168" i="1" s="1"/>
  <c r="O162" i="1"/>
  <c r="N161" i="1"/>
  <c r="N144" i="1"/>
  <c r="O145" i="1"/>
  <c r="P145" i="1"/>
  <c r="P146" i="1" s="1"/>
  <c r="P147" i="1" s="1"/>
  <c r="P148" i="1" s="1"/>
  <c r="P149" i="1" s="1"/>
  <c r="P150" i="1" s="1"/>
  <c r="P151" i="1" s="1"/>
  <c r="D59" i="1"/>
  <c r="N226" i="1" l="1"/>
  <c r="O227" i="1"/>
  <c r="N217" i="1"/>
  <c r="O218" i="1"/>
  <c r="N191" i="1"/>
  <c r="O192" i="1"/>
  <c r="N200" i="1"/>
  <c r="O201" i="1"/>
  <c r="O155" i="1"/>
  <c r="N154" i="1"/>
  <c r="O172" i="1"/>
  <c r="N171" i="1"/>
  <c r="O163" i="1"/>
  <c r="N162" i="1"/>
  <c r="N145" i="1"/>
  <c r="O146" i="1"/>
  <c r="J101" i="1"/>
  <c r="J100" i="1"/>
  <c r="J87" i="1"/>
  <c r="J86" i="1"/>
  <c r="H91" i="1"/>
  <c r="H77" i="1"/>
  <c r="O219" i="1" l="1"/>
  <c r="N218" i="1"/>
  <c r="O228" i="1"/>
  <c r="N227" i="1"/>
  <c r="O202" i="1"/>
  <c r="N201" i="1"/>
  <c r="O193" i="1"/>
  <c r="N192" i="1"/>
  <c r="N155" i="1"/>
  <c r="O156" i="1"/>
  <c r="N172" i="1"/>
  <c r="O173" i="1"/>
  <c r="N163" i="1"/>
  <c r="O164" i="1"/>
  <c r="N146" i="1"/>
  <c r="O147" i="1"/>
  <c r="D103" i="1"/>
  <c r="D99" i="1"/>
  <c r="J95" i="1"/>
  <c r="C94" i="1" s="1"/>
  <c r="J93" i="1"/>
  <c r="D98" i="1"/>
  <c r="D102" i="1"/>
  <c r="J96" i="1"/>
  <c r="J97" i="1" s="1"/>
  <c r="J102" i="1" s="1"/>
  <c r="J94" i="1"/>
  <c r="D97" i="1"/>
  <c r="D101" i="1"/>
  <c r="D100" i="1"/>
  <c r="D96" i="1"/>
  <c r="D82" i="1"/>
  <c r="J80" i="1"/>
  <c r="J82" i="1"/>
  <c r="J83" i="1" s="1"/>
  <c r="J88" i="1" s="1"/>
  <c r="D89" i="1"/>
  <c r="D85" i="1"/>
  <c r="J81" i="1"/>
  <c r="C80" i="1" s="1"/>
  <c r="D80" i="1" s="1"/>
  <c r="J79" i="1"/>
  <c r="D87" i="1"/>
  <c r="D83" i="1"/>
  <c r="D86" i="1"/>
  <c r="D88" i="1"/>
  <c r="D84" i="1"/>
  <c r="G47" i="1"/>
  <c r="G48" i="1" s="1"/>
  <c r="N219" i="1" l="1"/>
  <c r="O220" i="1"/>
  <c r="N228" i="1"/>
  <c r="O229" i="1"/>
  <c r="N229" i="1" s="1"/>
  <c r="N193" i="1"/>
  <c r="O194" i="1"/>
  <c r="N202" i="1"/>
  <c r="O203" i="1"/>
  <c r="N203" i="1" s="1"/>
  <c r="O157" i="1"/>
  <c r="N156" i="1"/>
  <c r="O174" i="1"/>
  <c r="N173" i="1"/>
  <c r="O165" i="1"/>
  <c r="N164" i="1"/>
  <c r="N147" i="1"/>
  <c r="O148" i="1"/>
  <c r="J98" i="1"/>
  <c r="J99" i="1" s="1"/>
  <c r="D94" i="1"/>
  <c r="J84" i="1"/>
  <c r="J85" i="1" s="1"/>
  <c r="A232" i="1"/>
  <c r="A233" i="1" s="1"/>
  <c r="A234" i="1" s="1"/>
  <c r="A235" i="1" s="1"/>
  <c r="A236" i="1" l="1"/>
  <c r="O221" i="1"/>
  <c r="N221" i="1" s="1"/>
  <c r="N220" i="1"/>
  <c r="O195" i="1"/>
  <c r="N195" i="1" s="1"/>
  <c r="N194" i="1"/>
  <c r="O158" i="1"/>
  <c r="N157" i="1"/>
  <c r="O175" i="1"/>
  <c r="N174" i="1"/>
  <c r="O166" i="1"/>
  <c r="N165" i="1"/>
  <c r="N148" i="1"/>
  <c r="O149" i="1"/>
  <c r="J103" i="1"/>
  <c r="C95" i="1" s="1"/>
  <c r="J89" i="1"/>
  <c r="C81" i="1" s="1"/>
  <c r="A138" i="1"/>
  <c r="A139" i="1" s="1"/>
  <c r="A140" i="1" s="1"/>
  <c r="A141" i="1" s="1"/>
  <c r="A142" i="1" s="1"/>
  <c r="N158" i="1" l="1"/>
  <c r="O159" i="1"/>
  <c r="N175" i="1"/>
  <c r="O176" i="1"/>
  <c r="N166" i="1"/>
  <c r="O167" i="1"/>
  <c r="N149" i="1"/>
  <c r="O150" i="1"/>
  <c r="E94" i="1"/>
  <c r="I90" i="1" s="1"/>
  <c r="C92" i="1" s="1"/>
  <c r="D95" i="1"/>
  <c r="G94" i="1"/>
  <c r="E80" i="1"/>
  <c r="I76" i="1" s="1"/>
  <c r="C78" i="1" s="1"/>
  <c r="D81" i="1"/>
  <c r="G80" i="1"/>
  <c r="N159" i="1" l="1"/>
  <c r="N176" i="1"/>
  <c r="O177" i="1"/>
  <c r="N177" i="1" s="1"/>
  <c r="N167" i="1"/>
  <c r="O168" i="1"/>
  <c r="N168" i="1" s="1"/>
  <c r="N150" i="1"/>
  <c r="O151" i="1"/>
  <c r="N151" i="1" s="1"/>
  <c r="D61" i="1" l="1"/>
  <c r="F104" i="1" s="1"/>
  <c r="E41" i="1" l="1"/>
  <c r="E42" i="1" s="1"/>
  <c r="F138" i="1" l="1"/>
  <c r="F139" i="1"/>
  <c r="F140" i="1"/>
  <c r="F141" i="1"/>
  <c r="F142" i="1"/>
  <c r="F137" i="1"/>
  <c r="G124" i="1" l="1"/>
  <c r="G127" i="1" s="1"/>
  <c r="G137" i="1"/>
  <c r="E25" i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253" i="1" l="1"/>
  <c r="F121" i="1"/>
  <c r="C4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<sst xmlns="http://schemas.openxmlformats.org/spreadsheetml/2006/main" count="464" uniqueCount="254">
  <si>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</si>
  <si>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</si>
  <si>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</si>
  <si>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</si>
  <si>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</si>
  <si>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</si>
  <si>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</si>
  <si>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</si>
  <si>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</si>
  <si>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</si>
  <si>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</si>
  <si>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</si>
  <si>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</si>
  <si>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</si>
  <si>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</si>
  <si>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</si>
  <si>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</si>
  <si>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</si>
  <si>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</si>
  <si>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</si>
  <si>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</si>
  <si>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</si>
  <si>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</si>
  <si>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</si>
  <si>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</si>
  <si>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</si>
  <si>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</si>
  <si>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</si>
  <si>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</si>
  <si>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</si>
  <si>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</si>
  <si>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</si>
  <si>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</si>
  <si>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</si>
  <si>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</si>
  <si>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</si>
  <si>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</si>
  <si>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</si>
  <si>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</si>
  <si>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</si>
  <si>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</si>
  <si>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</si>
  <si>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</si>
  <si>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</si>
  <si>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</si>
  <si>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</si>
  <si>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</si>
  <si>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</si>
  <si>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</si>
  <si>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</si>
  <si>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</si>
  <si>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</si>
  <si>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</si>
  <si>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</si>
  <si>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</si>
  <si>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</si>
  <si>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</si>
  <si>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</si>
  <si>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</si>
  <si>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</si>
  <si>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</si>
  <si>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</si>
  <si>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</si>
  <si>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</si>
  <si>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</si>
  <si>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</si>
  <si>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</si>
  <si>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</si>
  <si>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</si>
  <si>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</si>
  <si>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</si>
  <si>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</si>
  <si>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</si>
  <si>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</si>
  <si>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</si>
  <si>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</si>
  <si>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</si>
  <si>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</si>
  <si>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</si>
  <si>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</si>
  <si>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</si>
  <si>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</si>
  <si>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</si>
  <si>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</si>
  <si>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</si>
  <si>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</si>
  <si>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</si>
  <si>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</si>
  <si>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</si>
  <si>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</si>
  <si>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</si>
  <si>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</si>
  <si>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</si>
  <si>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</si>
  <si>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</si>
  <si>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</si>
  <si>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</si>
  <si>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</si>
  <si>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</si>
  <si>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</si>
  <si>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</si>
  <si>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</si>
  <si>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</si>
  <si>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</si>
  <si>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</si>
  <si>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</si>
  <si>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</si>
  <si>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</si>
  <si>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</si>
  <si>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</si>
  <si>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</si>
  <si>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</si>
  <si>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</si>
  <si>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</si>
  <si>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</si>
  <si>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</si>
  <si>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</si>
  <si>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</si>
  <si>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</si>
  <si>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</si>
  <si>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</si>
  <si>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</si>
  <si>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</si>
  <si>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</si>
  <si>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</si>
  <si>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</si>
  <si>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</si>
  <si>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</si>
  <si>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</si>
  <si>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</si>
  <si>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</si>
  <si>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</si>
  <si>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</si>
  <si>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</si>
  <si>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</si>
  <si>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</si>
  <si>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</si>
  <si>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</si>
  <si>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</si>
  <si>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</si>
  <si>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</si>
  <si>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</si>
  <si>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</si>
  <si>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</si>
  <si>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</si>
  <si>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</si>
  <si>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</si>
  <si>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</si>
  <si>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</si>
  <si>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</si>
  <si>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</si>
  <si>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</si>
  <si>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</si>
  <si>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</si>
  <si>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</si>
  <si>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</si>
  <si>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</si>
  <si>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</si>
  <si>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</si>
  <si>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</si>
  <si>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</si>
  <si>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</si>
  <si>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</si>
  <si>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</si>
  <si>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</si>
  <si>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</si>
  <si>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</si>
  <si>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</si>
  <si>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</si>
  <si>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</si>
  <si>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</si>
  <si>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</si>
  <si>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</si>
  <si>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</si>
  <si>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</si>
  <si>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</si>
  <si>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</si>
  <si>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</si>
  <si>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</si>
  <si>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</si>
  <si>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</si>
  <si>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</si>
  <si>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</si>
  <si>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</si>
  <si>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</si>
  <si>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</si>
  <si>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</si>
  <si>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Ground Floor For Parking</t>
  </si>
  <si>
    <t>1BHK</t>
  </si>
  <si>
    <t>1st Floor for Residential</t>
  </si>
  <si>
    <t>14th to 17th Floor</t>
  </si>
  <si>
    <t>19th to 23th Floor</t>
  </si>
  <si>
    <t>13th &amp; 18th Floor (Part Refuge Area)</t>
  </si>
  <si>
    <t>Axis Sanpada</t>
  </si>
  <si>
    <t>M/s.Poddar Housing and Development Limited</t>
  </si>
  <si>
    <t>Vinod Thakare - 8657561720</t>
  </si>
  <si>
    <t>Approved Plans, CC.</t>
  </si>
  <si>
    <t>P51700020028</t>
  </si>
  <si>
    <t>Survey No</t>
  </si>
  <si>
    <t>Joveli</t>
  </si>
  <si>
    <t>Ambarnath</t>
  </si>
  <si>
    <t>Thane</t>
  </si>
  <si>
    <t xml:space="preserve"> 5.5 Km from Badlapur Railway Station</t>
  </si>
  <si>
    <t>Poddar Brio International School</t>
  </si>
  <si>
    <t xml:space="preserve">Residential </t>
  </si>
  <si>
    <t>KBNP/NRV/BP/3851-33</t>
  </si>
  <si>
    <t>Flats - 540</t>
  </si>
  <si>
    <t>As per RERA - 30/12/2024</t>
  </si>
  <si>
    <t>We considered  Saleable area  as per our calculation.</t>
  </si>
  <si>
    <t>We considered Gross carpet area = Net carpet + Enclose balcony .</t>
  </si>
  <si>
    <t>Badlapur (East)</t>
  </si>
  <si>
    <t>Samruddhi Evergreen</t>
  </si>
  <si>
    <t>Open Plot</t>
  </si>
  <si>
    <t>Wing B4</t>
  </si>
  <si>
    <t>2nd to 12th, 14th to 17th &amp; 19th to 23rd Floor</t>
  </si>
  <si>
    <t>Wing B5</t>
  </si>
  <si>
    <t>Wing B6</t>
  </si>
  <si>
    <t xml:space="preserve"> Building No.2 (Type B)</t>
  </si>
  <si>
    <t>B4 Wing = G/St + 1st to 23th Floor</t>
  </si>
  <si>
    <t>B5 Wing = G/St + 1st to 23th Floor</t>
  </si>
  <si>
    <t>B6 Wing = G/St + 1st to 23th Floor</t>
  </si>
  <si>
    <t>Poddar Wondercity Phase - II</t>
  </si>
  <si>
    <t>Neral - Badlapur Road</t>
  </si>
  <si>
    <t>Building No.2 (Wing B4, B5 &amp; B6)</t>
  </si>
  <si>
    <t>28, S.No.29, H.No.1 &amp; 2, S.No.30, H.No.1,2,3,4&amp;8, S.No.31,H.No.11</t>
  </si>
  <si>
    <t>KBNP/NRV/BP/3851/2021 - 2022/33</t>
  </si>
  <si>
    <t>Valid Up to: Building No.2 (Wing B4, B5 &amp; B6) = G/St + 1st to 23th Floor</t>
  </si>
  <si>
    <t>Building No.2 (Wing B4, B5 &amp; B6) = G/St + 1st to 23th Floor</t>
  </si>
  <si>
    <t>Maintenance for one year</t>
  </si>
  <si>
    <t>Society &amp; related cost - Electricity charges &amp; water connection</t>
  </si>
  <si>
    <t>3,00,000/-</t>
  </si>
  <si>
    <t>23,000/-</t>
  </si>
  <si>
    <t>25,000/-</t>
  </si>
  <si>
    <t>12,500/-</t>
  </si>
  <si>
    <t>Amenity infrastructure development charges</t>
  </si>
  <si>
    <t>2,78,000/-</t>
  </si>
  <si>
    <t>z</t>
  </si>
  <si>
    <t>We have updated latest approved floor plan &amp; C.C (on 11/10/2021).</t>
  </si>
  <si>
    <t>Building No.2 (Wing B4) = G/St + 1st to 23rd Floor</t>
  </si>
  <si>
    <t>Building No.2 (Wing B5) = G/St + 1st to 23rd Floor</t>
  </si>
  <si>
    <t>Details of project are collected from Mr.Mishra - 9167680140.</t>
  </si>
  <si>
    <t>Building No.2 (Wing B6) = G/St + 1st to 23rd Floor</t>
  </si>
  <si>
    <t>3 Wings</t>
  </si>
  <si>
    <t>Location Link</t>
  </si>
  <si>
    <t>https://goo.gl/maps/NtAeNWyHcRd6ZvceA?coh=178572&amp;entry=tt</t>
  </si>
  <si>
    <t xml:space="preserve">Office No. 1031, Wing J, Akshar Business Park, Plot No. 03 Sector 25, Near APMC Market, Vashi, 
Navi Mumbai, Maharashtra 400703 TEL: 022-46090378/79/80
E mail : vsjcapf@gmail.com. Web site : www.vsjadon.com
</t>
  </si>
  <si>
    <t>Site Person - Contact Details ( Name &amp; Contact No.)</t>
  </si>
  <si>
    <t>Vinod Thakare - 9767173657</t>
  </si>
  <si>
    <t xml:space="preserve">As per RERA, completion period of Poddar Wondercity Phase - II is expired on 30/12/2024 but still project is under construction.
</t>
  </si>
  <si>
    <t>Construction work is Resumed But work is same as last visit (dtd.11/11/2024).</t>
  </si>
  <si>
    <t>As checked on RERA portal on date 15/08/2025, we have observed that above project " Poddar Wondercity Phase - II " is kept under abeyance. Please check from your end.</t>
  </si>
  <si>
    <t>Pranita Mhatre</t>
  </si>
  <si>
    <t xml:space="preserve"> Sudhir Bhosale</t>
  </si>
  <si>
    <t>Wing B4 &amp; B5 = Construction work is in process at the time of Visit. (Slow Speed)
Wing B6 = Construction wor is same as last visit (dtd.11/11/2024).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</si>
</sst>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91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4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0" applyFont="1" applyAlignment="1">
      <alignment horizontal="left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3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24" fillId="0" borderId="9" xfId="0" applyNumberFormat="1" applyFont="1" applyBorder="1" applyAlignment="1" applyProtection="1">
      <alignment vertical="top" wrapText="1"/>
      <protection locked="0"/>
    </xf>
    <xf numFmtId="1" fontId="24" fillId="0" borderId="24" xfId="0" applyNumberFormat="1" applyFont="1" applyBorder="1" applyAlignment="1" applyProtection="1">
      <alignment vertical="top" wrapText="1"/>
      <protection locked="0"/>
    </xf>
    <xf numFmtId="1" fontId="24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3" fillId="0" borderId="9" xfId="9" applyFill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5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/>
      <protection locked="0"/>
    </xf>
    <xf numFmtId="0" fontId="12" fillId="0" borderId="10" xfId="1" applyFont="1" applyBorder="1" applyAlignment="1" applyProtection="1">
      <alignment horizontal="center" vertical="top"/>
      <protection locked="0"/>
    </xf>
    <xf numFmtId="9" fontId="12" fillId="0" borderId="20" xfId="1" applyNumberFormat="1" applyFont="1" applyBorder="1" applyAlignment="1" applyProtection="1">
      <alignment horizontal="center" vertical="center" wrapText="1"/>
      <protection hidden="1"/>
    </xf>
    <xf numFmtId="9" fontId="12" fillId="0" borderId="30" xfId="1" applyNumberFormat="1" applyFont="1" applyBorder="1" applyAlignment="1" applyProtection="1">
      <alignment horizontal="center" vertical="center" wrapText="1"/>
      <protection hidden="1"/>
    </xf>
    <xf numFmtId="9" fontId="12" fillId="0" borderId="28" xfId="1" applyNumberFormat="1" applyFont="1" applyBorder="1" applyAlignment="1" applyProtection="1">
      <alignment horizontal="center" vertical="center" wrapText="1"/>
      <protection hidden="1"/>
    </xf>
    <xf numFmtId="9" fontId="12" fillId="0" borderId="13" xfId="1" applyNumberFormat="1" applyFont="1" applyBorder="1" applyAlignment="1" applyProtection="1">
      <alignment horizontal="center" vertical="center" wrapText="1"/>
      <protection hidden="1"/>
    </xf>
    <xf numFmtId="9" fontId="12" fillId="0" borderId="31" xfId="1" applyNumberFormat="1" applyFont="1" applyBorder="1" applyAlignment="1" applyProtection="1">
      <alignment horizontal="center" vertical="center" wrapText="1"/>
      <protection hidden="1"/>
    </xf>
    <xf numFmtId="9" fontId="12" fillId="0" borderId="15" xfId="1" applyNumberFormat="1" applyFont="1" applyBorder="1" applyAlignment="1" applyProtection="1">
      <alignment horizontal="center" vertical="center" wrapText="1"/>
      <protection hidden="1"/>
    </xf>
    <xf numFmtId="9" fontId="12" fillId="0" borderId="21" xfId="1" applyNumberFormat="1" applyFont="1" applyBorder="1" applyAlignment="1" applyProtection="1">
      <alignment horizontal="center" vertical="center" wrapText="1"/>
      <protection hidden="1"/>
    </xf>
    <xf numFmtId="9" fontId="12" fillId="0" borderId="35" xfId="1" applyNumberFormat="1" applyFont="1" applyBorder="1" applyAlignment="1" applyProtection="1">
      <alignment horizontal="center" vertical="center" wrapText="1"/>
      <protection hidden="1"/>
    </xf>
    <xf numFmtId="9" fontId="12" fillId="0" borderId="36" xfId="1" applyNumberFormat="1" applyFont="1" applyBorder="1" applyAlignment="1" applyProtection="1">
      <alignment horizontal="center" vertical="center" wrapText="1"/>
      <protection hidden="1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29" xfId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290</xdr:row>
      <xdr:rowOff>89648</xdr:rowOff>
    </xdr:from>
    <xdr:to>
      <xdr:col>7</xdr:col>
      <xdr:colOff>406214</xdr:colOff>
      <xdr:row>310</xdr:row>
      <xdr:rowOff>195532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47" y="49821354"/>
          <a:ext cx="6065185" cy="41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470648</xdr:colOff>
      <xdr:row>311</xdr:row>
      <xdr:rowOff>96592</xdr:rowOff>
    </xdr:from>
    <xdr:to>
      <xdr:col>7</xdr:col>
      <xdr:colOff>381359</xdr:colOff>
      <xdr:row>332</xdr:row>
      <xdr:rowOff>768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48" y="59018242"/>
          <a:ext cx="5606661" cy="41047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1367044</xdr:colOff>
      <xdr:row>253</xdr:row>
      <xdr:rowOff>22985</xdr:rowOff>
    </xdr:from>
    <xdr:to>
      <xdr:col>18</xdr:col>
      <xdr:colOff>542097</xdr:colOff>
      <xdr:row>288</xdr:row>
      <xdr:rowOff>139872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205541" y="47577040"/>
          <a:ext cx="6080349" cy="7095756"/>
          <a:chOff x="485775" y="47372588"/>
          <a:chExt cx="5924550" cy="7108237"/>
        </a:xfrm>
      </xdr:grpSpPr>
      <xdr:pic>
        <xdr:nvPicPr>
          <xdr:cNvPr id="17" name="Picture 16" descr="https://vsjcllp.vsjadon.com/upload/insp-234009-152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71950" y="52791894"/>
            <a:ext cx="2238375" cy="16873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4009-843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62351" y="50677941"/>
            <a:ext cx="2705099" cy="20391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4009-845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2826" y="47372588"/>
            <a:ext cx="2432068" cy="32337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09-847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81051" y="50687466"/>
            <a:ext cx="2705099" cy="20391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4009-849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1" y="47372588"/>
            <a:ext cx="2432068" cy="32337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09-862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19400" y="52793483"/>
            <a:ext cx="1263749" cy="16873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09-844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" y="52791894"/>
            <a:ext cx="2238375" cy="16873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708993</xdr:colOff>
      <xdr:row>253</xdr:row>
      <xdr:rowOff>99391</xdr:rowOff>
    </xdr:from>
    <xdr:to>
      <xdr:col>7</xdr:col>
      <xdr:colOff>589723</xdr:colOff>
      <xdr:row>286</xdr:row>
      <xdr:rowOff>192156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6DA3743-338F-2A83-F782-81CAD5E18F5C}"/>
            </a:ext>
          </a:extLst>
        </xdr:cNvPr>
        <xdr:cNvGrpSpPr/>
      </xdr:nvGrpSpPr>
      <xdr:grpSpPr>
        <a:xfrm>
          <a:off x="708993" y="47653446"/>
          <a:ext cx="5719227" cy="6672241"/>
          <a:chOff x="-112524" y="-334126"/>
          <a:chExt cx="7346250" cy="955047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CBD7CD4-4C1F-A745-83BA-8769A8E11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9614" y="7056349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C17AF5C-4792-38DD-13F9-F6A0F524ED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2524" y="4215072"/>
            <a:ext cx="3609175" cy="27206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B6585D9-FE9C-F2D9-156F-A74114B01B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5752" y="7056350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29C8B56-9841-F7F8-B798-1AB14ED5E8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7281" y="-334126"/>
            <a:ext cx="3330719" cy="44286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6C3B66E-66BC-296A-D1C9-842E3A1D1C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987" y="-334126"/>
            <a:ext cx="3330719" cy="44286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69E5F1A-9D65-0C9E-2CFA-DD5994E266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4551" y="4215072"/>
            <a:ext cx="3609175" cy="27206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486994</xdr:colOff>
      <xdr:row>33</xdr:row>
      <xdr:rowOff>52183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6889450" cy="36716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394410</xdr:colOff>
      <xdr:row>58</xdr:row>
      <xdr:rowOff>142021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6866283"/>
          <a:ext cx="8130366" cy="4333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tAeNWyHcRd6ZvceA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90"/>
  <sheetViews>
    <sheetView tabSelected="1" view="pageBreakPreview" topLeftCell="A227" zoomScale="145" zoomScaleNormal="100" zoomScaleSheetLayoutView="145" zoomScalePageLayoutView="85" workbookViewId="0">
      <selection activeCell="I235" sqref="I235"/>
    </sheetView>
  </sheetViews>
  <sheetFormatPr defaultColWidth="9.109375" defaultRowHeight="15.6" x14ac:dyDescent="0.3"/>
  <cols>
    <col min="1" max="1" width="11.44140625" style="57" customWidth="1"/>
    <col min="2" max="2" width="12" style="57" customWidth="1"/>
    <col min="3" max="3" width="12.6640625" style="57" customWidth="1"/>
    <col min="4" max="4" width="14.109375" style="57" customWidth="1"/>
    <col min="5" max="7" width="11.6640625" style="57" customWidth="1"/>
    <col min="8" max="8" width="20.5546875" style="57" customWidth="1"/>
    <col min="9" max="9" width="17.44140625" style="32" customWidth="1"/>
    <col min="10" max="10" width="11.44140625" style="32" customWidth="1"/>
    <col min="11" max="11" width="10.5546875" style="32" bestFit="1" customWidth="1"/>
    <col min="12" max="12" width="10.5546875" style="32" customWidth="1"/>
    <col min="13" max="13" width="11.88671875" style="32" customWidth="1"/>
    <col min="14" max="14" width="12.5546875" style="32" hidden="1" customWidth="1"/>
    <col min="15" max="15" width="9.88671875" style="32" hidden="1" customWidth="1"/>
    <col min="16" max="16" width="10.44140625" style="32" hidden="1" customWidth="1"/>
    <col min="17" max="247" width="9.109375" style="32"/>
    <col min="248" max="248" width="8.6640625" style="32" customWidth="1"/>
    <col min="249" max="249" width="9.88671875" style="32" customWidth="1"/>
    <col min="250" max="250" width="14.44140625" style="32" customWidth="1"/>
    <col min="251" max="251" width="7.33203125" style="32" customWidth="1"/>
    <col min="252" max="252" width="5.5546875" style="32" customWidth="1"/>
    <col min="253" max="253" width="9" style="32" customWidth="1"/>
    <col min="254" max="255" width="9.88671875" style="32" customWidth="1"/>
    <col min="256" max="256" width="11.109375" style="32" customWidth="1"/>
    <col min="257" max="257" width="2.88671875" style="32" customWidth="1"/>
    <col min="258" max="258" width="3.5546875" style="32" customWidth="1"/>
    <col min="259" max="503" width="9.109375" style="32"/>
    <col min="504" max="504" width="8.6640625" style="32" customWidth="1"/>
    <col min="505" max="505" width="9.88671875" style="32" customWidth="1"/>
    <col min="506" max="506" width="14.44140625" style="32" customWidth="1"/>
    <col min="507" max="507" width="7.33203125" style="32" customWidth="1"/>
    <col min="508" max="508" width="5.5546875" style="32" customWidth="1"/>
    <col min="509" max="509" width="9" style="32" customWidth="1"/>
    <col min="510" max="511" width="9.88671875" style="32" customWidth="1"/>
    <col min="512" max="512" width="11.109375" style="32" customWidth="1"/>
    <col min="513" max="513" width="2.88671875" style="32" customWidth="1"/>
    <col min="514" max="514" width="3.5546875" style="32" customWidth="1"/>
    <col min="515" max="759" width="9.109375" style="32"/>
    <col min="760" max="760" width="8.6640625" style="32" customWidth="1"/>
    <col min="761" max="761" width="9.88671875" style="32" customWidth="1"/>
    <col min="762" max="762" width="14.44140625" style="32" customWidth="1"/>
    <col min="763" max="763" width="7.33203125" style="32" customWidth="1"/>
    <col min="764" max="764" width="5.5546875" style="32" customWidth="1"/>
    <col min="765" max="765" width="9" style="32" customWidth="1"/>
    <col min="766" max="767" width="9.88671875" style="32" customWidth="1"/>
    <col min="768" max="768" width="11.109375" style="32" customWidth="1"/>
    <col min="769" max="769" width="2.88671875" style="32" customWidth="1"/>
    <col min="770" max="770" width="3.5546875" style="32" customWidth="1"/>
    <col min="771" max="1015" width="9.109375" style="32"/>
    <col min="1016" max="1016" width="8.6640625" style="32" customWidth="1"/>
    <col min="1017" max="1017" width="9.88671875" style="32" customWidth="1"/>
    <col min="1018" max="1018" width="14.44140625" style="32" customWidth="1"/>
    <col min="1019" max="1019" width="7.33203125" style="32" customWidth="1"/>
    <col min="1020" max="1020" width="5.5546875" style="32" customWidth="1"/>
    <col min="1021" max="1021" width="9" style="32" customWidth="1"/>
    <col min="1022" max="1023" width="9.88671875" style="32" customWidth="1"/>
    <col min="1024" max="1024" width="11.109375" style="32" customWidth="1"/>
    <col min="1025" max="1025" width="2.88671875" style="32" customWidth="1"/>
    <col min="1026" max="1026" width="3.5546875" style="32" customWidth="1"/>
    <col min="1027" max="1271" width="9.109375" style="32"/>
    <col min="1272" max="1272" width="8.6640625" style="32" customWidth="1"/>
    <col min="1273" max="1273" width="9.88671875" style="32" customWidth="1"/>
    <col min="1274" max="1274" width="14.44140625" style="32" customWidth="1"/>
    <col min="1275" max="1275" width="7.33203125" style="32" customWidth="1"/>
    <col min="1276" max="1276" width="5.5546875" style="32" customWidth="1"/>
    <col min="1277" max="1277" width="9" style="32" customWidth="1"/>
    <col min="1278" max="1279" width="9.88671875" style="32" customWidth="1"/>
    <col min="1280" max="1280" width="11.109375" style="32" customWidth="1"/>
    <col min="1281" max="1281" width="2.88671875" style="32" customWidth="1"/>
    <col min="1282" max="1282" width="3.5546875" style="32" customWidth="1"/>
    <col min="1283" max="1527" width="9.109375" style="32"/>
    <col min="1528" max="1528" width="8.6640625" style="32" customWidth="1"/>
    <col min="1529" max="1529" width="9.88671875" style="32" customWidth="1"/>
    <col min="1530" max="1530" width="14.44140625" style="32" customWidth="1"/>
    <col min="1531" max="1531" width="7.33203125" style="32" customWidth="1"/>
    <col min="1532" max="1532" width="5.5546875" style="32" customWidth="1"/>
    <col min="1533" max="1533" width="9" style="32" customWidth="1"/>
    <col min="1534" max="1535" width="9.88671875" style="32" customWidth="1"/>
    <col min="1536" max="1536" width="11.109375" style="32" customWidth="1"/>
    <col min="1537" max="1537" width="2.88671875" style="32" customWidth="1"/>
    <col min="1538" max="1538" width="3.5546875" style="32" customWidth="1"/>
    <col min="1539" max="1783" width="9.109375" style="32"/>
    <col min="1784" max="1784" width="8.6640625" style="32" customWidth="1"/>
    <col min="1785" max="1785" width="9.88671875" style="32" customWidth="1"/>
    <col min="1786" max="1786" width="14.44140625" style="32" customWidth="1"/>
    <col min="1787" max="1787" width="7.33203125" style="32" customWidth="1"/>
    <col min="1788" max="1788" width="5.5546875" style="32" customWidth="1"/>
    <col min="1789" max="1789" width="9" style="32" customWidth="1"/>
    <col min="1790" max="1791" width="9.88671875" style="32" customWidth="1"/>
    <col min="1792" max="1792" width="11.109375" style="32" customWidth="1"/>
    <col min="1793" max="1793" width="2.88671875" style="32" customWidth="1"/>
    <col min="1794" max="1794" width="3.5546875" style="32" customWidth="1"/>
    <col min="1795" max="2039" width="9.109375" style="32"/>
    <col min="2040" max="2040" width="8.6640625" style="32" customWidth="1"/>
    <col min="2041" max="2041" width="9.88671875" style="32" customWidth="1"/>
    <col min="2042" max="2042" width="14.44140625" style="32" customWidth="1"/>
    <col min="2043" max="2043" width="7.33203125" style="32" customWidth="1"/>
    <col min="2044" max="2044" width="5.5546875" style="32" customWidth="1"/>
    <col min="2045" max="2045" width="9" style="32" customWidth="1"/>
    <col min="2046" max="2047" width="9.88671875" style="32" customWidth="1"/>
    <col min="2048" max="2048" width="11.109375" style="32" customWidth="1"/>
    <col min="2049" max="2049" width="2.88671875" style="32" customWidth="1"/>
    <col min="2050" max="2050" width="3.5546875" style="32" customWidth="1"/>
    <col min="2051" max="2295" width="9.109375" style="32"/>
    <col min="2296" max="2296" width="8.6640625" style="32" customWidth="1"/>
    <col min="2297" max="2297" width="9.88671875" style="32" customWidth="1"/>
    <col min="2298" max="2298" width="14.44140625" style="32" customWidth="1"/>
    <col min="2299" max="2299" width="7.33203125" style="32" customWidth="1"/>
    <col min="2300" max="2300" width="5.5546875" style="32" customWidth="1"/>
    <col min="2301" max="2301" width="9" style="32" customWidth="1"/>
    <col min="2302" max="2303" width="9.88671875" style="32" customWidth="1"/>
    <col min="2304" max="2304" width="11.109375" style="32" customWidth="1"/>
    <col min="2305" max="2305" width="2.88671875" style="32" customWidth="1"/>
    <col min="2306" max="2306" width="3.5546875" style="32" customWidth="1"/>
    <col min="2307" max="2551" width="9.109375" style="32"/>
    <col min="2552" max="2552" width="8.6640625" style="32" customWidth="1"/>
    <col min="2553" max="2553" width="9.88671875" style="32" customWidth="1"/>
    <col min="2554" max="2554" width="14.44140625" style="32" customWidth="1"/>
    <col min="2555" max="2555" width="7.33203125" style="32" customWidth="1"/>
    <col min="2556" max="2556" width="5.5546875" style="32" customWidth="1"/>
    <col min="2557" max="2557" width="9" style="32" customWidth="1"/>
    <col min="2558" max="2559" width="9.88671875" style="32" customWidth="1"/>
    <col min="2560" max="2560" width="11.109375" style="32" customWidth="1"/>
    <col min="2561" max="2561" width="2.88671875" style="32" customWidth="1"/>
    <col min="2562" max="2562" width="3.5546875" style="32" customWidth="1"/>
    <col min="2563" max="2807" width="9.109375" style="32"/>
    <col min="2808" max="2808" width="8.6640625" style="32" customWidth="1"/>
    <col min="2809" max="2809" width="9.88671875" style="32" customWidth="1"/>
    <col min="2810" max="2810" width="14.44140625" style="32" customWidth="1"/>
    <col min="2811" max="2811" width="7.33203125" style="32" customWidth="1"/>
    <col min="2812" max="2812" width="5.5546875" style="32" customWidth="1"/>
    <col min="2813" max="2813" width="9" style="32" customWidth="1"/>
    <col min="2814" max="2815" width="9.88671875" style="32" customWidth="1"/>
    <col min="2816" max="2816" width="11.109375" style="32" customWidth="1"/>
    <col min="2817" max="2817" width="2.88671875" style="32" customWidth="1"/>
    <col min="2818" max="2818" width="3.5546875" style="32" customWidth="1"/>
    <col min="2819" max="3063" width="9.109375" style="32"/>
    <col min="3064" max="3064" width="8.6640625" style="32" customWidth="1"/>
    <col min="3065" max="3065" width="9.88671875" style="32" customWidth="1"/>
    <col min="3066" max="3066" width="14.44140625" style="32" customWidth="1"/>
    <col min="3067" max="3067" width="7.33203125" style="32" customWidth="1"/>
    <col min="3068" max="3068" width="5.5546875" style="32" customWidth="1"/>
    <col min="3069" max="3069" width="9" style="32" customWidth="1"/>
    <col min="3070" max="3071" width="9.88671875" style="32" customWidth="1"/>
    <col min="3072" max="3072" width="11.109375" style="32" customWidth="1"/>
    <col min="3073" max="3073" width="2.88671875" style="32" customWidth="1"/>
    <col min="3074" max="3074" width="3.5546875" style="32" customWidth="1"/>
    <col min="3075" max="3319" width="9.109375" style="32"/>
    <col min="3320" max="3320" width="8.6640625" style="32" customWidth="1"/>
    <col min="3321" max="3321" width="9.88671875" style="32" customWidth="1"/>
    <col min="3322" max="3322" width="14.44140625" style="32" customWidth="1"/>
    <col min="3323" max="3323" width="7.33203125" style="32" customWidth="1"/>
    <col min="3324" max="3324" width="5.5546875" style="32" customWidth="1"/>
    <col min="3325" max="3325" width="9" style="32" customWidth="1"/>
    <col min="3326" max="3327" width="9.88671875" style="32" customWidth="1"/>
    <col min="3328" max="3328" width="11.109375" style="32" customWidth="1"/>
    <col min="3329" max="3329" width="2.88671875" style="32" customWidth="1"/>
    <col min="3330" max="3330" width="3.5546875" style="32" customWidth="1"/>
    <col min="3331" max="3575" width="9.109375" style="32"/>
    <col min="3576" max="3576" width="8.6640625" style="32" customWidth="1"/>
    <col min="3577" max="3577" width="9.88671875" style="32" customWidth="1"/>
    <col min="3578" max="3578" width="14.44140625" style="32" customWidth="1"/>
    <col min="3579" max="3579" width="7.33203125" style="32" customWidth="1"/>
    <col min="3580" max="3580" width="5.5546875" style="32" customWidth="1"/>
    <col min="3581" max="3581" width="9" style="32" customWidth="1"/>
    <col min="3582" max="3583" width="9.88671875" style="32" customWidth="1"/>
    <col min="3584" max="3584" width="11.109375" style="32" customWidth="1"/>
    <col min="3585" max="3585" width="2.88671875" style="32" customWidth="1"/>
    <col min="3586" max="3586" width="3.5546875" style="32" customWidth="1"/>
    <col min="3587" max="3831" width="9.109375" style="32"/>
    <col min="3832" max="3832" width="8.6640625" style="32" customWidth="1"/>
    <col min="3833" max="3833" width="9.88671875" style="32" customWidth="1"/>
    <col min="3834" max="3834" width="14.44140625" style="32" customWidth="1"/>
    <col min="3835" max="3835" width="7.33203125" style="32" customWidth="1"/>
    <col min="3836" max="3836" width="5.5546875" style="32" customWidth="1"/>
    <col min="3837" max="3837" width="9" style="32" customWidth="1"/>
    <col min="3838" max="3839" width="9.88671875" style="32" customWidth="1"/>
    <col min="3840" max="3840" width="11.109375" style="32" customWidth="1"/>
    <col min="3841" max="3841" width="2.88671875" style="32" customWidth="1"/>
    <col min="3842" max="3842" width="3.5546875" style="32" customWidth="1"/>
    <col min="3843" max="4087" width="9.109375" style="32"/>
    <col min="4088" max="4088" width="8.6640625" style="32" customWidth="1"/>
    <col min="4089" max="4089" width="9.88671875" style="32" customWidth="1"/>
    <col min="4090" max="4090" width="14.44140625" style="32" customWidth="1"/>
    <col min="4091" max="4091" width="7.33203125" style="32" customWidth="1"/>
    <col min="4092" max="4092" width="5.5546875" style="32" customWidth="1"/>
    <col min="4093" max="4093" width="9" style="32" customWidth="1"/>
    <col min="4094" max="4095" width="9.88671875" style="32" customWidth="1"/>
    <col min="4096" max="4096" width="11.109375" style="32" customWidth="1"/>
    <col min="4097" max="4097" width="2.88671875" style="32" customWidth="1"/>
    <col min="4098" max="4098" width="3.5546875" style="32" customWidth="1"/>
    <col min="4099" max="4343" width="9.109375" style="32"/>
    <col min="4344" max="4344" width="8.6640625" style="32" customWidth="1"/>
    <col min="4345" max="4345" width="9.88671875" style="32" customWidth="1"/>
    <col min="4346" max="4346" width="14.44140625" style="32" customWidth="1"/>
    <col min="4347" max="4347" width="7.33203125" style="32" customWidth="1"/>
    <col min="4348" max="4348" width="5.5546875" style="32" customWidth="1"/>
    <col min="4349" max="4349" width="9" style="32" customWidth="1"/>
    <col min="4350" max="4351" width="9.88671875" style="32" customWidth="1"/>
    <col min="4352" max="4352" width="11.109375" style="32" customWidth="1"/>
    <col min="4353" max="4353" width="2.88671875" style="32" customWidth="1"/>
    <col min="4354" max="4354" width="3.5546875" style="32" customWidth="1"/>
    <col min="4355" max="4599" width="9.109375" style="32"/>
    <col min="4600" max="4600" width="8.6640625" style="32" customWidth="1"/>
    <col min="4601" max="4601" width="9.88671875" style="32" customWidth="1"/>
    <col min="4602" max="4602" width="14.44140625" style="32" customWidth="1"/>
    <col min="4603" max="4603" width="7.33203125" style="32" customWidth="1"/>
    <col min="4604" max="4604" width="5.5546875" style="32" customWidth="1"/>
    <col min="4605" max="4605" width="9" style="32" customWidth="1"/>
    <col min="4606" max="4607" width="9.88671875" style="32" customWidth="1"/>
    <col min="4608" max="4608" width="11.109375" style="32" customWidth="1"/>
    <col min="4609" max="4609" width="2.88671875" style="32" customWidth="1"/>
    <col min="4610" max="4610" width="3.5546875" style="32" customWidth="1"/>
    <col min="4611" max="4855" width="9.109375" style="32"/>
    <col min="4856" max="4856" width="8.6640625" style="32" customWidth="1"/>
    <col min="4857" max="4857" width="9.88671875" style="32" customWidth="1"/>
    <col min="4858" max="4858" width="14.44140625" style="32" customWidth="1"/>
    <col min="4859" max="4859" width="7.33203125" style="32" customWidth="1"/>
    <col min="4860" max="4860" width="5.5546875" style="32" customWidth="1"/>
    <col min="4861" max="4861" width="9" style="32" customWidth="1"/>
    <col min="4862" max="4863" width="9.88671875" style="32" customWidth="1"/>
    <col min="4864" max="4864" width="11.109375" style="32" customWidth="1"/>
    <col min="4865" max="4865" width="2.88671875" style="32" customWidth="1"/>
    <col min="4866" max="4866" width="3.5546875" style="32" customWidth="1"/>
    <col min="4867" max="5111" width="9.109375" style="32"/>
    <col min="5112" max="5112" width="8.6640625" style="32" customWidth="1"/>
    <col min="5113" max="5113" width="9.88671875" style="32" customWidth="1"/>
    <col min="5114" max="5114" width="14.44140625" style="32" customWidth="1"/>
    <col min="5115" max="5115" width="7.33203125" style="32" customWidth="1"/>
    <col min="5116" max="5116" width="5.5546875" style="32" customWidth="1"/>
    <col min="5117" max="5117" width="9" style="32" customWidth="1"/>
    <col min="5118" max="5119" width="9.88671875" style="32" customWidth="1"/>
    <col min="5120" max="5120" width="11.109375" style="32" customWidth="1"/>
    <col min="5121" max="5121" width="2.88671875" style="32" customWidth="1"/>
    <col min="5122" max="5122" width="3.5546875" style="32" customWidth="1"/>
    <col min="5123" max="5367" width="9.109375" style="32"/>
    <col min="5368" max="5368" width="8.6640625" style="32" customWidth="1"/>
    <col min="5369" max="5369" width="9.88671875" style="32" customWidth="1"/>
    <col min="5370" max="5370" width="14.44140625" style="32" customWidth="1"/>
    <col min="5371" max="5371" width="7.33203125" style="32" customWidth="1"/>
    <col min="5372" max="5372" width="5.5546875" style="32" customWidth="1"/>
    <col min="5373" max="5373" width="9" style="32" customWidth="1"/>
    <col min="5374" max="5375" width="9.88671875" style="32" customWidth="1"/>
    <col min="5376" max="5376" width="11.109375" style="32" customWidth="1"/>
    <col min="5377" max="5377" width="2.88671875" style="32" customWidth="1"/>
    <col min="5378" max="5378" width="3.5546875" style="32" customWidth="1"/>
    <col min="5379" max="5623" width="9.109375" style="32"/>
    <col min="5624" max="5624" width="8.6640625" style="32" customWidth="1"/>
    <col min="5625" max="5625" width="9.88671875" style="32" customWidth="1"/>
    <col min="5626" max="5626" width="14.44140625" style="32" customWidth="1"/>
    <col min="5627" max="5627" width="7.33203125" style="32" customWidth="1"/>
    <col min="5628" max="5628" width="5.5546875" style="32" customWidth="1"/>
    <col min="5629" max="5629" width="9" style="32" customWidth="1"/>
    <col min="5630" max="5631" width="9.88671875" style="32" customWidth="1"/>
    <col min="5632" max="5632" width="11.109375" style="32" customWidth="1"/>
    <col min="5633" max="5633" width="2.88671875" style="32" customWidth="1"/>
    <col min="5634" max="5634" width="3.5546875" style="32" customWidth="1"/>
    <col min="5635" max="5879" width="9.109375" style="32"/>
    <col min="5880" max="5880" width="8.6640625" style="32" customWidth="1"/>
    <col min="5881" max="5881" width="9.88671875" style="32" customWidth="1"/>
    <col min="5882" max="5882" width="14.44140625" style="32" customWidth="1"/>
    <col min="5883" max="5883" width="7.33203125" style="32" customWidth="1"/>
    <col min="5884" max="5884" width="5.5546875" style="32" customWidth="1"/>
    <col min="5885" max="5885" width="9" style="32" customWidth="1"/>
    <col min="5886" max="5887" width="9.88671875" style="32" customWidth="1"/>
    <col min="5888" max="5888" width="11.109375" style="32" customWidth="1"/>
    <col min="5889" max="5889" width="2.88671875" style="32" customWidth="1"/>
    <col min="5890" max="5890" width="3.5546875" style="32" customWidth="1"/>
    <col min="5891" max="6135" width="9.109375" style="32"/>
    <col min="6136" max="6136" width="8.6640625" style="32" customWidth="1"/>
    <col min="6137" max="6137" width="9.88671875" style="32" customWidth="1"/>
    <col min="6138" max="6138" width="14.44140625" style="32" customWidth="1"/>
    <col min="6139" max="6139" width="7.33203125" style="32" customWidth="1"/>
    <col min="6140" max="6140" width="5.5546875" style="32" customWidth="1"/>
    <col min="6141" max="6141" width="9" style="32" customWidth="1"/>
    <col min="6142" max="6143" width="9.88671875" style="32" customWidth="1"/>
    <col min="6144" max="6144" width="11.109375" style="32" customWidth="1"/>
    <col min="6145" max="6145" width="2.88671875" style="32" customWidth="1"/>
    <col min="6146" max="6146" width="3.5546875" style="32" customWidth="1"/>
    <col min="6147" max="6391" width="9.109375" style="32"/>
    <col min="6392" max="6392" width="8.6640625" style="32" customWidth="1"/>
    <col min="6393" max="6393" width="9.88671875" style="32" customWidth="1"/>
    <col min="6394" max="6394" width="14.44140625" style="32" customWidth="1"/>
    <col min="6395" max="6395" width="7.33203125" style="32" customWidth="1"/>
    <col min="6396" max="6396" width="5.5546875" style="32" customWidth="1"/>
    <col min="6397" max="6397" width="9" style="32" customWidth="1"/>
    <col min="6398" max="6399" width="9.88671875" style="32" customWidth="1"/>
    <col min="6400" max="6400" width="11.109375" style="32" customWidth="1"/>
    <col min="6401" max="6401" width="2.88671875" style="32" customWidth="1"/>
    <col min="6402" max="6402" width="3.5546875" style="32" customWidth="1"/>
    <col min="6403" max="6647" width="9.109375" style="32"/>
    <col min="6648" max="6648" width="8.6640625" style="32" customWidth="1"/>
    <col min="6649" max="6649" width="9.88671875" style="32" customWidth="1"/>
    <col min="6650" max="6650" width="14.44140625" style="32" customWidth="1"/>
    <col min="6651" max="6651" width="7.33203125" style="32" customWidth="1"/>
    <col min="6652" max="6652" width="5.5546875" style="32" customWidth="1"/>
    <col min="6653" max="6653" width="9" style="32" customWidth="1"/>
    <col min="6654" max="6655" width="9.88671875" style="32" customWidth="1"/>
    <col min="6656" max="6656" width="11.109375" style="32" customWidth="1"/>
    <col min="6657" max="6657" width="2.88671875" style="32" customWidth="1"/>
    <col min="6658" max="6658" width="3.5546875" style="32" customWidth="1"/>
    <col min="6659" max="6903" width="9.109375" style="32"/>
    <col min="6904" max="6904" width="8.6640625" style="32" customWidth="1"/>
    <col min="6905" max="6905" width="9.88671875" style="32" customWidth="1"/>
    <col min="6906" max="6906" width="14.44140625" style="32" customWidth="1"/>
    <col min="6907" max="6907" width="7.33203125" style="32" customWidth="1"/>
    <col min="6908" max="6908" width="5.5546875" style="32" customWidth="1"/>
    <col min="6909" max="6909" width="9" style="32" customWidth="1"/>
    <col min="6910" max="6911" width="9.88671875" style="32" customWidth="1"/>
    <col min="6912" max="6912" width="11.109375" style="32" customWidth="1"/>
    <col min="6913" max="6913" width="2.88671875" style="32" customWidth="1"/>
    <col min="6914" max="6914" width="3.5546875" style="32" customWidth="1"/>
    <col min="6915" max="7159" width="9.109375" style="32"/>
    <col min="7160" max="7160" width="8.6640625" style="32" customWidth="1"/>
    <col min="7161" max="7161" width="9.88671875" style="32" customWidth="1"/>
    <col min="7162" max="7162" width="14.44140625" style="32" customWidth="1"/>
    <col min="7163" max="7163" width="7.33203125" style="32" customWidth="1"/>
    <col min="7164" max="7164" width="5.5546875" style="32" customWidth="1"/>
    <col min="7165" max="7165" width="9" style="32" customWidth="1"/>
    <col min="7166" max="7167" width="9.88671875" style="32" customWidth="1"/>
    <col min="7168" max="7168" width="11.109375" style="32" customWidth="1"/>
    <col min="7169" max="7169" width="2.88671875" style="32" customWidth="1"/>
    <col min="7170" max="7170" width="3.5546875" style="32" customWidth="1"/>
    <col min="7171" max="7415" width="9.109375" style="32"/>
    <col min="7416" max="7416" width="8.6640625" style="32" customWidth="1"/>
    <col min="7417" max="7417" width="9.88671875" style="32" customWidth="1"/>
    <col min="7418" max="7418" width="14.44140625" style="32" customWidth="1"/>
    <col min="7419" max="7419" width="7.33203125" style="32" customWidth="1"/>
    <col min="7420" max="7420" width="5.5546875" style="32" customWidth="1"/>
    <col min="7421" max="7421" width="9" style="32" customWidth="1"/>
    <col min="7422" max="7423" width="9.88671875" style="32" customWidth="1"/>
    <col min="7424" max="7424" width="11.109375" style="32" customWidth="1"/>
    <col min="7425" max="7425" width="2.88671875" style="32" customWidth="1"/>
    <col min="7426" max="7426" width="3.5546875" style="32" customWidth="1"/>
    <col min="7427" max="7671" width="9.109375" style="32"/>
    <col min="7672" max="7672" width="8.6640625" style="32" customWidth="1"/>
    <col min="7673" max="7673" width="9.88671875" style="32" customWidth="1"/>
    <col min="7674" max="7674" width="14.44140625" style="32" customWidth="1"/>
    <col min="7675" max="7675" width="7.33203125" style="32" customWidth="1"/>
    <col min="7676" max="7676" width="5.5546875" style="32" customWidth="1"/>
    <col min="7677" max="7677" width="9" style="32" customWidth="1"/>
    <col min="7678" max="7679" width="9.88671875" style="32" customWidth="1"/>
    <col min="7680" max="7680" width="11.109375" style="32" customWidth="1"/>
    <col min="7681" max="7681" width="2.88671875" style="32" customWidth="1"/>
    <col min="7682" max="7682" width="3.5546875" style="32" customWidth="1"/>
    <col min="7683" max="7927" width="9.109375" style="32"/>
    <col min="7928" max="7928" width="8.6640625" style="32" customWidth="1"/>
    <col min="7929" max="7929" width="9.88671875" style="32" customWidth="1"/>
    <col min="7930" max="7930" width="14.44140625" style="32" customWidth="1"/>
    <col min="7931" max="7931" width="7.33203125" style="32" customWidth="1"/>
    <col min="7932" max="7932" width="5.5546875" style="32" customWidth="1"/>
    <col min="7933" max="7933" width="9" style="32" customWidth="1"/>
    <col min="7934" max="7935" width="9.88671875" style="32" customWidth="1"/>
    <col min="7936" max="7936" width="11.109375" style="32" customWidth="1"/>
    <col min="7937" max="7937" width="2.88671875" style="32" customWidth="1"/>
    <col min="7938" max="7938" width="3.5546875" style="32" customWidth="1"/>
    <col min="7939" max="8183" width="9.109375" style="32"/>
    <col min="8184" max="8184" width="8.6640625" style="32" customWidth="1"/>
    <col min="8185" max="8185" width="9.88671875" style="32" customWidth="1"/>
    <col min="8186" max="8186" width="14.44140625" style="32" customWidth="1"/>
    <col min="8187" max="8187" width="7.33203125" style="32" customWidth="1"/>
    <col min="8188" max="8188" width="5.5546875" style="32" customWidth="1"/>
    <col min="8189" max="8189" width="9" style="32" customWidth="1"/>
    <col min="8190" max="8191" width="9.88671875" style="32" customWidth="1"/>
    <col min="8192" max="8192" width="11.109375" style="32" customWidth="1"/>
    <col min="8193" max="8193" width="2.88671875" style="32" customWidth="1"/>
    <col min="8194" max="8194" width="3.5546875" style="32" customWidth="1"/>
    <col min="8195" max="8439" width="9.109375" style="32"/>
    <col min="8440" max="8440" width="8.6640625" style="32" customWidth="1"/>
    <col min="8441" max="8441" width="9.88671875" style="32" customWidth="1"/>
    <col min="8442" max="8442" width="14.44140625" style="32" customWidth="1"/>
    <col min="8443" max="8443" width="7.33203125" style="32" customWidth="1"/>
    <col min="8444" max="8444" width="5.5546875" style="32" customWidth="1"/>
    <col min="8445" max="8445" width="9" style="32" customWidth="1"/>
    <col min="8446" max="8447" width="9.88671875" style="32" customWidth="1"/>
    <col min="8448" max="8448" width="11.109375" style="32" customWidth="1"/>
    <col min="8449" max="8449" width="2.88671875" style="32" customWidth="1"/>
    <col min="8450" max="8450" width="3.5546875" style="32" customWidth="1"/>
    <col min="8451" max="8695" width="9.109375" style="32"/>
    <col min="8696" max="8696" width="8.6640625" style="32" customWidth="1"/>
    <col min="8697" max="8697" width="9.88671875" style="32" customWidth="1"/>
    <col min="8698" max="8698" width="14.44140625" style="32" customWidth="1"/>
    <col min="8699" max="8699" width="7.33203125" style="32" customWidth="1"/>
    <col min="8700" max="8700" width="5.5546875" style="32" customWidth="1"/>
    <col min="8701" max="8701" width="9" style="32" customWidth="1"/>
    <col min="8702" max="8703" width="9.88671875" style="32" customWidth="1"/>
    <col min="8704" max="8704" width="11.109375" style="32" customWidth="1"/>
    <col min="8705" max="8705" width="2.88671875" style="32" customWidth="1"/>
    <col min="8706" max="8706" width="3.5546875" style="32" customWidth="1"/>
    <col min="8707" max="8951" width="9.109375" style="32"/>
    <col min="8952" max="8952" width="8.6640625" style="32" customWidth="1"/>
    <col min="8953" max="8953" width="9.88671875" style="32" customWidth="1"/>
    <col min="8954" max="8954" width="14.44140625" style="32" customWidth="1"/>
    <col min="8955" max="8955" width="7.33203125" style="32" customWidth="1"/>
    <col min="8956" max="8956" width="5.5546875" style="32" customWidth="1"/>
    <col min="8957" max="8957" width="9" style="32" customWidth="1"/>
    <col min="8958" max="8959" width="9.88671875" style="32" customWidth="1"/>
    <col min="8960" max="8960" width="11.109375" style="32" customWidth="1"/>
    <col min="8961" max="8961" width="2.88671875" style="32" customWidth="1"/>
    <col min="8962" max="8962" width="3.5546875" style="32" customWidth="1"/>
    <col min="8963" max="9207" width="9.109375" style="32"/>
    <col min="9208" max="9208" width="8.6640625" style="32" customWidth="1"/>
    <col min="9209" max="9209" width="9.88671875" style="32" customWidth="1"/>
    <col min="9210" max="9210" width="14.44140625" style="32" customWidth="1"/>
    <col min="9211" max="9211" width="7.33203125" style="32" customWidth="1"/>
    <col min="9212" max="9212" width="5.5546875" style="32" customWidth="1"/>
    <col min="9213" max="9213" width="9" style="32" customWidth="1"/>
    <col min="9214" max="9215" width="9.88671875" style="32" customWidth="1"/>
    <col min="9216" max="9216" width="11.109375" style="32" customWidth="1"/>
    <col min="9217" max="9217" width="2.88671875" style="32" customWidth="1"/>
    <col min="9218" max="9218" width="3.5546875" style="32" customWidth="1"/>
    <col min="9219" max="9463" width="9.109375" style="32"/>
    <col min="9464" max="9464" width="8.6640625" style="32" customWidth="1"/>
    <col min="9465" max="9465" width="9.88671875" style="32" customWidth="1"/>
    <col min="9466" max="9466" width="14.44140625" style="32" customWidth="1"/>
    <col min="9467" max="9467" width="7.33203125" style="32" customWidth="1"/>
    <col min="9468" max="9468" width="5.5546875" style="32" customWidth="1"/>
    <col min="9469" max="9469" width="9" style="32" customWidth="1"/>
    <col min="9470" max="9471" width="9.88671875" style="32" customWidth="1"/>
    <col min="9472" max="9472" width="11.109375" style="32" customWidth="1"/>
    <col min="9473" max="9473" width="2.88671875" style="32" customWidth="1"/>
    <col min="9474" max="9474" width="3.5546875" style="32" customWidth="1"/>
    <col min="9475" max="9719" width="9.109375" style="32"/>
    <col min="9720" max="9720" width="8.6640625" style="32" customWidth="1"/>
    <col min="9721" max="9721" width="9.88671875" style="32" customWidth="1"/>
    <col min="9722" max="9722" width="14.44140625" style="32" customWidth="1"/>
    <col min="9723" max="9723" width="7.33203125" style="32" customWidth="1"/>
    <col min="9724" max="9724" width="5.5546875" style="32" customWidth="1"/>
    <col min="9725" max="9725" width="9" style="32" customWidth="1"/>
    <col min="9726" max="9727" width="9.88671875" style="32" customWidth="1"/>
    <col min="9728" max="9728" width="11.109375" style="32" customWidth="1"/>
    <col min="9729" max="9729" width="2.88671875" style="32" customWidth="1"/>
    <col min="9730" max="9730" width="3.5546875" style="32" customWidth="1"/>
    <col min="9731" max="9975" width="9.109375" style="32"/>
    <col min="9976" max="9976" width="8.6640625" style="32" customWidth="1"/>
    <col min="9977" max="9977" width="9.88671875" style="32" customWidth="1"/>
    <col min="9978" max="9978" width="14.44140625" style="32" customWidth="1"/>
    <col min="9979" max="9979" width="7.33203125" style="32" customWidth="1"/>
    <col min="9980" max="9980" width="5.5546875" style="32" customWidth="1"/>
    <col min="9981" max="9981" width="9" style="32" customWidth="1"/>
    <col min="9982" max="9983" width="9.88671875" style="32" customWidth="1"/>
    <col min="9984" max="9984" width="11.109375" style="32" customWidth="1"/>
    <col min="9985" max="9985" width="2.88671875" style="32" customWidth="1"/>
    <col min="9986" max="9986" width="3.5546875" style="32" customWidth="1"/>
    <col min="9987" max="10231" width="9.109375" style="32"/>
    <col min="10232" max="10232" width="8.6640625" style="32" customWidth="1"/>
    <col min="10233" max="10233" width="9.88671875" style="32" customWidth="1"/>
    <col min="10234" max="10234" width="14.44140625" style="32" customWidth="1"/>
    <col min="10235" max="10235" width="7.33203125" style="32" customWidth="1"/>
    <col min="10236" max="10236" width="5.5546875" style="32" customWidth="1"/>
    <col min="10237" max="10237" width="9" style="32" customWidth="1"/>
    <col min="10238" max="10239" width="9.88671875" style="32" customWidth="1"/>
    <col min="10240" max="10240" width="11.109375" style="32" customWidth="1"/>
    <col min="10241" max="10241" width="2.88671875" style="32" customWidth="1"/>
    <col min="10242" max="10242" width="3.5546875" style="32" customWidth="1"/>
    <col min="10243" max="10487" width="9.109375" style="32"/>
    <col min="10488" max="10488" width="8.6640625" style="32" customWidth="1"/>
    <col min="10489" max="10489" width="9.88671875" style="32" customWidth="1"/>
    <col min="10490" max="10490" width="14.44140625" style="32" customWidth="1"/>
    <col min="10491" max="10491" width="7.33203125" style="32" customWidth="1"/>
    <col min="10492" max="10492" width="5.5546875" style="32" customWidth="1"/>
    <col min="10493" max="10493" width="9" style="32" customWidth="1"/>
    <col min="10494" max="10495" width="9.88671875" style="32" customWidth="1"/>
    <col min="10496" max="10496" width="11.109375" style="32" customWidth="1"/>
    <col min="10497" max="10497" width="2.88671875" style="32" customWidth="1"/>
    <col min="10498" max="10498" width="3.5546875" style="32" customWidth="1"/>
    <col min="10499" max="10743" width="9.109375" style="32"/>
    <col min="10744" max="10744" width="8.6640625" style="32" customWidth="1"/>
    <col min="10745" max="10745" width="9.88671875" style="32" customWidth="1"/>
    <col min="10746" max="10746" width="14.44140625" style="32" customWidth="1"/>
    <col min="10747" max="10747" width="7.33203125" style="32" customWidth="1"/>
    <col min="10748" max="10748" width="5.5546875" style="32" customWidth="1"/>
    <col min="10749" max="10749" width="9" style="32" customWidth="1"/>
    <col min="10750" max="10751" width="9.88671875" style="32" customWidth="1"/>
    <col min="10752" max="10752" width="11.109375" style="32" customWidth="1"/>
    <col min="10753" max="10753" width="2.88671875" style="32" customWidth="1"/>
    <col min="10754" max="10754" width="3.5546875" style="32" customWidth="1"/>
    <col min="10755" max="10999" width="9.109375" style="32"/>
    <col min="11000" max="11000" width="8.6640625" style="32" customWidth="1"/>
    <col min="11001" max="11001" width="9.88671875" style="32" customWidth="1"/>
    <col min="11002" max="11002" width="14.44140625" style="32" customWidth="1"/>
    <col min="11003" max="11003" width="7.33203125" style="32" customWidth="1"/>
    <col min="11004" max="11004" width="5.5546875" style="32" customWidth="1"/>
    <col min="11005" max="11005" width="9" style="32" customWidth="1"/>
    <col min="11006" max="11007" width="9.88671875" style="32" customWidth="1"/>
    <col min="11008" max="11008" width="11.109375" style="32" customWidth="1"/>
    <col min="11009" max="11009" width="2.88671875" style="32" customWidth="1"/>
    <col min="11010" max="11010" width="3.5546875" style="32" customWidth="1"/>
    <col min="11011" max="11255" width="9.109375" style="32"/>
    <col min="11256" max="11256" width="8.6640625" style="32" customWidth="1"/>
    <col min="11257" max="11257" width="9.88671875" style="32" customWidth="1"/>
    <col min="11258" max="11258" width="14.44140625" style="32" customWidth="1"/>
    <col min="11259" max="11259" width="7.33203125" style="32" customWidth="1"/>
    <col min="11260" max="11260" width="5.5546875" style="32" customWidth="1"/>
    <col min="11261" max="11261" width="9" style="32" customWidth="1"/>
    <col min="11262" max="11263" width="9.88671875" style="32" customWidth="1"/>
    <col min="11264" max="11264" width="11.109375" style="32" customWidth="1"/>
    <col min="11265" max="11265" width="2.88671875" style="32" customWidth="1"/>
    <col min="11266" max="11266" width="3.5546875" style="32" customWidth="1"/>
    <col min="11267" max="11511" width="9.109375" style="32"/>
    <col min="11512" max="11512" width="8.6640625" style="32" customWidth="1"/>
    <col min="11513" max="11513" width="9.88671875" style="32" customWidth="1"/>
    <col min="11514" max="11514" width="14.44140625" style="32" customWidth="1"/>
    <col min="11515" max="11515" width="7.33203125" style="32" customWidth="1"/>
    <col min="11516" max="11516" width="5.5546875" style="32" customWidth="1"/>
    <col min="11517" max="11517" width="9" style="32" customWidth="1"/>
    <col min="11518" max="11519" width="9.88671875" style="32" customWidth="1"/>
    <col min="11520" max="11520" width="11.109375" style="32" customWidth="1"/>
    <col min="11521" max="11521" width="2.88671875" style="32" customWidth="1"/>
    <col min="11522" max="11522" width="3.5546875" style="32" customWidth="1"/>
    <col min="11523" max="11767" width="9.109375" style="32"/>
    <col min="11768" max="11768" width="8.6640625" style="32" customWidth="1"/>
    <col min="11769" max="11769" width="9.88671875" style="32" customWidth="1"/>
    <col min="11770" max="11770" width="14.44140625" style="32" customWidth="1"/>
    <col min="11771" max="11771" width="7.33203125" style="32" customWidth="1"/>
    <col min="11772" max="11772" width="5.5546875" style="32" customWidth="1"/>
    <col min="11773" max="11773" width="9" style="32" customWidth="1"/>
    <col min="11774" max="11775" width="9.88671875" style="32" customWidth="1"/>
    <col min="11776" max="11776" width="11.109375" style="32" customWidth="1"/>
    <col min="11777" max="11777" width="2.88671875" style="32" customWidth="1"/>
    <col min="11778" max="11778" width="3.5546875" style="32" customWidth="1"/>
    <col min="11779" max="12023" width="9.109375" style="32"/>
    <col min="12024" max="12024" width="8.6640625" style="32" customWidth="1"/>
    <col min="12025" max="12025" width="9.88671875" style="32" customWidth="1"/>
    <col min="12026" max="12026" width="14.44140625" style="32" customWidth="1"/>
    <col min="12027" max="12027" width="7.33203125" style="32" customWidth="1"/>
    <col min="12028" max="12028" width="5.5546875" style="32" customWidth="1"/>
    <col min="12029" max="12029" width="9" style="32" customWidth="1"/>
    <col min="12030" max="12031" width="9.88671875" style="32" customWidth="1"/>
    <col min="12032" max="12032" width="11.109375" style="32" customWidth="1"/>
    <col min="12033" max="12033" width="2.88671875" style="32" customWidth="1"/>
    <col min="12034" max="12034" width="3.5546875" style="32" customWidth="1"/>
    <col min="12035" max="12279" width="9.109375" style="32"/>
    <col min="12280" max="12280" width="8.6640625" style="32" customWidth="1"/>
    <col min="12281" max="12281" width="9.88671875" style="32" customWidth="1"/>
    <col min="12282" max="12282" width="14.44140625" style="32" customWidth="1"/>
    <col min="12283" max="12283" width="7.33203125" style="32" customWidth="1"/>
    <col min="12284" max="12284" width="5.5546875" style="32" customWidth="1"/>
    <col min="12285" max="12285" width="9" style="32" customWidth="1"/>
    <col min="12286" max="12287" width="9.88671875" style="32" customWidth="1"/>
    <col min="12288" max="12288" width="11.109375" style="32" customWidth="1"/>
    <col min="12289" max="12289" width="2.88671875" style="32" customWidth="1"/>
    <col min="12290" max="12290" width="3.5546875" style="32" customWidth="1"/>
    <col min="12291" max="12535" width="9.109375" style="32"/>
    <col min="12536" max="12536" width="8.6640625" style="32" customWidth="1"/>
    <col min="12537" max="12537" width="9.88671875" style="32" customWidth="1"/>
    <col min="12538" max="12538" width="14.44140625" style="32" customWidth="1"/>
    <col min="12539" max="12539" width="7.33203125" style="32" customWidth="1"/>
    <col min="12540" max="12540" width="5.5546875" style="32" customWidth="1"/>
    <col min="12541" max="12541" width="9" style="32" customWidth="1"/>
    <col min="12542" max="12543" width="9.88671875" style="32" customWidth="1"/>
    <col min="12544" max="12544" width="11.109375" style="32" customWidth="1"/>
    <col min="12545" max="12545" width="2.88671875" style="32" customWidth="1"/>
    <col min="12546" max="12546" width="3.5546875" style="32" customWidth="1"/>
    <col min="12547" max="12791" width="9.109375" style="32"/>
    <col min="12792" max="12792" width="8.6640625" style="32" customWidth="1"/>
    <col min="12793" max="12793" width="9.88671875" style="32" customWidth="1"/>
    <col min="12794" max="12794" width="14.44140625" style="32" customWidth="1"/>
    <col min="12795" max="12795" width="7.33203125" style="32" customWidth="1"/>
    <col min="12796" max="12796" width="5.5546875" style="32" customWidth="1"/>
    <col min="12797" max="12797" width="9" style="32" customWidth="1"/>
    <col min="12798" max="12799" width="9.88671875" style="32" customWidth="1"/>
    <col min="12800" max="12800" width="11.109375" style="32" customWidth="1"/>
    <col min="12801" max="12801" width="2.88671875" style="32" customWidth="1"/>
    <col min="12802" max="12802" width="3.5546875" style="32" customWidth="1"/>
    <col min="12803" max="13047" width="9.109375" style="32"/>
    <col min="13048" max="13048" width="8.6640625" style="32" customWidth="1"/>
    <col min="13049" max="13049" width="9.88671875" style="32" customWidth="1"/>
    <col min="13050" max="13050" width="14.44140625" style="32" customWidth="1"/>
    <col min="13051" max="13051" width="7.33203125" style="32" customWidth="1"/>
    <col min="13052" max="13052" width="5.5546875" style="32" customWidth="1"/>
    <col min="13053" max="13053" width="9" style="32" customWidth="1"/>
    <col min="13054" max="13055" width="9.88671875" style="32" customWidth="1"/>
    <col min="13056" max="13056" width="11.109375" style="32" customWidth="1"/>
    <col min="13057" max="13057" width="2.88671875" style="32" customWidth="1"/>
    <col min="13058" max="13058" width="3.5546875" style="32" customWidth="1"/>
    <col min="13059" max="13303" width="9.109375" style="32"/>
    <col min="13304" max="13304" width="8.6640625" style="32" customWidth="1"/>
    <col min="13305" max="13305" width="9.88671875" style="32" customWidth="1"/>
    <col min="13306" max="13306" width="14.44140625" style="32" customWidth="1"/>
    <col min="13307" max="13307" width="7.33203125" style="32" customWidth="1"/>
    <col min="13308" max="13308" width="5.5546875" style="32" customWidth="1"/>
    <col min="13309" max="13309" width="9" style="32" customWidth="1"/>
    <col min="13310" max="13311" width="9.88671875" style="32" customWidth="1"/>
    <col min="13312" max="13312" width="11.109375" style="32" customWidth="1"/>
    <col min="13313" max="13313" width="2.88671875" style="32" customWidth="1"/>
    <col min="13314" max="13314" width="3.5546875" style="32" customWidth="1"/>
    <col min="13315" max="13559" width="9.109375" style="32"/>
    <col min="13560" max="13560" width="8.6640625" style="32" customWidth="1"/>
    <col min="13561" max="13561" width="9.88671875" style="32" customWidth="1"/>
    <col min="13562" max="13562" width="14.44140625" style="32" customWidth="1"/>
    <col min="13563" max="13563" width="7.33203125" style="32" customWidth="1"/>
    <col min="13564" max="13564" width="5.5546875" style="32" customWidth="1"/>
    <col min="13565" max="13565" width="9" style="32" customWidth="1"/>
    <col min="13566" max="13567" width="9.88671875" style="32" customWidth="1"/>
    <col min="13568" max="13568" width="11.109375" style="32" customWidth="1"/>
    <col min="13569" max="13569" width="2.88671875" style="32" customWidth="1"/>
    <col min="13570" max="13570" width="3.5546875" style="32" customWidth="1"/>
    <col min="13571" max="13815" width="9.109375" style="32"/>
    <col min="13816" max="13816" width="8.6640625" style="32" customWidth="1"/>
    <col min="13817" max="13817" width="9.88671875" style="32" customWidth="1"/>
    <col min="13818" max="13818" width="14.44140625" style="32" customWidth="1"/>
    <col min="13819" max="13819" width="7.33203125" style="32" customWidth="1"/>
    <col min="13820" max="13820" width="5.5546875" style="32" customWidth="1"/>
    <col min="13821" max="13821" width="9" style="32" customWidth="1"/>
    <col min="13822" max="13823" width="9.88671875" style="32" customWidth="1"/>
    <col min="13824" max="13824" width="11.109375" style="32" customWidth="1"/>
    <col min="13825" max="13825" width="2.88671875" style="32" customWidth="1"/>
    <col min="13826" max="13826" width="3.5546875" style="32" customWidth="1"/>
    <col min="13827" max="14071" width="9.109375" style="32"/>
    <col min="14072" max="14072" width="8.6640625" style="32" customWidth="1"/>
    <col min="14073" max="14073" width="9.88671875" style="32" customWidth="1"/>
    <col min="14074" max="14074" width="14.44140625" style="32" customWidth="1"/>
    <col min="14075" max="14075" width="7.33203125" style="32" customWidth="1"/>
    <col min="14076" max="14076" width="5.5546875" style="32" customWidth="1"/>
    <col min="14077" max="14077" width="9" style="32" customWidth="1"/>
    <col min="14078" max="14079" width="9.88671875" style="32" customWidth="1"/>
    <col min="14080" max="14080" width="11.109375" style="32" customWidth="1"/>
    <col min="14081" max="14081" width="2.88671875" style="32" customWidth="1"/>
    <col min="14082" max="14082" width="3.5546875" style="32" customWidth="1"/>
    <col min="14083" max="14327" width="9.109375" style="32"/>
    <col min="14328" max="14328" width="8.6640625" style="32" customWidth="1"/>
    <col min="14329" max="14329" width="9.88671875" style="32" customWidth="1"/>
    <col min="14330" max="14330" width="14.44140625" style="32" customWidth="1"/>
    <col min="14331" max="14331" width="7.33203125" style="32" customWidth="1"/>
    <col min="14332" max="14332" width="5.5546875" style="32" customWidth="1"/>
    <col min="14333" max="14333" width="9" style="32" customWidth="1"/>
    <col min="14334" max="14335" width="9.88671875" style="32" customWidth="1"/>
    <col min="14336" max="14336" width="11.109375" style="32" customWidth="1"/>
    <col min="14337" max="14337" width="2.88671875" style="32" customWidth="1"/>
    <col min="14338" max="14338" width="3.5546875" style="32" customWidth="1"/>
    <col min="14339" max="14583" width="9.109375" style="32"/>
    <col min="14584" max="14584" width="8.6640625" style="32" customWidth="1"/>
    <col min="14585" max="14585" width="9.88671875" style="32" customWidth="1"/>
    <col min="14586" max="14586" width="14.44140625" style="32" customWidth="1"/>
    <col min="14587" max="14587" width="7.33203125" style="32" customWidth="1"/>
    <col min="14588" max="14588" width="5.5546875" style="32" customWidth="1"/>
    <col min="14589" max="14589" width="9" style="32" customWidth="1"/>
    <col min="14590" max="14591" width="9.88671875" style="32" customWidth="1"/>
    <col min="14592" max="14592" width="11.109375" style="32" customWidth="1"/>
    <col min="14593" max="14593" width="2.88671875" style="32" customWidth="1"/>
    <col min="14594" max="14594" width="3.5546875" style="32" customWidth="1"/>
    <col min="14595" max="14839" width="9.109375" style="32"/>
    <col min="14840" max="14840" width="8.6640625" style="32" customWidth="1"/>
    <col min="14841" max="14841" width="9.88671875" style="32" customWidth="1"/>
    <col min="14842" max="14842" width="14.44140625" style="32" customWidth="1"/>
    <col min="14843" max="14843" width="7.33203125" style="32" customWidth="1"/>
    <col min="14844" max="14844" width="5.5546875" style="32" customWidth="1"/>
    <col min="14845" max="14845" width="9" style="32" customWidth="1"/>
    <col min="14846" max="14847" width="9.88671875" style="32" customWidth="1"/>
    <col min="14848" max="14848" width="11.109375" style="32" customWidth="1"/>
    <col min="14849" max="14849" width="2.88671875" style="32" customWidth="1"/>
    <col min="14850" max="14850" width="3.5546875" style="32" customWidth="1"/>
    <col min="14851" max="15095" width="9.109375" style="32"/>
    <col min="15096" max="15096" width="8.6640625" style="32" customWidth="1"/>
    <col min="15097" max="15097" width="9.88671875" style="32" customWidth="1"/>
    <col min="15098" max="15098" width="14.44140625" style="32" customWidth="1"/>
    <col min="15099" max="15099" width="7.33203125" style="32" customWidth="1"/>
    <col min="15100" max="15100" width="5.5546875" style="32" customWidth="1"/>
    <col min="15101" max="15101" width="9" style="32" customWidth="1"/>
    <col min="15102" max="15103" width="9.88671875" style="32" customWidth="1"/>
    <col min="15104" max="15104" width="11.109375" style="32" customWidth="1"/>
    <col min="15105" max="15105" width="2.88671875" style="32" customWidth="1"/>
    <col min="15106" max="15106" width="3.5546875" style="32" customWidth="1"/>
    <col min="15107" max="15351" width="9.109375" style="32"/>
    <col min="15352" max="15352" width="8.6640625" style="32" customWidth="1"/>
    <col min="15353" max="15353" width="9.88671875" style="32" customWidth="1"/>
    <col min="15354" max="15354" width="14.44140625" style="32" customWidth="1"/>
    <col min="15355" max="15355" width="7.33203125" style="32" customWidth="1"/>
    <col min="15356" max="15356" width="5.5546875" style="32" customWidth="1"/>
    <col min="15357" max="15357" width="9" style="32" customWidth="1"/>
    <col min="15358" max="15359" width="9.88671875" style="32" customWidth="1"/>
    <col min="15360" max="15360" width="11.109375" style="32" customWidth="1"/>
    <col min="15361" max="15361" width="2.88671875" style="32" customWidth="1"/>
    <col min="15362" max="15362" width="3.5546875" style="32" customWidth="1"/>
    <col min="15363" max="15607" width="9.109375" style="32"/>
    <col min="15608" max="15608" width="8.6640625" style="32" customWidth="1"/>
    <col min="15609" max="15609" width="9.88671875" style="32" customWidth="1"/>
    <col min="15610" max="15610" width="14.44140625" style="32" customWidth="1"/>
    <col min="15611" max="15611" width="7.33203125" style="32" customWidth="1"/>
    <col min="15612" max="15612" width="5.5546875" style="32" customWidth="1"/>
    <col min="15613" max="15613" width="9" style="32" customWidth="1"/>
    <col min="15614" max="15615" width="9.88671875" style="32" customWidth="1"/>
    <col min="15616" max="15616" width="11.109375" style="32" customWidth="1"/>
    <col min="15617" max="15617" width="2.88671875" style="32" customWidth="1"/>
    <col min="15618" max="15618" width="3.5546875" style="32" customWidth="1"/>
    <col min="15619" max="15863" width="9.109375" style="32"/>
    <col min="15864" max="15864" width="8.6640625" style="32" customWidth="1"/>
    <col min="15865" max="15865" width="9.88671875" style="32" customWidth="1"/>
    <col min="15866" max="15866" width="14.44140625" style="32" customWidth="1"/>
    <col min="15867" max="15867" width="7.33203125" style="32" customWidth="1"/>
    <col min="15868" max="15868" width="5.5546875" style="32" customWidth="1"/>
    <col min="15869" max="15869" width="9" style="32" customWidth="1"/>
    <col min="15870" max="15871" width="9.88671875" style="32" customWidth="1"/>
    <col min="15872" max="15872" width="11.109375" style="32" customWidth="1"/>
    <col min="15873" max="15873" width="2.88671875" style="32" customWidth="1"/>
    <col min="15874" max="15874" width="3.5546875" style="32" customWidth="1"/>
    <col min="15875" max="16119" width="9.109375" style="32"/>
    <col min="16120" max="16120" width="8.6640625" style="32" customWidth="1"/>
    <col min="16121" max="16121" width="9.88671875" style="32" customWidth="1"/>
    <col min="16122" max="16122" width="14.44140625" style="32" customWidth="1"/>
    <col min="16123" max="16123" width="7.33203125" style="32" customWidth="1"/>
    <col min="16124" max="16124" width="5.5546875" style="32" customWidth="1"/>
    <col min="16125" max="16125" width="9" style="32" customWidth="1"/>
    <col min="16126" max="16127" width="9.88671875" style="32" customWidth="1"/>
    <col min="16128" max="16128" width="11.109375" style="32" customWidth="1"/>
    <col min="16129" max="16129" width="2.88671875" style="32" customWidth="1"/>
    <col min="16130" max="16130" width="3.5546875" style="32" customWidth="1"/>
    <col min="16131" max="16384" width="9.109375" style="32"/>
  </cols>
  <sheetData>
    <row r="1" spans="1:8" ht="46.5" customHeight="1" x14ac:dyDescent="0.3">
      <c r="A1" s="145" t="s">
        <v>245</v>
      </c>
      <c r="B1" s="145"/>
      <c r="C1" s="145"/>
      <c r="D1" s="145"/>
      <c r="E1" s="145"/>
      <c r="F1" s="145"/>
      <c r="G1" s="145"/>
      <c r="H1" s="145"/>
    </row>
    <row r="2" spans="1:8" ht="16.5" customHeight="1" x14ac:dyDescent="0.3">
      <c r="A2" s="108" t="s">
        <v>0</v>
      </c>
      <c r="B2" s="108"/>
      <c r="C2" s="108"/>
      <c r="D2" s="108"/>
      <c r="E2" s="108"/>
      <c r="F2" s="108"/>
      <c r="G2" s="108"/>
      <c r="H2" s="108"/>
    </row>
    <row r="3" spans="1:8" x14ac:dyDescent="0.3">
      <c r="A3" s="117" t="s">
        <v>1</v>
      </c>
      <c r="B3" s="117"/>
      <c r="C3" s="117"/>
      <c r="D3" s="117"/>
      <c r="E3" s="146" t="str">
        <f ca="1">TEXT(TODAY(),"DD/MM/YYYY")</f>
        <v>15/08/2025</v>
      </c>
      <c r="F3" s="146"/>
      <c r="G3" s="146"/>
      <c r="H3" s="146"/>
    </row>
    <row r="4" spans="1:8" ht="15" customHeight="1" x14ac:dyDescent="0.3">
      <c r="A4" s="117" t="s">
        <v>2</v>
      </c>
      <c r="B4" s="117"/>
      <c r="C4" s="117"/>
      <c r="D4" s="117"/>
      <c r="E4" s="133" t="s">
        <v>193</v>
      </c>
      <c r="F4" s="133"/>
      <c r="G4" s="133"/>
      <c r="H4" s="133"/>
    </row>
    <row r="5" spans="1:8" x14ac:dyDescent="0.3">
      <c r="A5" s="117" t="s">
        <v>3</v>
      </c>
      <c r="B5" s="117"/>
      <c r="C5" s="117"/>
      <c r="D5" s="117"/>
      <c r="E5" s="146">
        <v>45881</v>
      </c>
      <c r="F5" s="146"/>
      <c r="G5" s="146"/>
      <c r="H5" s="146"/>
    </row>
    <row r="6" spans="1:8" ht="16.5" customHeight="1" x14ac:dyDescent="0.3">
      <c r="A6" s="117" t="s">
        <v>4</v>
      </c>
      <c r="B6" s="117"/>
      <c r="C6" s="117"/>
      <c r="D6" s="117"/>
      <c r="E6" s="132" t="s">
        <v>194</v>
      </c>
      <c r="F6" s="132"/>
      <c r="G6" s="132"/>
      <c r="H6" s="132"/>
    </row>
    <row r="7" spans="1:8" ht="15" customHeight="1" x14ac:dyDescent="0.3">
      <c r="A7" s="117" t="s">
        <v>5</v>
      </c>
      <c r="B7" s="117"/>
      <c r="C7" s="117"/>
      <c r="D7" s="117"/>
      <c r="E7" s="132" t="str">
        <f>E6</f>
        <v>M/s.Poddar Housing and Development Limited</v>
      </c>
      <c r="F7" s="132"/>
      <c r="G7" s="132"/>
      <c r="H7" s="132"/>
    </row>
    <row r="8" spans="1:8" x14ac:dyDescent="0.3">
      <c r="A8" s="117" t="s">
        <v>6</v>
      </c>
      <c r="B8" s="117"/>
      <c r="C8" s="117"/>
      <c r="D8" s="117"/>
      <c r="E8" s="128" t="s">
        <v>221</v>
      </c>
      <c r="F8" s="128"/>
      <c r="G8" s="128"/>
      <c r="H8" s="128"/>
    </row>
    <row r="9" spans="1:8" x14ac:dyDescent="0.3">
      <c r="A9" s="117" t="s">
        <v>160</v>
      </c>
      <c r="B9" s="117"/>
      <c r="C9" s="117"/>
      <c r="D9" s="117"/>
      <c r="E9" s="117" t="s">
        <v>195</v>
      </c>
      <c r="F9" s="117"/>
      <c r="G9" s="117"/>
      <c r="H9" s="117"/>
    </row>
    <row r="10" spans="1:8" hidden="1" x14ac:dyDescent="0.3">
      <c r="A10" s="117" t="s">
        <v>246</v>
      </c>
      <c r="B10" s="117"/>
      <c r="C10" s="117"/>
      <c r="D10" s="117"/>
      <c r="E10" s="117" t="s">
        <v>247</v>
      </c>
      <c r="F10" s="117"/>
      <c r="G10" s="117"/>
      <c r="H10" s="117"/>
    </row>
    <row r="11" spans="1:8" x14ac:dyDescent="0.3">
      <c r="A11" s="67" t="s">
        <v>7</v>
      </c>
      <c r="B11" s="67"/>
      <c r="C11" s="67"/>
      <c r="D11" s="67"/>
      <c r="E11" s="67" t="s">
        <v>223</v>
      </c>
      <c r="F11" s="67"/>
      <c r="G11" s="67"/>
      <c r="H11" s="67"/>
    </row>
    <row r="12" spans="1:8" x14ac:dyDescent="0.3">
      <c r="A12" s="117" t="s">
        <v>8</v>
      </c>
      <c r="B12" s="117"/>
      <c r="C12" s="117"/>
      <c r="D12" s="117"/>
      <c r="E12" s="116" t="s">
        <v>196</v>
      </c>
      <c r="F12" s="116"/>
      <c r="G12" s="116"/>
      <c r="H12" s="116"/>
    </row>
    <row r="13" spans="1:8" x14ac:dyDescent="0.3">
      <c r="A13" s="117" t="s">
        <v>9</v>
      </c>
      <c r="B13" s="117"/>
      <c r="C13" s="117"/>
      <c r="D13" s="117"/>
      <c r="E13" s="116" t="s">
        <v>197</v>
      </c>
      <c r="F13" s="67"/>
      <c r="G13" s="67"/>
      <c r="H13" s="67"/>
    </row>
    <row r="14" spans="1:8" ht="47.25" customHeight="1" x14ac:dyDescent="0.3">
      <c r="A14" s="132" t="s">
        <v>10</v>
      </c>
      <c r="B14" s="132"/>
      <c r="C14" s="13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Poddar Wondercity Phase - II, Survey No.28, S.No.29, H.No.1 &amp; 2, S.No.30, H.No.1,2,3,4&amp;8, S.No.31,H.No.11, near Poddar Brio International School, Neral - Badlapur Road, Joveli, Badlapur (East), Ambarnath, Thane.</v>
      </c>
      <c r="D14" s="132"/>
      <c r="E14" s="132"/>
      <c r="F14" s="132"/>
      <c r="G14" s="132"/>
      <c r="H14" s="132"/>
    </row>
    <row r="15" spans="1:8" x14ac:dyDescent="0.3">
      <c r="A15" s="132" t="s">
        <v>198</v>
      </c>
      <c r="B15" s="132"/>
      <c r="C15" s="116" t="s">
        <v>224</v>
      </c>
      <c r="D15" s="116"/>
      <c r="E15" s="116"/>
      <c r="F15" s="116"/>
      <c r="G15" s="116"/>
      <c r="H15" s="116"/>
    </row>
    <row r="16" spans="1:8" ht="15.75" customHeight="1" x14ac:dyDescent="0.3">
      <c r="A16" s="132" t="s">
        <v>11</v>
      </c>
      <c r="B16" s="132"/>
      <c r="C16" s="67" t="s">
        <v>222</v>
      </c>
      <c r="D16" s="67"/>
      <c r="E16" s="132" t="s">
        <v>104</v>
      </c>
      <c r="F16" s="132"/>
      <c r="G16" s="116" t="s">
        <v>199</v>
      </c>
      <c r="H16" s="116"/>
    </row>
    <row r="17" spans="1:8" x14ac:dyDescent="0.3">
      <c r="A17" s="117" t="s">
        <v>13</v>
      </c>
      <c r="B17" s="117"/>
      <c r="C17" s="116" t="s">
        <v>210</v>
      </c>
      <c r="D17" s="116"/>
      <c r="E17" s="132" t="s">
        <v>12</v>
      </c>
      <c r="F17" s="132"/>
      <c r="G17" s="144" t="s">
        <v>201</v>
      </c>
      <c r="H17" s="144"/>
    </row>
    <row r="18" spans="1:8" x14ac:dyDescent="0.3">
      <c r="A18" s="117" t="s">
        <v>105</v>
      </c>
      <c r="B18" s="117"/>
      <c r="C18" s="116" t="s">
        <v>200</v>
      </c>
      <c r="D18" s="116"/>
      <c r="E18" s="132" t="s">
        <v>14</v>
      </c>
      <c r="F18" s="132"/>
      <c r="G18" s="116">
        <v>421503</v>
      </c>
      <c r="H18" s="116"/>
    </row>
    <row r="19" spans="1:8" ht="32.25" customHeight="1" x14ac:dyDescent="0.3">
      <c r="A19" s="117" t="s">
        <v>161</v>
      </c>
      <c r="B19" s="117"/>
      <c r="C19" s="132" t="s">
        <v>203</v>
      </c>
      <c r="D19" s="132"/>
      <c r="E19" s="132" t="s">
        <v>15</v>
      </c>
      <c r="F19" s="132"/>
      <c r="G19" s="116" t="s">
        <v>202</v>
      </c>
      <c r="H19" s="116"/>
    </row>
    <row r="20" spans="1:8" ht="15" customHeight="1" x14ac:dyDescent="0.3">
      <c r="A20" s="132" t="s">
        <v>109</v>
      </c>
      <c r="B20" s="132"/>
      <c r="C20" s="132"/>
      <c r="D20" s="132"/>
      <c r="E20" s="67" t="s">
        <v>16</v>
      </c>
      <c r="F20" s="67"/>
      <c r="G20" s="67"/>
      <c r="H20" s="67"/>
    </row>
    <row r="21" spans="1:8" ht="18.75" customHeight="1" x14ac:dyDescent="0.3">
      <c r="A21" s="132"/>
      <c r="B21" s="132"/>
      <c r="C21" s="132"/>
      <c r="D21" s="132"/>
      <c r="E21" s="67"/>
      <c r="F21" s="67"/>
      <c r="G21" s="67"/>
      <c r="H21" s="67"/>
    </row>
    <row r="22" spans="1:8" ht="15" customHeight="1" x14ac:dyDescent="0.3">
      <c r="A22" s="132" t="s">
        <v>17</v>
      </c>
      <c r="B22" s="132"/>
      <c r="C22" s="132"/>
      <c r="D22" s="132"/>
      <c r="E22" s="116" t="s">
        <v>18</v>
      </c>
      <c r="F22" s="116"/>
      <c r="G22" s="116"/>
      <c r="H22" s="116"/>
    </row>
    <row r="23" spans="1:8" ht="15" customHeight="1" x14ac:dyDescent="0.3">
      <c r="A23" s="117" t="s">
        <v>19</v>
      </c>
      <c r="B23" s="117"/>
      <c r="C23" s="117"/>
      <c r="D23" s="117"/>
      <c r="E23" s="116" t="str">
        <f>IF(AND(G17="Mumbai"),"Upper Class","Middle Class")</f>
        <v>Middle Class</v>
      </c>
      <c r="F23" s="116"/>
      <c r="G23" s="116"/>
      <c r="H23" s="116"/>
    </row>
    <row r="24" spans="1:8" x14ac:dyDescent="0.3">
      <c r="A24" s="117" t="s">
        <v>20</v>
      </c>
      <c r="B24" s="117"/>
      <c r="C24" s="117"/>
      <c r="D24" s="117"/>
      <c r="E24" s="116" t="s">
        <v>21</v>
      </c>
      <c r="F24" s="116"/>
      <c r="G24" s="116"/>
      <c r="H24" s="116"/>
    </row>
    <row r="25" spans="1:8" ht="15.75" customHeight="1" x14ac:dyDescent="0.3">
      <c r="A25" s="117" t="s">
        <v>22</v>
      </c>
      <c r="B25" s="117"/>
      <c r="C25" s="117"/>
      <c r="D25" s="117"/>
      <c r="E25" s="116" t="str">
        <f>IF(AND(G17="Mumbai"),"Developed","Developing")</f>
        <v>Developing</v>
      </c>
      <c r="F25" s="116"/>
      <c r="G25" s="116"/>
      <c r="H25" s="116"/>
    </row>
    <row r="26" spans="1:8" x14ac:dyDescent="0.3">
      <c r="A26" s="117" t="s">
        <v>23</v>
      </c>
      <c r="B26" s="117"/>
      <c r="C26" s="117"/>
      <c r="D26" s="117"/>
      <c r="E26" s="116" t="s">
        <v>24</v>
      </c>
      <c r="F26" s="116"/>
      <c r="G26" s="116"/>
      <c r="H26" s="116"/>
    </row>
    <row r="27" spans="1:8" x14ac:dyDescent="0.3">
      <c r="A27" s="117" t="s">
        <v>116</v>
      </c>
      <c r="B27" s="117"/>
      <c r="C27" s="117"/>
      <c r="D27" s="117"/>
      <c r="E27" s="116" t="s">
        <v>117</v>
      </c>
      <c r="F27" s="116"/>
      <c r="G27" s="116"/>
      <c r="H27" s="116"/>
    </row>
    <row r="28" spans="1:8" ht="15" customHeight="1" x14ac:dyDescent="0.3">
      <c r="A28" s="132" t="s">
        <v>35</v>
      </c>
      <c r="B28" s="132"/>
      <c r="C28" s="132"/>
      <c r="D28" s="132"/>
      <c r="E28" s="133" t="s">
        <v>204</v>
      </c>
      <c r="F28" s="133"/>
      <c r="G28" s="133"/>
      <c r="H28" s="133"/>
    </row>
    <row r="29" spans="1:8" x14ac:dyDescent="0.3">
      <c r="A29" s="132" t="s">
        <v>128</v>
      </c>
      <c r="B29" s="132"/>
      <c r="C29" s="132"/>
      <c r="D29" s="132"/>
      <c r="E29" s="132" t="s">
        <v>36</v>
      </c>
      <c r="F29" s="132"/>
      <c r="G29" s="132"/>
      <c r="H29" s="132"/>
    </row>
    <row r="30" spans="1:8" s="33" customFormat="1" x14ac:dyDescent="0.3">
      <c r="A30" s="135" t="s">
        <v>129</v>
      </c>
      <c r="B30" s="135"/>
      <c r="C30" s="134" t="s">
        <v>29</v>
      </c>
      <c r="D30" s="134"/>
      <c r="E30" s="134"/>
      <c r="F30" s="134" t="s">
        <v>31</v>
      </c>
      <c r="G30" s="134"/>
      <c r="H30" s="134"/>
    </row>
    <row r="31" spans="1:8" s="33" customFormat="1" x14ac:dyDescent="0.3">
      <c r="A31" s="126" t="s">
        <v>25</v>
      </c>
      <c r="B31" s="126" t="s">
        <v>30</v>
      </c>
      <c r="C31" s="89" t="s">
        <v>30</v>
      </c>
      <c r="D31" s="89"/>
      <c r="E31" s="89"/>
      <c r="F31" s="89" t="s">
        <v>211</v>
      </c>
      <c r="G31" s="89"/>
      <c r="H31" s="89"/>
    </row>
    <row r="32" spans="1:8" x14ac:dyDescent="0.3">
      <c r="A32" s="126" t="s">
        <v>26</v>
      </c>
      <c r="B32" s="126" t="s">
        <v>30</v>
      </c>
      <c r="C32" s="89" t="s">
        <v>30</v>
      </c>
      <c r="D32" s="89"/>
      <c r="E32" s="89"/>
      <c r="F32" s="89" t="s">
        <v>212</v>
      </c>
      <c r="G32" s="89"/>
      <c r="H32" s="89"/>
    </row>
    <row r="33" spans="1:8" s="33" customFormat="1" x14ac:dyDescent="0.3">
      <c r="A33" s="126" t="s">
        <v>28</v>
      </c>
      <c r="B33" s="126" t="s">
        <v>30</v>
      </c>
      <c r="C33" s="89" t="s">
        <v>30</v>
      </c>
      <c r="D33" s="89"/>
      <c r="E33" s="89"/>
      <c r="F33" s="89" t="s">
        <v>212</v>
      </c>
      <c r="G33" s="89"/>
      <c r="H33" s="89"/>
    </row>
    <row r="34" spans="1:8" x14ac:dyDescent="0.3">
      <c r="A34" s="126" t="s">
        <v>27</v>
      </c>
      <c r="B34" s="126" t="s">
        <v>30</v>
      </c>
      <c r="C34" s="89" t="s">
        <v>30</v>
      </c>
      <c r="D34" s="89"/>
      <c r="E34" s="89"/>
      <c r="F34" s="89" t="s">
        <v>212</v>
      </c>
      <c r="G34" s="89"/>
      <c r="H34" s="89"/>
    </row>
    <row r="35" spans="1:8" x14ac:dyDescent="0.3">
      <c r="A35" s="117" t="s">
        <v>32</v>
      </c>
      <c r="B35" s="117"/>
      <c r="C35" s="117"/>
      <c r="D35" s="117"/>
      <c r="E35" s="117"/>
      <c r="F35" s="117"/>
      <c r="G35" s="117"/>
      <c r="H35" s="117"/>
    </row>
    <row r="36" spans="1:8" ht="15.75" customHeight="1" x14ac:dyDescent="0.3">
      <c r="A36" s="108" t="s">
        <v>33</v>
      </c>
      <c r="B36" s="108"/>
      <c r="C36" s="121">
        <v>19.138600100000001</v>
      </c>
      <c r="D36" s="121"/>
      <c r="E36" s="108" t="s">
        <v>34</v>
      </c>
      <c r="F36" s="108"/>
      <c r="G36" s="122">
        <v>73.247832500000001</v>
      </c>
      <c r="H36" s="122"/>
    </row>
    <row r="37" spans="1:8" ht="15.75" customHeight="1" x14ac:dyDescent="0.3">
      <c r="A37" s="108" t="s">
        <v>243</v>
      </c>
      <c r="B37" s="108"/>
      <c r="C37" s="129" t="s">
        <v>244</v>
      </c>
      <c r="D37" s="130"/>
      <c r="E37" s="130"/>
      <c r="F37" s="130"/>
      <c r="G37" s="130"/>
      <c r="H37" s="131"/>
    </row>
    <row r="38" spans="1:8" x14ac:dyDescent="0.3">
      <c r="A38" s="128" t="s">
        <v>37</v>
      </c>
      <c r="B38" s="128"/>
      <c r="C38" s="128"/>
      <c r="D38" s="128"/>
      <c r="E38" s="128"/>
      <c r="F38" s="128"/>
      <c r="G38" s="128"/>
      <c r="H38" s="128"/>
    </row>
    <row r="39" spans="1:8" x14ac:dyDescent="0.3">
      <c r="A39" s="117" t="s">
        <v>38</v>
      </c>
      <c r="B39" s="117"/>
      <c r="C39" s="117"/>
      <c r="D39" s="117"/>
      <c r="E39" s="127">
        <v>85590.3</v>
      </c>
      <c r="F39" s="127"/>
      <c r="G39" s="127"/>
      <c r="H39" s="127"/>
    </row>
    <row r="40" spans="1:8" x14ac:dyDescent="0.3">
      <c r="A40" s="117" t="s">
        <v>39</v>
      </c>
      <c r="B40" s="117"/>
      <c r="C40" s="117"/>
      <c r="D40" s="117"/>
      <c r="E40" s="118">
        <v>1</v>
      </c>
      <c r="F40" s="118"/>
      <c r="G40" s="118"/>
      <c r="H40" s="118"/>
    </row>
    <row r="41" spans="1:8" x14ac:dyDescent="0.3">
      <c r="A41" s="117" t="s">
        <v>40</v>
      </c>
      <c r="B41" s="117"/>
      <c r="C41" s="117"/>
      <c r="D41" s="117"/>
      <c r="E41" s="118">
        <f>E43/E39-E40</f>
        <v>0</v>
      </c>
      <c r="F41" s="118"/>
      <c r="G41" s="118"/>
      <c r="H41" s="118"/>
    </row>
    <row r="42" spans="1:8" x14ac:dyDescent="0.3">
      <c r="A42" s="117" t="s">
        <v>41</v>
      </c>
      <c r="B42" s="117"/>
      <c r="C42" s="117"/>
      <c r="D42" s="117"/>
      <c r="E42" s="118">
        <f>E40+E41</f>
        <v>1</v>
      </c>
      <c r="F42" s="118"/>
      <c r="G42" s="118"/>
      <c r="H42" s="118"/>
    </row>
    <row r="43" spans="1:8" x14ac:dyDescent="0.3">
      <c r="A43" s="117" t="s">
        <v>127</v>
      </c>
      <c r="B43" s="117"/>
      <c r="C43" s="117"/>
      <c r="D43" s="117"/>
      <c r="E43" s="119">
        <v>85590.3</v>
      </c>
      <c r="F43" s="119"/>
      <c r="G43" s="119"/>
      <c r="H43" s="119"/>
    </row>
    <row r="44" spans="1:8" x14ac:dyDescent="0.3">
      <c r="A44" s="67" t="s">
        <v>42</v>
      </c>
      <c r="B44" s="67"/>
      <c r="C44" s="67"/>
      <c r="D44" s="67"/>
      <c r="E44" s="67" t="s">
        <v>242</v>
      </c>
      <c r="F44" s="67"/>
      <c r="G44" s="67"/>
      <c r="H44" s="67"/>
    </row>
    <row r="45" spans="1:8" x14ac:dyDescent="0.3">
      <c r="A45" s="81" t="s">
        <v>43</v>
      </c>
      <c r="B45" s="81"/>
      <c r="C45" s="81"/>
      <c r="D45" s="81"/>
      <c r="E45" s="81"/>
      <c r="F45" s="81"/>
      <c r="G45" s="81"/>
      <c r="H45" s="81"/>
    </row>
    <row r="46" spans="1:8" x14ac:dyDescent="0.3">
      <c r="A46" s="116" t="s">
        <v>44</v>
      </c>
      <c r="B46" s="116"/>
      <c r="C46" s="116" t="s">
        <v>205</v>
      </c>
      <c r="D46" s="116"/>
      <c r="E46" s="116"/>
      <c r="F46" s="24" t="s">
        <v>45</v>
      </c>
      <c r="G46" s="120">
        <v>44323</v>
      </c>
      <c r="H46" s="120"/>
    </row>
    <row r="47" spans="1:8" x14ac:dyDescent="0.3">
      <c r="A47" s="67" t="s">
        <v>46</v>
      </c>
      <c r="B47" s="67"/>
      <c r="C47" s="116" t="str">
        <f>C46</f>
        <v>KBNP/NRV/BP/3851-33</v>
      </c>
      <c r="D47" s="116"/>
      <c r="E47" s="116"/>
      <c r="F47" s="24" t="s">
        <v>45</v>
      </c>
      <c r="G47" s="120">
        <f>G46</f>
        <v>44323</v>
      </c>
      <c r="H47" s="120"/>
    </row>
    <row r="48" spans="1:8" s="35" customFormat="1" x14ac:dyDescent="0.3">
      <c r="A48" s="116" t="s">
        <v>47</v>
      </c>
      <c r="B48" s="116"/>
      <c r="C48" s="116" t="s">
        <v>225</v>
      </c>
      <c r="D48" s="67"/>
      <c r="E48" s="67"/>
      <c r="F48" s="34" t="s">
        <v>45</v>
      </c>
      <c r="G48" s="120">
        <f>G47</f>
        <v>44323</v>
      </c>
      <c r="H48" s="120"/>
    </row>
    <row r="49" spans="1:14" s="35" customFormat="1" x14ac:dyDescent="0.3">
      <c r="A49" s="116"/>
      <c r="B49" s="116"/>
      <c r="C49" s="123" t="s">
        <v>226</v>
      </c>
      <c r="D49" s="124"/>
      <c r="E49" s="124"/>
      <c r="F49" s="124"/>
      <c r="G49" s="124"/>
      <c r="H49" s="125"/>
    </row>
    <row r="50" spans="1:14" x14ac:dyDescent="0.3">
      <c r="A50" s="79" t="s">
        <v>48</v>
      </c>
      <c r="B50" s="79"/>
      <c r="C50" s="79" t="s">
        <v>142</v>
      </c>
      <c r="D50" s="81"/>
      <c r="E50" s="81" t="s">
        <v>49</v>
      </c>
      <c r="F50" s="28" t="s">
        <v>45</v>
      </c>
      <c r="G50" s="142" t="s">
        <v>30</v>
      </c>
      <c r="H50" s="142"/>
    </row>
    <row r="51" spans="1:14" x14ac:dyDescent="0.3">
      <c r="A51" s="141" t="s">
        <v>51</v>
      </c>
      <c r="B51" s="141"/>
      <c r="C51" s="141"/>
      <c r="D51" s="141"/>
      <c r="E51" s="141"/>
      <c r="F51" s="141"/>
      <c r="G51" s="141"/>
      <c r="H51" s="141"/>
    </row>
    <row r="52" spans="1:14" x14ac:dyDescent="0.3">
      <c r="A52" s="116" t="s">
        <v>126</v>
      </c>
      <c r="B52" s="116"/>
      <c r="C52" s="116"/>
      <c r="D52" s="67">
        <v>25924.62</v>
      </c>
      <c r="E52" s="67"/>
      <c r="F52" s="67"/>
      <c r="G52" s="67"/>
      <c r="H52" s="67"/>
    </row>
    <row r="53" spans="1:14" x14ac:dyDescent="0.3">
      <c r="A53" s="116" t="s">
        <v>52</v>
      </c>
      <c r="B53" s="67"/>
      <c r="C53" s="67"/>
      <c r="D53" s="67" t="s">
        <v>206</v>
      </c>
      <c r="E53" s="67"/>
      <c r="F53" s="67"/>
      <c r="G53" s="67"/>
      <c r="H53" s="67"/>
      <c r="I53" s="36"/>
    </row>
    <row r="54" spans="1:14" ht="15.75" customHeight="1" x14ac:dyDescent="0.3">
      <c r="A54" s="138" t="s">
        <v>53</v>
      </c>
      <c r="B54" s="139"/>
      <c r="C54" s="140"/>
      <c r="D54" s="137" t="s">
        <v>227</v>
      </c>
      <c r="E54" s="137"/>
      <c r="F54" s="137"/>
      <c r="G54" s="137"/>
      <c r="H54" s="137"/>
    </row>
    <row r="55" spans="1:14" ht="15.75" customHeight="1" x14ac:dyDescent="0.3">
      <c r="A55" s="116" t="s">
        <v>124</v>
      </c>
      <c r="B55" s="116"/>
      <c r="C55" s="116"/>
      <c r="D55" s="152" t="s">
        <v>218</v>
      </c>
      <c r="E55" s="152"/>
      <c r="F55" s="152"/>
      <c r="G55" s="152"/>
      <c r="H55" s="153"/>
    </row>
    <row r="56" spans="1:14" ht="15.75" customHeight="1" x14ac:dyDescent="0.3">
      <c r="A56" s="116"/>
      <c r="B56" s="116"/>
      <c r="C56" s="116"/>
      <c r="D56" s="154" t="s">
        <v>219</v>
      </c>
      <c r="E56" s="154"/>
      <c r="F56" s="154"/>
      <c r="G56" s="154"/>
      <c r="H56" s="154"/>
    </row>
    <row r="57" spans="1:14" ht="15.75" customHeight="1" x14ac:dyDescent="0.3">
      <c r="A57" s="116"/>
      <c r="B57" s="116"/>
      <c r="C57" s="116"/>
      <c r="D57" s="154" t="s">
        <v>220</v>
      </c>
      <c r="E57" s="154"/>
      <c r="F57" s="154"/>
      <c r="G57" s="154"/>
      <c r="H57" s="156"/>
    </row>
    <row r="58" spans="1:14" ht="15.75" customHeight="1" x14ac:dyDescent="0.3">
      <c r="A58" s="67" t="s">
        <v>50</v>
      </c>
      <c r="B58" s="67"/>
      <c r="C58" s="67"/>
      <c r="D58" s="116" t="s">
        <v>207</v>
      </c>
      <c r="E58" s="116"/>
      <c r="F58" s="116"/>
      <c r="G58" s="116"/>
      <c r="H58" s="116"/>
      <c r="J58" s="37"/>
      <c r="K58" s="36"/>
      <c r="N58" s="36"/>
    </row>
    <row r="59" spans="1:14" ht="15.75" customHeight="1" x14ac:dyDescent="0.3">
      <c r="A59" s="67" t="s">
        <v>122</v>
      </c>
      <c r="B59" s="67"/>
      <c r="C59" s="67"/>
      <c r="D59" s="155" t="str">
        <f>(IF(G50="NA","60 Years After Completion",IF(G50&lt;&gt;"NA",""&amp;60-ROUNDDOWN((E3-G50)/360,0)&amp;" Years"," ")))</f>
        <v>60 Years After Completion</v>
      </c>
      <c r="E59" s="155"/>
      <c r="F59" s="155"/>
      <c r="G59" s="155"/>
      <c r="H59" s="155"/>
      <c r="N59" s="36"/>
    </row>
    <row r="60" spans="1:14" ht="15.75" customHeight="1" x14ac:dyDescent="0.3">
      <c r="A60" s="117" t="s">
        <v>123</v>
      </c>
      <c r="B60" s="117"/>
      <c r="C60" s="117"/>
      <c r="D60" s="132" t="s">
        <v>24</v>
      </c>
      <c r="E60" s="132"/>
      <c r="F60" s="132"/>
      <c r="G60" s="132"/>
      <c r="H60" s="132"/>
      <c r="J60" s="21"/>
      <c r="K60" s="21"/>
    </row>
    <row r="61" spans="1:14" ht="16.2" thickBot="1" x14ac:dyDescent="0.35">
      <c r="A61" s="143" t="s">
        <v>121</v>
      </c>
      <c r="B61" s="143"/>
      <c r="C61" s="143"/>
      <c r="D61" s="157" t="str">
        <f ca="1">(IF(G66&gt;95%,"Nothing",IF(G66&gt;0%,"Cement, Aggregate, Steel, etc",IF(G66=0%,"Work not yet Started"))))</f>
        <v>Cement, Aggregate, Steel, etc</v>
      </c>
      <c r="E61" s="157"/>
      <c r="F61" s="157"/>
      <c r="G61" s="157"/>
      <c r="H61" s="157"/>
      <c r="J61" s="21"/>
    </row>
    <row r="62" spans="1:14" ht="15.75" customHeight="1" x14ac:dyDescent="0.3">
      <c r="A62" s="92" t="s">
        <v>179</v>
      </c>
      <c r="B62" s="93"/>
      <c r="C62" s="94" t="s">
        <v>238</v>
      </c>
      <c r="D62" s="95"/>
      <c r="E62" s="95"/>
      <c r="F62" s="95"/>
      <c r="G62" s="95"/>
      <c r="H62" s="96"/>
      <c r="I62" s="20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upto 7 Slab, Brickwork upto 6 Floor, Internal Plaster upto 4.5 Floor, External Plaster upto 3.6 Floor Completed</v>
      </c>
      <c r="J62" s="38"/>
    </row>
    <row r="63" spans="1:14" x14ac:dyDescent="0.3">
      <c r="A63" s="31" t="s">
        <v>181</v>
      </c>
      <c r="B63" s="30">
        <v>0</v>
      </c>
      <c r="C63" s="30" t="s">
        <v>103</v>
      </c>
      <c r="D63" s="30">
        <v>1</v>
      </c>
      <c r="E63" s="30" t="s">
        <v>102</v>
      </c>
      <c r="F63" s="30">
        <v>0</v>
      </c>
      <c r="G63" s="30" t="s">
        <v>115</v>
      </c>
      <c r="H63" s="23">
        <f ca="1">--TRIM(RIGHT(SUBSTITUTE(LEFT(C62,_xlfn.AGGREGATE(16,6,FIND({0,1,2,3,4,5,6,7,8,9},C62,ROW(INDIRECT("1:"&amp;LEN(C62)))),1))," ",REPT(" ",LEN(C62))),LEN(C62)))</f>
        <v>23</v>
      </c>
      <c r="I63" s="21"/>
      <c r="J63" s="39"/>
    </row>
    <row r="64" spans="1:14" ht="33" customHeight="1" x14ac:dyDescent="0.3">
      <c r="A64" s="186" t="s">
        <v>125</v>
      </c>
      <c r="B64" s="187"/>
      <c r="C64" s="183" t="str">
        <f ca="1">I62</f>
        <v>Excavation work Completed. Plinth work completed, RCC upto 7 Slab, Brickwork upto 6 Floor, Internal Plaster upto 4.5 Floor, External Plaster upto 3.6 Floor Completed</v>
      </c>
      <c r="D64" s="184"/>
      <c r="E64" s="184"/>
      <c r="F64" s="184"/>
      <c r="G64" s="184"/>
      <c r="H64" s="185"/>
      <c r="I64" s="21" t="s">
        <v>141</v>
      </c>
      <c r="J64" s="39"/>
    </row>
    <row r="65" spans="1:10" ht="15.75" customHeight="1" x14ac:dyDescent="0.3">
      <c r="A65" s="62" t="s">
        <v>54</v>
      </c>
      <c r="B65" s="63"/>
      <c r="C65" s="27" t="s">
        <v>178</v>
      </c>
      <c r="D65" s="27" t="s">
        <v>118</v>
      </c>
      <c r="E65" s="181" t="s">
        <v>120</v>
      </c>
      <c r="F65" s="63"/>
      <c r="G65" s="181" t="s">
        <v>119</v>
      </c>
      <c r="H65" s="182"/>
      <c r="I65" s="19" t="s">
        <v>180</v>
      </c>
      <c r="J65" s="40">
        <f ca="1">H63*25%</f>
        <v>5.75</v>
      </c>
    </row>
    <row r="66" spans="1:10" x14ac:dyDescent="0.3">
      <c r="A66" s="62" t="s">
        <v>167</v>
      </c>
      <c r="B66" s="63"/>
      <c r="C66" s="41">
        <f ca="1">J67</f>
        <v>23</v>
      </c>
      <c r="D66" s="42">
        <f ca="1">((100/H63)*C66)/100</f>
        <v>1</v>
      </c>
      <c r="E66" s="169">
        <f ca="1">(((C67/H63*10)+(40/(D63+F63+H63)*C68)+(7.5/(H63)*C69)+(7.5/(H63)*C70)+(10/H63*C71)+(10/H63*C72)+(5/H63*C73)+(5/H63*C74)+(5/H63*C75))/100)</f>
        <v>0.26655797101449274</v>
      </c>
      <c r="F66" s="175"/>
      <c r="G66" s="169">
        <f ca="1">((((C66/H63)*20)+((C67/H63)*25)+(30/(H63+F63+D63)*C68)+(5/H63*C69)+(5/H63*C70)+(5/H63*C71)+(5/H63*C72)+(0/H63*C73)+(0/H63*C74)+(5/H63*C75))/100)</f>
        <v>0.5681521739130434</v>
      </c>
      <c r="H66" s="170"/>
      <c r="I66" s="19" t="s">
        <v>136</v>
      </c>
      <c r="J66" s="43">
        <f ca="1">H63*50%</f>
        <v>11.5</v>
      </c>
    </row>
    <row r="67" spans="1:10" x14ac:dyDescent="0.3">
      <c r="A67" s="62" t="s">
        <v>55</v>
      </c>
      <c r="B67" s="63"/>
      <c r="C67" s="44">
        <f ca="1">J75</f>
        <v>23</v>
      </c>
      <c r="D67" s="42">
        <f ca="1">((100/H63)*C67)/100</f>
        <v>1</v>
      </c>
      <c r="E67" s="171"/>
      <c r="F67" s="176"/>
      <c r="G67" s="171"/>
      <c r="H67" s="172"/>
      <c r="I67" s="19" t="s">
        <v>137</v>
      </c>
      <c r="J67" s="43">
        <f ca="1">H63</f>
        <v>23</v>
      </c>
    </row>
    <row r="68" spans="1:10" x14ac:dyDescent="0.3">
      <c r="A68" s="167" t="s">
        <v>168</v>
      </c>
      <c r="B68" s="168"/>
      <c r="C68" s="44">
        <v>7</v>
      </c>
      <c r="D68" s="42">
        <f ca="1">((100/(D63+F63+H63))*C68)/100</f>
        <v>0.29166666666666669</v>
      </c>
      <c r="E68" s="171"/>
      <c r="F68" s="176"/>
      <c r="G68" s="171"/>
      <c r="H68" s="172"/>
      <c r="I68" s="19" t="s">
        <v>138</v>
      </c>
      <c r="J68" s="45">
        <f ca="1">(IF(B63&gt;1,(H63/(B63+2)),H63/4))</f>
        <v>5.75</v>
      </c>
    </row>
    <row r="69" spans="1:10" ht="15.75" customHeight="1" x14ac:dyDescent="0.3">
      <c r="A69" s="62" t="s">
        <v>175</v>
      </c>
      <c r="B69" s="63" t="s">
        <v>169</v>
      </c>
      <c r="C69" s="44">
        <f>C68-1</f>
        <v>6</v>
      </c>
      <c r="D69" s="42">
        <f ca="1">((100/H63)*C69)/100</f>
        <v>0.2608695652173913</v>
      </c>
      <c r="E69" s="171"/>
      <c r="F69" s="176"/>
      <c r="G69" s="171"/>
      <c r="H69" s="172"/>
      <c r="I69" s="19" t="s">
        <v>139</v>
      </c>
      <c r="J69" s="45">
        <f ca="1">(IF(B63&gt;1,(H63/(B63+2)+J68),H63/4+J68))</f>
        <v>11.5</v>
      </c>
    </row>
    <row r="70" spans="1:10" ht="15.75" customHeight="1" x14ac:dyDescent="0.3">
      <c r="A70" s="62" t="s">
        <v>176</v>
      </c>
      <c r="B70" s="63" t="s">
        <v>169</v>
      </c>
      <c r="C70" s="44">
        <f>C69*0.75</f>
        <v>4.5</v>
      </c>
      <c r="D70" s="42">
        <f ca="1">((100/H63)*C70)/100</f>
        <v>0.19565217391304349</v>
      </c>
      <c r="E70" s="171"/>
      <c r="F70" s="176"/>
      <c r="G70" s="171"/>
      <c r="H70" s="172"/>
      <c r="I70" s="19" t="s">
        <v>185</v>
      </c>
      <c r="J70" s="45">
        <f>(IF(B63&gt;1,(H63/(B63+2)+J69),0))</f>
        <v>0</v>
      </c>
    </row>
    <row r="71" spans="1:10" ht="15.75" customHeight="1" x14ac:dyDescent="0.3">
      <c r="A71" s="62" t="s">
        <v>174</v>
      </c>
      <c r="B71" s="63"/>
      <c r="C71" s="44">
        <f>C69*0.6</f>
        <v>3.5999999999999996</v>
      </c>
      <c r="D71" s="42">
        <f ca="1">((100/(H63))*C71)/100</f>
        <v>0.15652173913043477</v>
      </c>
      <c r="E71" s="171"/>
      <c r="F71" s="176"/>
      <c r="G71" s="171"/>
      <c r="H71" s="172"/>
      <c r="I71" s="19" t="s">
        <v>182</v>
      </c>
      <c r="J71" s="45">
        <f>(IF(B63&gt;2,(H63/(B63+2)+J70),0))</f>
        <v>0</v>
      </c>
    </row>
    <row r="72" spans="1:10" ht="15.75" customHeight="1" x14ac:dyDescent="0.3">
      <c r="A72" s="62" t="s">
        <v>170</v>
      </c>
      <c r="B72" s="63" t="s">
        <v>170</v>
      </c>
      <c r="C72" s="41">
        <v>0</v>
      </c>
      <c r="D72" s="42">
        <f ca="1">((100/H63)*C72)/100</f>
        <v>0</v>
      </c>
      <c r="E72" s="171"/>
      <c r="F72" s="176"/>
      <c r="G72" s="171"/>
      <c r="H72" s="172"/>
      <c r="I72" s="19" t="s">
        <v>183</v>
      </c>
      <c r="J72" s="46">
        <f>(IF(B63&gt;3,(H63/(B63+2)+J71),0))</f>
        <v>0</v>
      </c>
    </row>
    <row r="73" spans="1:10" ht="15.75" customHeight="1" x14ac:dyDescent="0.3">
      <c r="A73" s="62" t="s">
        <v>177</v>
      </c>
      <c r="B73" s="63"/>
      <c r="C73" s="41">
        <v>0</v>
      </c>
      <c r="D73" s="42">
        <f ca="1">((100/H63)*C73)/100</f>
        <v>0</v>
      </c>
      <c r="E73" s="171"/>
      <c r="F73" s="176"/>
      <c r="G73" s="171"/>
      <c r="H73" s="172"/>
      <c r="I73" s="19" t="s">
        <v>184</v>
      </c>
      <c r="J73" s="45">
        <f>(IF(B63&gt;4,(H63/(B63+2)+J72),0))</f>
        <v>0</v>
      </c>
    </row>
    <row r="74" spans="1:10" ht="15.75" customHeight="1" x14ac:dyDescent="0.3">
      <c r="A74" s="62" t="s">
        <v>172</v>
      </c>
      <c r="B74" s="63" t="s">
        <v>172</v>
      </c>
      <c r="C74" s="41">
        <v>0</v>
      </c>
      <c r="D74" s="42">
        <f ca="1">((100/(H63))*C74)/100</f>
        <v>0</v>
      </c>
      <c r="E74" s="171"/>
      <c r="F74" s="176"/>
      <c r="G74" s="171"/>
      <c r="H74" s="172"/>
      <c r="I74" s="19" t="s">
        <v>186</v>
      </c>
      <c r="J74" s="45">
        <f ca="1">(IF(B63=1,(H63/(B63+3)+J69),IF(B63=0,(H63/4+J69),IF(B63&gt;1,0))))</f>
        <v>17.25</v>
      </c>
    </row>
    <row r="75" spans="1:10" ht="16.2" thickBot="1" x14ac:dyDescent="0.35">
      <c r="A75" s="165" t="s">
        <v>173</v>
      </c>
      <c r="B75" s="166"/>
      <c r="C75" s="47">
        <v>0</v>
      </c>
      <c r="D75" s="48">
        <f ca="1">((100/(H63))*C75)/100</f>
        <v>0</v>
      </c>
      <c r="E75" s="173"/>
      <c r="F75" s="177"/>
      <c r="G75" s="173"/>
      <c r="H75" s="174"/>
      <c r="I75" s="22" t="s">
        <v>140</v>
      </c>
      <c r="J75" s="49">
        <f ca="1">(IF(B63&gt;1.5,(H63/(B63+2)+J69+MAX(0,J70-J69)+MAX(0,J71-J70)+MAX(0,J72-J71)+MAX(0,J73-J72)+MAX(0,J74-J73)),IF(B63=1,(H63/(B63+3)+J74),IF(B63=0,H63/4+J74))))</f>
        <v>23</v>
      </c>
    </row>
    <row r="76" spans="1:10" x14ac:dyDescent="0.3">
      <c r="A76" s="92" t="s">
        <v>179</v>
      </c>
      <c r="B76" s="93"/>
      <c r="C76" s="94" t="s">
        <v>239</v>
      </c>
      <c r="D76" s="95"/>
      <c r="E76" s="95"/>
      <c r="F76" s="95"/>
      <c r="G76" s="95"/>
      <c r="H76" s="96"/>
      <c r="I76" s="20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upto 10 Slab, Brickwork upto 9 Floor, Internal Plaster upto 7 Floor, External Plaster upto 5.4 Floor Completed</v>
      </c>
      <c r="J76" s="38"/>
    </row>
    <row r="77" spans="1:10" x14ac:dyDescent="0.3">
      <c r="A77" s="31" t="s">
        <v>181</v>
      </c>
      <c r="B77" s="30">
        <v>0</v>
      </c>
      <c r="C77" s="30" t="s">
        <v>103</v>
      </c>
      <c r="D77" s="30">
        <v>1</v>
      </c>
      <c r="E77" s="30" t="s">
        <v>102</v>
      </c>
      <c r="F77" s="30">
        <v>0</v>
      </c>
      <c r="G77" s="30" t="s">
        <v>115</v>
      </c>
      <c r="H77" s="23">
        <f ca="1">--TRIM(RIGHT(SUBSTITUTE(LEFT(C76,_xlfn.AGGREGATE(16,6,FIND({0,1,2,3,4,5,6,7,8,9},C76,ROW(INDIRECT("1:"&amp;LEN(C76)))),1))," ",REPT(" ",LEN(C76))),LEN(C76)))</f>
        <v>23</v>
      </c>
      <c r="I77" s="21"/>
      <c r="J77" s="39"/>
    </row>
    <row r="78" spans="1:10" ht="33.75" customHeight="1" x14ac:dyDescent="0.3">
      <c r="A78" s="80" t="s">
        <v>125</v>
      </c>
      <c r="B78" s="81"/>
      <c r="C78" s="79" t="str">
        <f ca="1">I76</f>
        <v>Excavation work Completed. Plinth work completed, RCC upto 10 Slab, Brickwork upto 9 Floor, Internal Plaster upto 7 Floor, External Plaster upto 5.4 Floor Completed</v>
      </c>
      <c r="D78" s="79"/>
      <c r="E78" s="79"/>
      <c r="F78" s="79"/>
      <c r="G78" s="79"/>
      <c r="H78" s="82"/>
      <c r="I78" s="21" t="s">
        <v>141</v>
      </c>
      <c r="J78" s="39"/>
    </row>
    <row r="79" spans="1:10" ht="15.75" customHeight="1" x14ac:dyDescent="0.3">
      <c r="A79" s="77" t="s">
        <v>54</v>
      </c>
      <c r="B79" s="78"/>
      <c r="C79" s="27" t="s">
        <v>178</v>
      </c>
      <c r="D79" s="27" t="s">
        <v>118</v>
      </c>
      <c r="E79" s="78" t="s">
        <v>120</v>
      </c>
      <c r="F79" s="78"/>
      <c r="G79" s="78" t="s">
        <v>119</v>
      </c>
      <c r="H79" s="83"/>
      <c r="I79" s="19" t="s">
        <v>180</v>
      </c>
      <c r="J79" s="40">
        <f ca="1">H77*25%</f>
        <v>5.75</v>
      </c>
    </row>
    <row r="80" spans="1:10" x14ac:dyDescent="0.3">
      <c r="A80" s="77" t="s">
        <v>167</v>
      </c>
      <c r="B80" s="78"/>
      <c r="C80" s="41">
        <f ca="1">J81</f>
        <v>23</v>
      </c>
      <c r="D80" s="42">
        <f ca="1">((100/H77)*C80)/100</f>
        <v>1</v>
      </c>
      <c r="E80" s="84">
        <f ca="1">(((C81/H77*10)+(40/(D77+F77+H77)*C82)+(7.5/(H77)*C83)+(7.5/(H77)*C84)+(10/H77*C85)+(10/H77*C86)+(5/H77*C87)+(5/H77*C88)+(5/H77*C89))/100)</f>
        <v>0.34231884057971018</v>
      </c>
      <c r="F80" s="84"/>
      <c r="G80" s="84">
        <f ca="1">((((C80/H77)*20)+((C81/H77)*25)+(30/(H77+F77+D77)*C82)+(5/H77*C83)+(5/H77*C84)+(5/H77*C85)+(5/H77*C86)+(0/H77*C87)+(0/H77*C88)+(5/H77*C89))/100)</f>
        <v>0.62152173913043474</v>
      </c>
      <c r="H80" s="86"/>
      <c r="I80" s="19" t="s">
        <v>136</v>
      </c>
      <c r="J80" s="43">
        <f ca="1">H77*50%</f>
        <v>11.5</v>
      </c>
    </row>
    <row r="81" spans="1:10" x14ac:dyDescent="0.3">
      <c r="A81" s="77" t="s">
        <v>55</v>
      </c>
      <c r="B81" s="78"/>
      <c r="C81" s="44">
        <f ca="1">J89</f>
        <v>23</v>
      </c>
      <c r="D81" s="42">
        <f ca="1">((100/H77)*C81)/100</f>
        <v>1</v>
      </c>
      <c r="E81" s="84"/>
      <c r="F81" s="84"/>
      <c r="G81" s="84"/>
      <c r="H81" s="86"/>
      <c r="I81" s="19" t="s">
        <v>137</v>
      </c>
      <c r="J81" s="43">
        <f ca="1">H77</f>
        <v>23</v>
      </c>
    </row>
    <row r="82" spans="1:10" ht="15.75" customHeight="1" x14ac:dyDescent="0.3">
      <c r="A82" s="88" t="s">
        <v>168</v>
      </c>
      <c r="B82" s="89"/>
      <c r="C82" s="44">
        <v>10</v>
      </c>
      <c r="D82" s="42">
        <f ca="1">((100/(D77+F77+H77))*C82)/100</f>
        <v>0.41666666666666674</v>
      </c>
      <c r="E82" s="84"/>
      <c r="F82" s="84"/>
      <c r="G82" s="84"/>
      <c r="H82" s="86"/>
      <c r="I82" s="19" t="s">
        <v>138</v>
      </c>
      <c r="J82" s="45">
        <f ca="1">(IF(B77&gt;1,(H77/(B77+2)),H77/4))</f>
        <v>5.75</v>
      </c>
    </row>
    <row r="83" spans="1:10" ht="15.75" customHeight="1" x14ac:dyDescent="0.3">
      <c r="A83" s="77" t="s">
        <v>175</v>
      </c>
      <c r="B83" s="78" t="s">
        <v>169</v>
      </c>
      <c r="C83" s="44">
        <f>C82-1</f>
        <v>9</v>
      </c>
      <c r="D83" s="42">
        <f ca="1">((100/H77)*C83)/100</f>
        <v>0.39130434782608697</v>
      </c>
      <c r="E83" s="84"/>
      <c r="F83" s="84"/>
      <c r="G83" s="84"/>
      <c r="H83" s="86"/>
      <c r="I83" s="19" t="s">
        <v>139</v>
      </c>
      <c r="J83" s="45">
        <f ca="1">(IF(B77&gt;1,(H77/(B77+2)+J82),H77/4+J82))</f>
        <v>11.5</v>
      </c>
    </row>
    <row r="84" spans="1:10" ht="15.75" customHeight="1" x14ac:dyDescent="0.3">
      <c r="A84" s="77" t="s">
        <v>176</v>
      </c>
      <c r="B84" s="78" t="s">
        <v>169</v>
      </c>
      <c r="C84" s="44">
        <f>C82*0.7</f>
        <v>7</v>
      </c>
      <c r="D84" s="42">
        <f ca="1">((100/H77)*C84)/100</f>
        <v>0.30434782608695649</v>
      </c>
      <c r="E84" s="84"/>
      <c r="F84" s="84"/>
      <c r="G84" s="84"/>
      <c r="H84" s="86"/>
      <c r="I84" s="19" t="s">
        <v>185</v>
      </c>
      <c r="J84" s="45">
        <f>(IF(B77&gt;1,(H77/(B77+2)+J83),0))</f>
        <v>0</v>
      </c>
    </row>
    <row r="85" spans="1:10" ht="15" customHeight="1" x14ac:dyDescent="0.3">
      <c r="A85" s="77" t="s">
        <v>174</v>
      </c>
      <c r="B85" s="78" t="s">
        <v>171</v>
      </c>
      <c r="C85" s="44">
        <f>C83*0.6</f>
        <v>5.3999999999999995</v>
      </c>
      <c r="D85" s="42">
        <f ca="1">((100/(H77))*C85)/100</f>
        <v>0.23478260869565215</v>
      </c>
      <c r="E85" s="84"/>
      <c r="F85" s="84"/>
      <c r="G85" s="84"/>
      <c r="H85" s="86"/>
      <c r="I85" s="19" t="s">
        <v>182</v>
      </c>
      <c r="J85" s="45">
        <f>(IF(B77&gt;2,(H77/(B77+2)+J84),0))</f>
        <v>0</v>
      </c>
    </row>
    <row r="86" spans="1:10" ht="15.75" customHeight="1" x14ac:dyDescent="0.3">
      <c r="A86" s="77" t="s">
        <v>170</v>
      </c>
      <c r="B86" s="78" t="s">
        <v>170</v>
      </c>
      <c r="C86" s="41">
        <v>0</v>
      </c>
      <c r="D86" s="42">
        <f ca="1">((100/H77)*C86)/100</f>
        <v>0</v>
      </c>
      <c r="E86" s="84"/>
      <c r="F86" s="84"/>
      <c r="G86" s="84"/>
      <c r="H86" s="86"/>
      <c r="I86" s="19" t="s">
        <v>183</v>
      </c>
      <c r="J86" s="46">
        <f>(IF(B77&gt;3,(H77/(B77+2)+J85),0))</f>
        <v>0</v>
      </c>
    </row>
    <row r="87" spans="1:10" ht="15.75" customHeight="1" x14ac:dyDescent="0.3">
      <c r="A87" s="77" t="s">
        <v>177</v>
      </c>
      <c r="B87" s="78"/>
      <c r="C87" s="41">
        <v>0</v>
      </c>
      <c r="D87" s="42">
        <f ca="1">((100/H77)*C87)/100</f>
        <v>0</v>
      </c>
      <c r="E87" s="84"/>
      <c r="F87" s="84"/>
      <c r="G87" s="84"/>
      <c r="H87" s="86"/>
      <c r="I87" s="19" t="s">
        <v>184</v>
      </c>
      <c r="J87" s="45">
        <f>(IF(B77&gt;4,(H77/(B77+2)+J86),0))</f>
        <v>0</v>
      </c>
    </row>
    <row r="88" spans="1:10" ht="15.75" customHeight="1" x14ac:dyDescent="0.3">
      <c r="A88" s="77" t="s">
        <v>172</v>
      </c>
      <c r="B88" s="78" t="s">
        <v>172</v>
      </c>
      <c r="C88" s="41">
        <v>0</v>
      </c>
      <c r="D88" s="42">
        <f ca="1">((100/(H77))*C88)/100</f>
        <v>0</v>
      </c>
      <c r="E88" s="84"/>
      <c r="F88" s="84"/>
      <c r="G88" s="84"/>
      <c r="H88" s="86"/>
      <c r="I88" s="19" t="s">
        <v>186</v>
      </c>
      <c r="J88" s="45">
        <f ca="1">(IF(B77=1,(H77/(B77+3)+J83),IF(B77=0,(H77/4+J83),IF(B77&gt;1,0))))</f>
        <v>17.25</v>
      </c>
    </row>
    <row r="89" spans="1:10" ht="16.2" thickBot="1" x14ac:dyDescent="0.35">
      <c r="A89" s="90" t="s">
        <v>173</v>
      </c>
      <c r="B89" s="91"/>
      <c r="C89" s="47">
        <v>0</v>
      </c>
      <c r="D89" s="48">
        <f ca="1">((100/(H77))*C89)/100</f>
        <v>0</v>
      </c>
      <c r="E89" s="85"/>
      <c r="F89" s="85"/>
      <c r="G89" s="85"/>
      <c r="H89" s="87"/>
      <c r="I89" s="22" t="s">
        <v>140</v>
      </c>
      <c r="J89" s="49">
        <f ca="1">(IF(B77&gt;1.5,(H77/(B77+2)+J83+MAX(0,J84-J83)+MAX(0,J85-J84)+MAX(0,J86-J85)+MAX(0,J87-J86)+MAX(0,J88-J87)),IF(B77=1,(H77/(B77+3)+J88),IF(B77=0,H77/4+J88))))</f>
        <v>23</v>
      </c>
    </row>
    <row r="90" spans="1:10" ht="15.75" customHeight="1" x14ac:dyDescent="0.3">
      <c r="A90" s="92" t="s">
        <v>179</v>
      </c>
      <c r="B90" s="93"/>
      <c r="C90" s="94" t="s">
        <v>241</v>
      </c>
      <c r="D90" s="95"/>
      <c r="E90" s="95"/>
      <c r="F90" s="95"/>
      <c r="G90" s="95"/>
      <c r="H90" s="96"/>
      <c r="I90" s="20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upto 4 Slab, Brickwork upto 3 Floor, Internal Plaster upto 2 Floor, External Plaster upto 2 Floor Completed</v>
      </c>
      <c r="J90" s="38"/>
    </row>
    <row r="91" spans="1:10" x14ac:dyDescent="0.3">
      <c r="A91" s="31" t="s">
        <v>181</v>
      </c>
      <c r="B91" s="30">
        <v>0</v>
      </c>
      <c r="C91" s="30" t="s">
        <v>103</v>
      </c>
      <c r="D91" s="30">
        <v>1</v>
      </c>
      <c r="E91" s="30" t="s">
        <v>102</v>
      </c>
      <c r="F91" s="30">
        <v>0</v>
      </c>
      <c r="G91" s="30" t="s">
        <v>115</v>
      </c>
      <c r="H91" s="23">
        <f ca="1">--TRIM(RIGHT(SUBSTITUTE(LEFT(C90,_xlfn.AGGREGATE(16,6,FIND({0,1,2,3,4,5,6,7,8,9},C90,ROW(INDIRECT("1:"&amp;LEN(C90)))),1))," ",REPT(" ",LEN(C90))),LEN(C90)))</f>
        <v>23</v>
      </c>
      <c r="I91" s="21"/>
      <c r="J91" s="39"/>
    </row>
    <row r="92" spans="1:10" ht="33" customHeight="1" x14ac:dyDescent="0.3">
      <c r="A92" s="80" t="s">
        <v>125</v>
      </c>
      <c r="B92" s="81"/>
      <c r="C92" s="79" t="str">
        <f ca="1">I90</f>
        <v>Excavation work Completed. Plinth work completed, RCC upto 4 Slab, Brickwork upto 3 Floor, Internal Plaster upto 2 Floor, External Plaster upto 2 Floor Completed</v>
      </c>
      <c r="D92" s="79"/>
      <c r="E92" s="79"/>
      <c r="F92" s="79"/>
      <c r="G92" s="79"/>
      <c r="H92" s="82"/>
      <c r="I92" s="21" t="s">
        <v>141</v>
      </c>
      <c r="J92" s="39"/>
    </row>
    <row r="93" spans="1:10" ht="15.75" customHeight="1" x14ac:dyDescent="0.3">
      <c r="A93" s="77" t="s">
        <v>54</v>
      </c>
      <c r="B93" s="78"/>
      <c r="C93" s="27" t="s">
        <v>178</v>
      </c>
      <c r="D93" s="27" t="s">
        <v>118</v>
      </c>
      <c r="E93" s="78" t="s">
        <v>120</v>
      </c>
      <c r="F93" s="78"/>
      <c r="G93" s="78" t="s">
        <v>119</v>
      </c>
      <c r="H93" s="83"/>
      <c r="I93" s="19" t="s">
        <v>180</v>
      </c>
      <c r="J93" s="40">
        <f ca="1">H91*25%</f>
        <v>5.75</v>
      </c>
    </row>
    <row r="94" spans="1:10" x14ac:dyDescent="0.3">
      <c r="A94" s="77" t="s">
        <v>167</v>
      </c>
      <c r="B94" s="78"/>
      <c r="C94" s="41">
        <f ca="1">J95</f>
        <v>23</v>
      </c>
      <c r="D94" s="42">
        <f ca="1">((100/H91)*C94)/100</f>
        <v>1</v>
      </c>
      <c r="E94" s="84">
        <f ca="1">(((C95/H91*10)+(40/(D91+F91+H91)*C96)+(7.5/(H91)*C97)+(7.5/(H91)*C98)+(10/H91*C99)+(10/H91*C100)+(5/H91*C101)+(5/H91*C102)+(5/H91*C103))/100)</f>
        <v>0.19166666666666668</v>
      </c>
      <c r="F94" s="84"/>
      <c r="G94" s="84">
        <f ca="1">((((C94/H91)*20)+((C95/H91)*25)+(30/(H91+F91+D91)*C96)+(5/H91*C97)+(5/H91*C98)+(5/H91*C99)+(5/H91*C100)+(0/H91*C101)+(0/H91*C102)+(5/H91*C103))/100)</f>
        <v>0.51521739130434774</v>
      </c>
      <c r="H94" s="86"/>
      <c r="I94" s="19" t="s">
        <v>136</v>
      </c>
      <c r="J94" s="43">
        <f ca="1">H91*50%</f>
        <v>11.5</v>
      </c>
    </row>
    <row r="95" spans="1:10" x14ac:dyDescent="0.3">
      <c r="A95" s="77" t="s">
        <v>55</v>
      </c>
      <c r="B95" s="78"/>
      <c r="C95" s="44">
        <f ca="1">J103</f>
        <v>23</v>
      </c>
      <c r="D95" s="42">
        <f ca="1">((100/H91)*C95)/100</f>
        <v>1</v>
      </c>
      <c r="E95" s="84"/>
      <c r="F95" s="84"/>
      <c r="G95" s="84"/>
      <c r="H95" s="86"/>
      <c r="I95" s="19" t="s">
        <v>137</v>
      </c>
      <c r="J95" s="43">
        <f ca="1">H91</f>
        <v>23</v>
      </c>
    </row>
    <row r="96" spans="1:10" ht="15.75" customHeight="1" x14ac:dyDescent="0.3">
      <c r="A96" s="88" t="s">
        <v>168</v>
      </c>
      <c r="B96" s="89"/>
      <c r="C96" s="44">
        <v>4</v>
      </c>
      <c r="D96" s="42">
        <f ca="1">((100/(D91+F91+H91))*C96)/100</f>
        <v>0.16666666666666669</v>
      </c>
      <c r="E96" s="84"/>
      <c r="F96" s="84"/>
      <c r="G96" s="84"/>
      <c r="H96" s="86"/>
      <c r="I96" s="19" t="s">
        <v>138</v>
      </c>
      <c r="J96" s="45">
        <f ca="1">(IF(B91&gt;1,(H91/(B91+2)),H91/4))</f>
        <v>5.75</v>
      </c>
    </row>
    <row r="97" spans="1:10" ht="15.75" customHeight="1" x14ac:dyDescent="0.3">
      <c r="A97" s="77" t="s">
        <v>175</v>
      </c>
      <c r="B97" s="78" t="s">
        <v>169</v>
      </c>
      <c r="C97" s="41">
        <v>3</v>
      </c>
      <c r="D97" s="42">
        <f ca="1">((100/H91)*C97)/100</f>
        <v>0.13043478260869565</v>
      </c>
      <c r="E97" s="84"/>
      <c r="F97" s="84"/>
      <c r="G97" s="84"/>
      <c r="H97" s="86"/>
      <c r="I97" s="19" t="s">
        <v>139</v>
      </c>
      <c r="J97" s="45">
        <f ca="1">(IF(B91&gt;1,(H91/(B91+2)+J96),H91/4+J96))</f>
        <v>11.5</v>
      </c>
    </row>
    <row r="98" spans="1:10" ht="15.75" customHeight="1" x14ac:dyDescent="0.3">
      <c r="A98" s="77" t="s">
        <v>176</v>
      </c>
      <c r="B98" s="78" t="s">
        <v>169</v>
      </c>
      <c r="C98" s="41">
        <v>2</v>
      </c>
      <c r="D98" s="42">
        <f ca="1">((100/H91)*C98)/100</f>
        <v>8.6956521739130432E-2</v>
      </c>
      <c r="E98" s="84"/>
      <c r="F98" s="84"/>
      <c r="G98" s="84"/>
      <c r="H98" s="86"/>
      <c r="I98" s="19" t="s">
        <v>185</v>
      </c>
      <c r="J98" s="45">
        <f>(IF(B91&gt;1,(H91/(B91+2)+J97),0))</f>
        <v>0</v>
      </c>
    </row>
    <row r="99" spans="1:10" ht="15" customHeight="1" x14ac:dyDescent="0.3">
      <c r="A99" s="77" t="s">
        <v>174</v>
      </c>
      <c r="B99" s="78" t="s">
        <v>171</v>
      </c>
      <c r="C99" s="41">
        <v>2</v>
      </c>
      <c r="D99" s="42">
        <f ca="1">((100/(H91))*C99)/100</f>
        <v>8.6956521739130432E-2</v>
      </c>
      <c r="E99" s="84"/>
      <c r="F99" s="84"/>
      <c r="G99" s="84"/>
      <c r="H99" s="86"/>
      <c r="I99" s="19" t="s">
        <v>182</v>
      </c>
      <c r="J99" s="45">
        <f>(IF(B91&gt;2,(H91/(B91+2)+J98),0))</f>
        <v>0</v>
      </c>
    </row>
    <row r="100" spans="1:10" ht="15.75" customHeight="1" x14ac:dyDescent="0.3">
      <c r="A100" s="77" t="s">
        <v>170</v>
      </c>
      <c r="B100" s="78" t="s">
        <v>170</v>
      </c>
      <c r="C100" s="41">
        <v>0</v>
      </c>
      <c r="D100" s="42">
        <f ca="1">((100/H91)*C100)/100</f>
        <v>0</v>
      </c>
      <c r="E100" s="84"/>
      <c r="F100" s="84"/>
      <c r="G100" s="84"/>
      <c r="H100" s="86"/>
      <c r="I100" s="19" t="s">
        <v>183</v>
      </c>
      <c r="J100" s="46">
        <f>(IF(B91&gt;3,(H91/(B91+2)+J99),0))</f>
        <v>0</v>
      </c>
    </row>
    <row r="101" spans="1:10" ht="15.75" customHeight="1" x14ac:dyDescent="0.3">
      <c r="A101" s="77" t="s">
        <v>177</v>
      </c>
      <c r="B101" s="78"/>
      <c r="C101" s="41">
        <v>0</v>
      </c>
      <c r="D101" s="42">
        <f ca="1">((100/H91)*C101)/100</f>
        <v>0</v>
      </c>
      <c r="E101" s="84"/>
      <c r="F101" s="84"/>
      <c r="G101" s="84"/>
      <c r="H101" s="86"/>
      <c r="I101" s="19" t="s">
        <v>184</v>
      </c>
      <c r="J101" s="45">
        <f>(IF(B91&gt;4,(H91/(B91+2)+J100),0))</f>
        <v>0</v>
      </c>
    </row>
    <row r="102" spans="1:10" ht="15.75" customHeight="1" x14ac:dyDescent="0.3">
      <c r="A102" s="77" t="s">
        <v>172</v>
      </c>
      <c r="B102" s="78" t="s">
        <v>172</v>
      </c>
      <c r="C102" s="41">
        <v>0</v>
      </c>
      <c r="D102" s="42">
        <f ca="1">((100/(H91))*C102)/100</f>
        <v>0</v>
      </c>
      <c r="E102" s="84"/>
      <c r="F102" s="84"/>
      <c r="G102" s="84"/>
      <c r="H102" s="86"/>
      <c r="I102" s="19" t="s">
        <v>186</v>
      </c>
      <c r="J102" s="45">
        <f ca="1">(IF(B91=1,(H91/(B91+3)+J97),IF(B91=0,(H91/4+J97),IF(B91&gt;1,0))))</f>
        <v>17.25</v>
      </c>
    </row>
    <row r="103" spans="1:10" ht="16.2" thickBot="1" x14ac:dyDescent="0.35">
      <c r="A103" s="90" t="s">
        <v>173</v>
      </c>
      <c r="B103" s="91"/>
      <c r="C103" s="47">
        <v>0</v>
      </c>
      <c r="D103" s="48">
        <f ca="1">((100/(H91))*C103)/100</f>
        <v>0</v>
      </c>
      <c r="E103" s="85"/>
      <c r="F103" s="85"/>
      <c r="G103" s="85"/>
      <c r="H103" s="87"/>
      <c r="I103" s="22" t="s">
        <v>140</v>
      </c>
      <c r="J103" s="49">
        <f ca="1">(IF(B91&gt;1.5,(H91/(B91+2)+J97+MAX(0,J98-J97)+MAX(0,J99-J98)+MAX(0,J100-J99)+MAX(0,J101-J100)+MAX(0,J102-J101)),IF(B91=1,(H91/(B91+3)+J102),IF(B91=0,H91/4+J102))))</f>
        <v>23</v>
      </c>
    </row>
    <row r="104" spans="1:10" x14ac:dyDescent="0.3">
      <c r="A104" s="178" t="s">
        <v>156</v>
      </c>
      <c r="B104" s="179"/>
      <c r="C104" s="179"/>
      <c r="D104" s="179"/>
      <c r="E104" s="180"/>
      <c r="F104" s="178" t="str">
        <f ca="1">(IF(D61="Nothing","Yes",IF(D61="Cement, Aggregate, Steel, etc","Under Construction",IF(D61="Work not yet Started","Work not yet Started"))))</f>
        <v>Under Construction</v>
      </c>
      <c r="G104" s="179"/>
      <c r="H104" s="180"/>
    </row>
    <row r="105" spans="1:10" x14ac:dyDescent="0.3">
      <c r="A105" s="117" t="s">
        <v>56</v>
      </c>
      <c r="B105" s="117"/>
      <c r="C105" s="117"/>
      <c r="D105" s="117"/>
      <c r="E105" s="117"/>
      <c r="F105" s="117"/>
      <c r="G105" s="117"/>
      <c r="H105" s="117"/>
    </row>
    <row r="106" spans="1:10" ht="15" customHeight="1" x14ac:dyDescent="0.3">
      <c r="A106" s="81" t="s">
        <v>106</v>
      </c>
      <c r="B106" s="81"/>
      <c r="C106" s="79" t="s">
        <v>107</v>
      </c>
      <c r="D106" s="79"/>
      <c r="E106" s="79"/>
      <c r="F106" s="79"/>
      <c r="G106" s="79"/>
      <c r="H106" s="79"/>
    </row>
    <row r="107" spans="1:10" x14ac:dyDescent="0.3">
      <c r="A107" s="128" t="s">
        <v>57</v>
      </c>
      <c r="B107" s="128"/>
      <c r="C107" s="128"/>
      <c r="D107" s="128"/>
      <c r="E107" s="128"/>
      <c r="F107" s="128"/>
      <c r="G107" s="128"/>
      <c r="H107" s="128"/>
    </row>
    <row r="108" spans="1:10" x14ac:dyDescent="0.3">
      <c r="A108" s="67" t="s">
        <v>108</v>
      </c>
      <c r="B108" s="67"/>
      <c r="C108" s="67"/>
      <c r="D108" s="67"/>
      <c r="E108" s="67"/>
      <c r="F108" s="67">
        <v>4400</v>
      </c>
      <c r="G108" s="67"/>
      <c r="H108" s="67"/>
    </row>
    <row r="109" spans="1:10" hidden="1" x14ac:dyDescent="0.3">
      <c r="A109" s="67" t="s">
        <v>113</v>
      </c>
      <c r="B109" s="67"/>
      <c r="C109" s="67"/>
      <c r="D109" s="67"/>
      <c r="E109" s="67"/>
      <c r="F109" s="67"/>
      <c r="G109" s="67"/>
      <c r="H109" s="67"/>
    </row>
    <row r="110" spans="1:10" hidden="1" x14ac:dyDescent="0.3">
      <c r="A110" s="67" t="s">
        <v>114</v>
      </c>
      <c r="B110" s="67"/>
      <c r="C110" s="67"/>
      <c r="D110" s="67"/>
      <c r="E110" s="67"/>
      <c r="F110" s="67"/>
      <c r="G110" s="67"/>
      <c r="H110" s="67"/>
    </row>
    <row r="111" spans="1:10" s="50" customFormat="1" hidden="1" x14ac:dyDescent="0.25">
      <c r="A111" s="67" t="s">
        <v>130</v>
      </c>
      <c r="B111" s="67"/>
      <c r="C111" s="67"/>
      <c r="D111" s="67"/>
      <c r="E111" s="67"/>
      <c r="F111" s="67" t="s">
        <v>30</v>
      </c>
      <c r="G111" s="67"/>
      <c r="H111" s="67"/>
    </row>
    <row r="112" spans="1:10" s="50" customFormat="1" hidden="1" x14ac:dyDescent="0.25">
      <c r="A112" s="67" t="s">
        <v>131</v>
      </c>
      <c r="B112" s="67"/>
      <c r="C112" s="67"/>
      <c r="D112" s="67"/>
      <c r="E112" s="67"/>
      <c r="F112" s="67" t="s">
        <v>30</v>
      </c>
      <c r="G112" s="67"/>
      <c r="H112" s="67"/>
    </row>
    <row r="113" spans="1:8" s="50" customFormat="1" hidden="1" x14ac:dyDescent="0.25">
      <c r="A113" s="67" t="s">
        <v>132</v>
      </c>
      <c r="B113" s="67"/>
      <c r="C113" s="67"/>
      <c r="D113" s="67"/>
      <c r="E113" s="67"/>
      <c r="F113" s="67" t="s">
        <v>30</v>
      </c>
      <c r="G113" s="67"/>
      <c r="H113" s="67"/>
    </row>
    <row r="114" spans="1:8" s="50" customFormat="1" hidden="1" x14ac:dyDescent="0.25">
      <c r="A114" s="67" t="s">
        <v>133</v>
      </c>
      <c r="B114" s="67"/>
      <c r="C114" s="67"/>
      <c r="D114" s="67"/>
      <c r="E114" s="67"/>
      <c r="F114" s="67" t="s">
        <v>233</v>
      </c>
      <c r="G114" s="67"/>
      <c r="H114" s="67"/>
    </row>
    <row r="115" spans="1:8" s="50" customFormat="1" hidden="1" x14ac:dyDescent="0.25">
      <c r="A115" s="67" t="s">
        <v>134</v>
      </c>
      <c r="B115" s="67"/>
      <c r="C115" s="67"/>
      <c r="D115" s="67"/>
      <c r="E115" s="67"/>
      <c r="F115" s="67" t="s">
        <v>30</v>
      </c>
      <c r="G115" s="67"/>
      <c r="H115" s="67"/>
    </row>
    <row r="116" spans="1:8" s="50" customFormat="1" hidden="1" x14ac:dyDescent="0.25">
      <c r="A116" s="67" t="s">
        <v>135</v>
      </c>
      <c r="B116" s="67"/>
      <c r="C116" s="67"/>
      <c r="D116" s="67"/>
      <c r="E116" s="67"/>
      <c r="F116" s="67" t="s">
        <v>30</v>
      </c>
      <c r="G116" s="67"/>
      <c r="H116" s="67"/>
    </row>
    <row r="117" spans="1:8" s="50" customFormat="1" x14ac:dyDescent="0.25">
      <c r="A117" s="67" t="s">
        <v>228</v>
      </c>
      <c r="B117" s="67"/>
      <c r="C117" s="67"/>
      <c r="D117" s="67"/>
      <c r="E117" s="67"/>
      <c r="F117" s="67" t="s">
        <v>231</v>
      </c>
      <c r="G117" s="67"/>
      <c r="H117" s="67"/>
    </row>
    <row r="118" spans="1:8" s="50" customFormat="1" x14ac:dyDescent="0.25">
      <c r="A118" s="67" t="s">
        <v>229</v>
      </c>
      <c r="B118" s="67"/>
      <c r="C118" s="67"/>
      <c r="D118" s="67"/>
      <c r="E118" s="67"/>
      <c r="F118" s="67" t="s">
        <v>232</v>
      </c>
      <c r="G118" s="67"/>
      <c r="H118" s="67"/>
    </row>
    <row r="119" spans="1:8" s="50" customFormat="1" x14ac:dyDescent="0.25">
      <c r="A119" s="67" t="s">
        <v>234</v>
      </c>
      <c r="B119" s="67"/>
      <c r="C119" s="67"/>
      <c r="D119" s="67"/>
      <c r="E119" s="67"/>
      <c r="F119" s="67" t="s">
        <v>235</v>
      </c>
      <c r="G119" s="67"/>
      <c r="H119" s="67"/>
    </row>
    <row r="120" spans="1:8" x14ac:dyDescent="0.3">
      <c r="A120" s="67" t="s">
        <v>58</v>
      </c>
      <c r="B120" s="67"/>
      <c r="C120" s="67"/>
      <c r="D120" s="67"/>
      <c r="E120" s="67"/>
      <c r="F120" s="116" t="s">
        <v>230</v>
      </c>
      <c r="G120" s="116"/>
      <c r="H120" s="116"/>
    </row>
    <row r="121" spans="1:8" s="51" customFormat="1" x14ac:dyDescent="0.3">
      <c r="A121" s="81" t="s">
        <v>59</v>
      </c>
      <c r="B121" s="81"/>
      <c r="C121" s="81"/>
      <c r="D121" s="81"/>
      <c r="E121" s="81"/>
      <c r="F121" s="67">
        <f>F108*0.8</f>
        <v>3520</v>
      </c>
      <c r="G121" s="67"/>
      <c r="H121" s="67"/>
    </row>
    <row r="122" spans="1:8" s="52" customFormat="1" x14ac:dyDescent="0.3">
      <c r="A122" s="150" t="s">
        <v>101</v>
      </c>
      <c r="B122" s="150"/>
      <c r="C122" s="150"/>
      <c r="D122" s="150"/>
      <c r="E122" s="150"/>
      <c r="F122" s="150"/>
      <c r="G122" s="150"/>
      <c r="H122" s="150"/>
    </row>
    <row r="123" spans="1:8" s="52" customFormat="1" ht="15.75" customHeight="1" x14ac:dyDescent="0.3">
      <c r="A123" s="107" t="s">
        <v>60</v>
      </c>
      <c r="B123" s="107"/>
      <c r="C123" s="106" t="s">
        <v>111</v>
      </c>
      <c r="D123" s="106"/>
      <c r="E123" s="163" t="s">
        <v>61</v>
      </c>
      <c r="F123" s="163"/>
      <c r="G123" s="107" t="s">
        <v>62</v>
      </c>
      <c r="H123" s="107"/>
    </row>
    <row r="124" spans="1:8" s="52" customFormat="1" x14ac:dyDescent="0.3">
      <c r="A124" s="75" t="s">
        <v>213</v>
      </c>
      <c r="B124" s="75"/>
      <c r="C124" s="76">
        <f>COUNT(D137:D142)+COUNT(D144:D151)*20+COUNT(D153:D159)*2</f>
        <v>180</v>
      </c>
      <c r="D124" s="76"/>
      <c r="E124" s="74">
        <f>SUM(D137:D142)+SUM(D144:D151)*20+SUM(D153:D159)*2</f>
        <v>59288.112000000001</v>
      </c>
      <c r="F124" s="74"/>
      <c r="G124" s="74">
        <f>SUM(F137:F142)+SUM(F144:F151)*20+SUM(F153:F159)*2</f>
        <v>91896.573600000003</v>
      </c>
      <c r="H124" s="74"/>
    </row>
    <row r="125" spans="1:8" s="52" customFormat="1" x14ac:dyDescent="0.3">
      <c r="A125" s="75" t="s">
        <v>215</v>
      </c>
      <c r="B125" s="75"/>
      <c r="C125" s="76">
        <f>COUNT(D181:D186)+COUNT(D188:D195)*20+COUNT(D197:D203)*2</f>
        <v>180</v>
      </c>
      <c r="D125" s="76"/>
      <c r="E125" s="74">
        <f>SUM(D181:D186)+SUM(D188:D195)*20+SUM(D197:D203)*2</f>
        <v>59288.112000000001</v>
      </c>
      <c r="F125" s="74"/>
      <c r="G125" s="74">
        <f>SUM(F181:F186)+SUM(F188:F195)*20+SUM(F197:F203)*2</f>
        <v>91896.573600000003</v>
      </c>
      <c r="H125" s="74"/>
    </row>
    <row r="126" spans="1:8" s="52" customFormat="1" x14ac:dyDescent="0.3">
      <c r="A126" s="75" t="s">
        <v>216</v>
      </c>
      <c r="B126" s="75"/>
      <c r="C126" s="76">
        <f>COUNT(D207:D212)+COUNT(D214:D221)*20+COUNT(D223:D229)*2</f>
        <v>180</v>
      </c>
      <c r="D126" s="76"/>
      <c r="E126" s="74">
        <f>SUM(D207:D212)+SUM(D214:D221)*20+SUM(D223:D229)*2</f>
        <v>59288.112000000001</v>
      </c>
      <c r="F126" s="74"/>
      <c r="G126" s="74">
        <f>SUM(F207:F212)+SUM(F214:F221)*20+SUM(F223:F229)*2</f>
        <v>91896.573600000003</v>
      </c>
      <c r="H126" s="74"/>
    </row>
    <row r="127" spans="1:8" s="52" customFormat="1" x14ac:dyDescent="0.3">
      <c r="A127" s="150" t="s">
        <v>64</v>
      </c>
      <c r="B127" s="150"/>
      <c r="C127" s="106">
        <f>SUM(C124:D126)</f>
        <v>540</v>
      </c>
      <c r="D127" s="106"/>
      <c r="E127" s="164">
        <f>SUM(E124:F126)</f>
        <v>177864.33600000001</v>
      </c>
      <c r="F127" s="164"/>
      <c r="G127" s="164">
        <f>SUM(G124:H126)</f>
        <v>275689.72080000001</v>
      </c>
      <c r="H127" s="164"/>
    </row>
    <row r="128" spans="1:8" s="51" customFormat="1" x14ac:dyDescent="0.3">
      <c r="A128" s="108" t="s">
        <v>65</v>
      </c>
      <c r="B128" s="108"/>
      <c r="C128" s="108"/>
      <c r="D128" s="108"/>
      <c r="E128" s="108"/>
      <c r="F128" s="108"/>
      <c r="G128" s="108"/>
      <c r="H128" s="108"/>
    </row>
    <row r="129" spans="1:16" x14ac:dyDescent="0.3">
      <c r="A129" s="108" t="s">
        <v>66</v>
      </c>
      <c r="B129" s="108"/>
      <c r="C129" s="108"/>
      <c r="D129" s="108"/>
      <c r="E129" s="108"/>
      <c r="F129" s="108"/>
      <c r="G129" s="108"/>
      <c r="H129" s="108"/>
    </row>
    <row r="130" spans="1:16" s="54" customFormat="1" x14ac:dyDescent="0.3">
      <c r="A130" s="60"/>
      <c r="B130" s="110"/>
      <c r="C130" s="110"/>
      <c r="D130" s="110"/>
      <c r="E130" s="110"/>
      <c r="F130" s="110"/>
      <c r="G130" s="110"/>
      <c r="H130" s="61"/>
      <c r="I130" s="53"/>
      <c r="N130" s="53"/>
    </row>
    <row r="131" spans="1:16" ht="47.25" customHeight="1" x14ac:dyDescent="0.3">
      <c r="A131" s="111" t="s">
        <v>158</v>
      </c>
      <c r="B131" s="111" t="s">
        <v>159</v>
      </c>
      <c r="C131" s="114" t="s">
        <v>67</v>
      </c>
      <c r="D131" s="114" t="s">
        <v>68</v>
      </c>
      <c r="E131" s="159" t="s">
        <v>69</v>
      </c>
      <c r="F131" s="26" t="s">
        <v>157</v>
      </c>
      <c r="G131" s="111" t="s">
        <v>70</v>
      </c>
      <c r="H131" s="161"/>
      <c r="I131" s="53"/>
    </row>
    <row r="132" spans="1:16" s="54" customFormat="1" x14ac:dyDescent="0.3">
      <c r="A132" s="112"/>
      <c r="B132" s="112"/>
      <c r="C132" s="115"/>
      <c r="D132" s="115"/>
      <c r="E132" s="160"/>
      <c r="F132" s="18">
        <v>0.55000000000000004</v>
      </c>
      <c r="G132" s="112"/>
      <c r="H132" s="162"/>
      <c r="I132" s="53"/>
    </row>
    <row r="133" spans="1:16" x14ac:dyDescent="0.3">
      <c r="A133" s="108" t="s">
        <v>217</v>
      </c>
      <c r="B133" s="108"/>
      <c r="C133" s="108"/>
      <c r="D133" s="108"/>
      <c r="E133" s="108"/>
      <c r="F133" s="108"/>
      <c r="G133" s="108"/>
      <c r="H133" s="108"/>
    </row>
    <row r="134" spans="1:16" x14ac:dyDescent="0.3">
      <c r="A134" s="108" t="s">
        <v>213</v>
      </c>
      <c r="B134" s="108"/>
      <c r="C134" s="108"/>
      <c r="D134" s="108"/>
      <c r="E134" s="108"/>
      <c r="F134" s="108"/>
      <c r="G134" s="108"/>
      <c r="H134" s="108"/>
    </row>
    <row r="135" spans="1:16" x14ac:dyDescent="0.3">
      <c r="A135" s="108" t="s">
        <v>187</v>
      </c>
      <c r="B135" s="108"/>
      <c r="C135" s="108"/>
      <c r="D135" s="108"/>
      <c r="E135" s="108"/>
      <c r="F135" s="108"/>
      <c r="G135" s="108"/>
      <c r="H135" s="108"/>
    </row>
    <row r="136" spans="1:16" s="54" customFormat="1" x14ac:dyDescent="0.3">
      <c r="A136" s="149" t="s">
        <v>189</v>
      </c>
      <c r="B136" s="149"/>
      <c r="C136" s="149"/>
      <c r="D136" s="149"/>
      <c r="E136" s="149"/>
      <c r="F136" s="149"/>
      <c r="G136" s="149"/>
      <c r="H136" s="149"/>
      <c r="I136" s="53"/>
      <c r="L136" s="109"/>
      <c r="M136" s="109"/>
    </row>
    <row r="137" spans="1:16" s="54" customFormat="1" ht="15.75" customHeight="1" x14ac:dyDescent="0.3">
      <c r="A137" s="113">
        <v>1</v>
      </c>
      <c r="B137" s="113"/>
      <c r="C137" s="25" t="s">
        <v>188</v>
      </c>
      <c r="D137" s="25">
        <f t="shared" ref="D137:D142" si="0">(28.01+2.59)*10.764</f>
        <v>329.3784</v>
      </c>
      <c r="E137" s="25">
        <v>0</v>
      </c>
      <c r="F137" s="25">
        <f>D137*(($F$132)+1)+E137</f>
        <v>510.53652</v>
      </c>
      <c r="G137" s="68" t="str">
        <f>A136</f>
        <v>1st Floor for Residential</v>
      </c>
      <c r="H137" s="69"/>
      <c r="I137" s="53">
        <f>(2.75*3.3+1.67*2.58+2.75*3.03+1.415*1.215+1.27*1.135+0.95*1.215+1*2.75)*10.764</f>
        <v>309.79895310000001</v>
      </c>
      <c r="N137" s="53"/>
    </row>
    <row r="138" spans="1:16" s="54" customFormat="1" ht="15.75" customHeight="1" x14ac:dyDescent="0.3">
      <c r="A138" s="113">
        <f>A137+1</f>
        <v>2</v>
      </c>
      <c r="B138" s="113"/>
      <c r="C138" s="25" t="s">
        <v>188</v>
      </c>
      <c r="D138" s="25">
        <f t="shared" si="0"/>
        <v>329.3784</v>
      </c>
      <c r="E138" s="25">
        <v>0</v>
      </c>
      <c r="F138" s="25">
        <f t="shared" ref="F138:F142" si="1">D138*(($F$132)+1)+E138</f>
        <v>510.53652</v>
      </c>
      <c r="G138" s="70"/>
      <c r="H138" s="71"/>
      <c r="I138" s="53"/>
      <c r="N138" s="53"/>
    </row>
    <row r="139" spans="1:16" s="54" customFormat="1" ht="15.75" customHeight="1" x14ac:dyDescent="0.3">
      <c r="A139" s="113">
        <f>A138+1</f>
        <v>3</v>
      </c>
      <c r="B139" s="113"/>
      <c r="C139" s="25" t="s">
        <v>188</v>
      </c>
      <c r="D139" s="25">
        <f t="shared" si="0"/>
        <v>329.3784</v>
      </c>
      <c r="E139" s="25">
        <v>0</v>
      </c>
      <c r="F139" s="25">
        <f t="shared" si="1"/>
        <v>510.53652</v>
      </c>
      <c r="G139" s="70"/>
      <c r="H139" s="71"/>
      <c r="I139" s="53"/>
      <c r="N139" s="53"/>
    </row>
    <row r="140" spans="1:16" s="54" customFormat="1" ht="15.75" customHeight="1" x14ac:dyDescent="0.3">
      <c r="A140" s="113">
        <f t="shared" ref="A140:A142" si="2">A139+1</f>
        <v>4</v>
      </c>
      <c r="B140" s="113"/>
      <c r="C140" s="25" t="s">
        <v>188</v>
      </c>
      <c r="D140" s="25">
        <f t="shared" si="0"/>
        <v>329.3784</v>
      </c>
      <c r="E140" s="25">
        <v>0</v>
      </c>
      <c r="F140" s="25">
        <f t="shared" si="1"/>
        <v>510.53652</v>
      </c>
      <c r="G140" s="70"/>
      <c r="H140" s="71"/>
      <c r="I140" s="53"/>
      <c r="N140" s="53"/>
    </row>
    <row r="141" spans="1:16" s="54" customFormat="1" ht="15.75" customHeight="1" x14ac:dyDescent="0.3">
      <c r="A141" s="113">
        <f t="shared" si="2"/>
        <v>5</v>
      </c>
      <c r="B141" s="113"/>
      <c r="C141" s="25" t="s">
        <v>188</v>
      </c>
      <c r="D141" s="25">
        <f t="shared" si="0"/>
        <v>329.3784</v>
      </c>
      <c r="E141" s="25">
        <v>0</v>
      </c>
      <c r="F141" s="25">
        <f t="shared" si="1"/>
        <v>510.53652</v>
      </c>
      <c r="G141" s="70"/>
      <c r="H141" s="71"/>
      <c r="I141" s="53"/>
      <c r="N141" s="53"/>
    </row>
    <row r="142" spans="1:16" s="54" customFormat="1" ht="15.75" customHeight="1" x14ac:dyDescent="0.3">
      <c r="A142" s="113">
        <f t="shared" si="2"/>
        <v>6</v>
      </c>
      <c r="B142" s="113"/>
      <c r="C142" s="25" t="s">
        <v>188</v>
      </c>
      <c r="D142" s="25">
        <f t="shared" si="0"/>
        <v>329.3784</v>
      </c>
      <c r="E142" s="25">
        <v>0</v>
      </c>
      <c r="F142" s="25">
        <f t="shared" si="1"/>
        <v>510.53652</v>
      </c>
      <c r="G142" s="72"/>
      <c r="H142" s="73"/>
      <c r="I142" s="53"/>
      <c r="N142" s="53"/>
    </row>
    <row r="143" spans="1:16" s="54" customFormat="1" x14ac:dyDescent="0.3">
      <c r="A143" s="64" t="s">
        <v>214</v>
      </c>
      <c r="B143" s="65"/>
      <c r="C143" s="65"/>
      <c r="D143" s="65"/>
      <c r="E143" s="65"/>
      <c r="F143" s="65"/>
      <c r="G143" s="65"/>
      <c r="H143" s="66"/>
      <c r="I143" s="53"/>
    </row>
    <row r="144" spans="1:16" s="54" customFormat="1" ht="15.75" customHeight="1" x14ac:dyDescent="0.3">
      <c r="A144" s="60">
        <v>1</v>
      </c>
      <c r="B144" s="61"/>
      <c r="C144" s="25" t="s">
        <v>188</v>
      </c>
      <c r="D144" s="25">
        <f>(28.01+2.59)*10.764</f>
        <v>329.3784</v>
      </c>
      <c r="E144" s="25">
        <v>0</v>
      </c>
      <c r="F144" s="25">
        <f t="shared" ref="F144:F146" si="3">D144*(($F$132)+1)+E144</f>
        <v>510.53652</v>
      </c>
      <c r="G144" s="68" t="str">
        <f>A143</f>
        <v>2nd to 12th, 14th to 17th &amp; 19th to 23rd Floor</v>
      </c>
      <c r="H144" s="69"/>
      <c r="I144" s="53">
        <v>2337000</v>
      </c>
      <c r="J144" s="54">
        <f>I144/F144</f>
        <v>4577.5373718612727</v>
      </c>
      <c r="N144" s="54" t="str">
        <f t="shared" ref="N144:N151" ca="1" si="4">O144&amp;""&amp;" to "&amp;""&amp;P144</f>
        <v>201 to 2301</v>
      </c>
      <c r="O144" s="54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10^ROW(INDIRECT("1:"&amp;LEN((LEFT(A143,SUM(LEN(A143)-LEN(SUBSTITUTE(A143,{"0","1","2"},""))))))))/10))*100+1</f>
        <v>201</v>
      </c>
      <c r="P144" s="54">
        <f ca="1">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",LEN(A143))),LEN(A143)))))))/10))*100+1</f>
        <v>2301</v>
      </c>
    </row>
    <row r="145" spans="1:16" s="54" customFormat="1" ht="15.75" customHeight="1" x14ac:dyDescent="0.3">
      <c r="A145" s="60">
        <v>2</v>
      </c>
      <c r="B145" s="61"/>
      <c r="C145" s="25" t="s">
        <v>188</v>
      </c>
      <c r="D145" s="25">
        <f t="shared" ref="D145:D151" si="5">(28.01+2.59)*10.764</f>
        <v>329.3784</v>
      </c>
      <c r="E145" s="25">
        <v>0</v>
      </c>
      <c r="F145" s="25">
        <f t="shared" si="3"/>
        <v>510.53652</v>
      </c>
      <c r="G145" s="70"/>
      <c r="H145" s="71"/>
      <c r="I145" s="53"/>
      <c r="N145" s="54" t="str">
        <f t="shared" ca="1" si="4"/>
        <v>202 to 2302</v>
      </c>
      <c r="O145" s="54">
        <f t="shared" ref="O145:P145" ca="1" si="6">O144+1</f>
        <v>202</v>
      </c>
      <c r="P145" s="54">
        <f t="shared" ca="1" si="6"/>
        <v>2302</v>
      </c>
    </row>
    <row r="146" spans="1:16" s="54" customFormat="1" ht="15.75" customHeight="1" x14ac:dyDescent="0.3">
      <c r="A146" s="60">
        <v>3</v>
      </c>
      <c r="B146" s="61"/>
      <c r="C146" s="25" t="s">
        <v>188</v>
      </c>
      <c r="D146" s="25">
        <f t="shared" si="5"/>
        <v>329.3784</v>
      </c>
      <c r="E146" s="25">
        <v>0</v>
      </c>
      <c r="F146" s="25">
        <f t="shared" si="3"/>
        <v>510.53652</v>
      </c>
      <c r="G146" s="70"/>
      <c r="H146" s="71"/>
      <c r="I146" s="53">
        <v>3077000</v>
      </c>
      <c r="J146" s="54">
        <f>I146/F146</f>
        <v>6026.9929367638579</v>
      </c>
      <c r="N146" s="54" t="str">
        <f t="shared" ca="1" si="4"/>
        <v>203 to 2303</v>
      </c>
      <c r="O146" s="54">
        <f t="shared" ref="O146:P146" ca="1" si="7">O145+1</f>
        <v>203</v>
      </c>
      <c r="P146" s="54">
        <f t="shared" ca="1" si="7"/>
        <v>2303</v>
      </c>
    </row>
    <row r="147" spans="1:16" s="54" customFormat="1" ht="15.75" customHeight="1" x14ac:dyDescent="0.3">
      <c r="A147" s="60">
        <v>4</v>
      </c>
      <c r="B147" s="61"/>
      <c r="C147" s="25" t="s">
        <v>188</v>
      </c>
      <c r="D147" s="25">
        <f t="shared" si="5"/>
        <v>329.3784</v>
      </c>
      <c r="E147" s="25">
        <v>0</v>
      </c>
      <c r="F147" s="25">
        <f>D147*(($F$132)+1)+E147</f>
        <v>510.53652</v>
      </c>
      <c r="G147" s="70"/>
      <c r="H147" s="71"/>
      <c r="I147" s="53"/>
      <c r="N147" s="54" t="str">
        <f t="shared" ca="1" si="4"/>
        <v>204 to 2304</v>
      </c>
      <c r="O147" s="54">
        <f t="shared" ref="O147:P147" ca="1" si="8">O146+1</f>
        <v>204</v>
      </c>
      <c r="P147" s="54">
        <f t="shared" ca="1" si="8"/>
        <v>2304</v>
      </c>
    </row>
    <row r="148" spans="1:16" s="54" customFormat="1" ht="15.75" customHeight="1" x14ac:dyDescent="0.3">
      <c r="A148" s="60">
        <v>5</v>
      </c>
      <c r="B148" s="61"/>
      <c r="C148" s="25" t="s">
        <v>188</v>
      </c>
      <c r="D148" s="25">
        <f t="shared" si="5"/>
        <v>329.3784</v>
      </c>
      <c r="E148" s="25">
        <v>0</v>
      </c>
      <c r="F148" s="25">
        <f t="shared" ref="F148:F151" si="9">D148*(($F$132)+1)+E148</f>
        <v>510.53652</v>
      </c>
      <c r="G148" s="70"/>
      <c r="H148" s="71"/>
      <c r="I148" s="53"/>
      <c r="N148" s="54" t="str">
        <f t="shared" ca="1" si="4"/>
        <v>205 to 2305</v>
      </c>
      <c r="O148" s="54">
        <f t="shared" ref="O148:P148" ca="1" si="10">O147+1</f>
        <v>205</v>
      </c>
      <c r="P148" s="54">
        <f t="shared" ca="1" si="10"/>
        <v>2305</v>
      </c>
    </row>
    <row r="149" spans="1:16" s="54" customFormat="1" ht="15.75" customHeight="1" x14ac:dyDescent="0.3">
      <c r="A149" s="60">
        <v>6</v>
      </c>
      <c r="B149" s="61"/>
      <c r="C149" s="25" t="s">
        <v>188</v>
      </c>
      <c r="D149" s="25">
        <f t="shared" si="5"/>
        <v>329.3784</v>
      </c>
      <c r="E149" s="25">
        <v>0</v>
      </c>
      <c r="F149" s="25">
        <f t="shared" si="9"/>
        <v>510.53652</v>
      </c>
      <c r="G149" s="70"/>
      <c r="H149" s="71"/>
      <c r="I149" s="53">
        <f>(2.75*3.3+1.67*2.58+2.75*3.03+1.415*1.215+1.27*1.135+0.96*1.215+1.1*2.75)*10.764</f>
        <v>312.88983569999994</v>
      </c>
      <c r="N149" s="54" t="str">
        <f t="shared" ca="1" si="4"/>
        <v>206 to 2306</v>
      </c>
      <c r="O149" s="54">
        <f t="shared" ref="O149:P149" ca="1" si="11">O148+1</f>
        <v>206</v>
      </c>
      <c r="P149" s="54">
        <f t="shared" ca="1" si="11"/>
        <v>2306</v>
      </c>
    </row>
    <row r="150" spans="1:16" s="54" customFormat="1" ht="15.75" customHeight="1" x14ac:dyDescent="0.3">
      <c r="A150" s="60">
        <v>7</v>
      </c>
      <c r="B150" s="61"/>
      <c r="C150" s="25" t="s">
        <v>188</v>
      </c>
      <c r="D150" s="25">
        <f t="shared" si="5"/>
        <v>329.3784</v>
      </c>
      <c r="E150" s="25">
        <v>0</v>
      </c>
      <c r="F150" s="25">
        <f t="shared" si="9"/>
        <v>510.53652</v>
      </c>
      <c r="G150" s="70"/>
      <c r="H150" s="71"/>
      <c r="I150" s="53"/>
      <c r="N150" s="54" t="str">
        <f t="shared" ca="1" si="4"/>
        <v>207 to 2307</v>
      </c>
      <c r="O150" s="54">
        <f t="shared" ref="O150:P150" ca="1" si="12">O149+1</f>
        <v>207</v>
      </c>
      <c r="P150" s="54">
        <f t="shared" ca="1" si="12"/>
        <v>2307</v>
      </c>
    </row>
    <row r="151" spans="1:16" s="54" customFormat="1" ht="15.75" customHeight="1" x14ac:dyDescent="0.3">
      <c r="A151" s="60">
        <v>8</v>
      </c>
      <c r="B151" s="61"/>
      <c r="C151" s="25" t="s">
        <v>188</v>
      </c>
      <c r="D151" s="25">
        <f t="shared" si="5"/>
        <v>329.3784</v>
      </c>
      <c r="E151" s="25">
        <v>0</v>
      </c>
      <c r="F151" s="25">
        <f t="shared" si="9"/>
        <v>510.53652</v>
      </c>
      <c r="G151" s="72"/>
      <c r="H151" s="73"/>
      <c r="I151" s="53"/>
      <c r="N151" s="54" t="str">
        <f t="shared" ca="1" si="4"/>
        <v>208 to 2308</v>
      </c>
      <c r="O151" s="54">
        <f t="shared" ref="O151:P151" ca="1" si="13">O150+1</f>
        <v>208</v>
      </c>
      <c r="P151" s="54">
        <f t="shared" ca="1" si="13"/>
        <v>2308</v>
      </c>
    </row>
    <row r="152" spans="1:16" s="54" customFormat="1" x14ac:dyDescent="0.3">
      <c r="A152" s="64" t="s">
        <v>192</v>
      </c>
      <c r="B152" s="65"/>
      <c r="C152" s="65"/>
      <c r="D152" s="65"/>
      <c r="E152" s="65"/>
      <c r="F152" s="65"/>
      <c r="G152" s="65"/>
      <c r="H152" s="66"/>
      <c r="I152" s="53"/>
    </row>
    <row r="153" spans="1:16" s="54" customFormat="1" ht="15.75" customHeight="1" x14ac:dyDescent="0.3">
      <c r="A153" s="60">
        <v>1</v>
      </c>
      <c r="B153" s="61"/>
      <c r="C153" s="25" t="s">
        <v>188</v>
      </c>
      <c r="D153" s="25">
        <f>(28.01+2.59)*10.764</f>
        <v>329.3784</v>
      </c>
      <c r="E153" s="25">
        <v>0</v>
      </c>
      <c r="F153" s="25">
        <f t="shared" ref="F153:F155" si="14">D153*(($F$132)+1)+E153</f>
        <v>510.53652</v>
      </c>
      <c r="G153" s="68" t="str">
        <f>A152</f>
        <v>13th &amp; 18th Floor (Part Refuge Area)</v>
      </c>
      <c r="H153" s="69"/>
      <c r="I153" s="53"/>
      <c r="N153" s="54" t="str">
        <f t="shared" ref="N153:N159" ca="1" si="15">O153&amp;""&amp;" to "&amp;""&amp;P153</f>
        <v>1301 to 1801</v>
      </c>
      <c r="O153" s="54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10^ROW(INDIRECT("1:"&amp;LEN((LEFT(A152,SUM(LEN(A152)-LEN(SUBSTITUTE(A152,{"0","1","2"},""))))))))/10))*100+1</f>
        <v>1301</v>
      </c>
      <c r="P153" s="54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1801</v>
      </c>
    </row>
    <row r="154" spans="1:16" s="54" customFormat="1" ht="15.75" customHeight="1" x14ac:dyDescent="0.3">
      <c r="A154" s="60">
        <v>2</v>
      </c>
      <c r="B154" s="61"/>
      <c r="C154" s="25" t="s">
        <v>188</v>
      </c>
      <c r="D154" s="25">
        <f t="shared" ref="D154:D159" si="16">(28.01+2.59)*10.764</f>
        <v>329.3784</v>
      </c>
      <c r="E154" s="25">
        <v>0</v>
      </c>
      <c r="F154" s="25">
        <f t="shared" si="14"/>
        <v>510.53652</v>
      </c>
      <c r="G154" s="70"/>
      <c r="H154" s="71"/>
      <c r="I154" s="53"/>
      <c r="N154" s="54" t="str">
        <f t="shared" ca="1" si="15"/>
        <v>1302 to 1802</v>
      </c>
      <c r="O154" s="54">
        <f t="shared" ref="O154:P154" ca="1" si="17">O153+1</f>
        <v>1302</v>
      </c>
      <c r="P154" s="54">
        <f t="shared" ca="1" si="17"/>
        <v>1802</v>
      </c>
    </row>
    <row r="155" spans="1:16" s="54" customFormat="1" ht="15.75" customHeight="1" x14ac:dyDescent="0.3">
      <c r="A155" s="60">
        <v>3</v>
      </c>
      <c r="B155" s="61"/>
      <c r="C155" s="25" t="s">
        <v>188</v>
      </c>
      <c r="D155" s="25">
        <f t="shared" si="16"/>
        <v>329.3784</v>
      </c>
      <c r="E155" s="25">
        <v>0</v>
      </c>
      <c r="F155" s="25">
        <f t="shared" si="14"/>
        <v>510.53652</v>
      </c>
      <c r="G155" s="70"/>
      <c r="H155" s="71"/>
      <c r="I155" s="53"/>
      <c r="N155" s="54" t="str">
        <f t="shared" ca="1" si="15"/>
        <v>1303 to 1803</v>
      </c>
      <c r="O155" s="54">
        <f t="shared" ref="O155:P155" ca="1" si="18">O154+1</f>
        <v>1303</v>
      </c>
      <c r="P155" s="54">
        <f t="shared" ca="1" si="18"/>
        <v>1803</v>
      </c>
    </row>
    <row r="156" spans="1:16" s="54" customFormat="1" ht="15.75" customHeight="1" x14ac:dyDescent="0.3">
      <c r="A156" s="60">
        <v>4</v>
      </c>
      <c r="B156" s="61"/>
      <c r="C156" s="25" t="s">
        <v>188</v>
      </c>
      <c r="D156" s="25">
        <f t="shared" si="16"/>
        <v>329.3784</v>
      </c>
      <c r="E156" s="25">
        <v>0</v>
      </c>
      <c r="F156" s="25">
        <f>D156*(($F$132)+1)+E156</f>
        <v>510.53652</v>
      </c>
      <c r="G156" s="70"/>
      <c r="H156" s="71"/>
      <c r="I156" s="53"/>
      <c r="N156" s="54" t="str">
        <f t="shared" ca="1" si="15"/>
        <v>1304 to 1804</v>
      </c>
      <c r="O156" s="54">
        <f t="shared" ref="O156:P156" ca="1" si="19">O155+1</f>
        <v>1304</v>
      </c>
      <c r="P156" s="54">
        <f t="shared" ca="1" si="19"/>
        <v>1804</v>
      </c>
    </row>
    <row r="157" spans="1:16" s="54" customFormat="1" ht="15.75" customHeight="1" x14ac:dyDescent="0.3">
      <c r="A157" s="60">
        <v>5</v>
      </c>
      <c r="B157" s="61"/>
      <c r="C157" s="25" t="s">
        <v>188</v>
      </c>
      <c r="D157" s="25">
        <f t="shared" si="16"/>
        <v>329.3784</v>
      </c>
      <c r="E157" s="25">
        <v>0</v>
      </c>
      <c r="F157" s="25">
        <f>D157*(($F$132)+1)+E157</f>
        <v>510.53652</v>
      </c>
      <c r="G157" s="70"/>
      <c r="H157" s="71"/>
      <c r="I157" s="53"/>
      <c r="N157" s="54" t="str">
        <f t="shared" ca="1" si="15"/>
        <v>1305 to 1805</v>
      </c>
      <c r="O157" s="54">
        <f t="shared" ref="O157:P157" ca="1" si="20">O156+1</f>
        <v>1305</v>
      </c>
      <c r="P157" s="54">
        <f t="shared" ca="1" si="20"/>
        <v>1805</v>
      </c>
    </row>
    <row r="158" spans="1:16" s="54" customFormat="1" ht="15.75" customHeight="1" x14ac:dyDescent="0.3">
      <c r="A158" s="60">
        <v>6</v>
      </c>
      <c r="B158" s="61"/>
      <c r="C158" s="25" t="s">
        <v>188</v>
      </c>
      <c r="D158" s="25">
        <f t="shared" si="16"/>
        <v>329.3784</v>
      </c>
      <c r="E158" s="25">
        <v>0</v>
      </c>
      <c r="F158" s="25">
        <f>D158*(($F$132)+1)+E158</f>
        <v>510.53652</v>
      </c>
      <c r="G158" s="70"/>
      <c r="H158" s="71"/>
      <c r="I158" s="53">
        <f>(2.75*3.3+1.67*2.58+2.75*3.03+1.415*1.215+1.27*1.135+0.96*1.215+1.1*2.75)*10.764</f>
        <v>312.88983569999994</v>
      </c>
      <c r="N158" s="54" t="str">
        <f t="shared" ca="1" si="15"/>
        <v>1306 to 1806</v>
      </c>
      <c r="O158" s="54">
        <f t="shared" ref="O158:P158" ca="1" si="21">O157+1</f>
        <v>1306</v>
      </c>
      <c r="P158" s="54">
        <f t="shared" ca="1" si="21"/>
        <v>1806</v>
      </c>
    </row>
    <row r="159" spans="1:16" s="54" customFormat="1" ht="15.75" customHeight="1" x14ac:dyDescent="0.3">
      <c r="A159" s="60">
        <v>7</v>
      </c>
      <c r="B159" s="61"/>
      <c r="C159" s="25" t="s">
        <v>188</v>
      </c>
      <c r="D159" s="25">
        <f t="shared" si="16"/>
        <v>329.3784</v>
      </c>
      <c r="E159" s="25">
        <v>0</v>
      </c>
      <c r="F159" s="25">
        <f>D159*(($F$132)+1)+E159</f>
        <v>510.53652</v>
      </c>
      <c r="G159" s="72"/>
      <c r="H159" s="73"/>
      <c r="I159" s="53"/>
      <c r="N159" s="54" t="str">
        <f t="shared" ca="1" si="15"/>
        <v>1307 to 1807</v>
      </c>
      <c r="O159" s="54">
        <f t="shared" ref="O159:P159" ca="1" si="22">O158+1</f>
        <v>1307</v>
      </c>
      <c r="P159" s="54">
        <f t="shared" ca="1" si="22"/>
        <v>1807</v>
      </c>
    </row>
    <row r="160" spans="1:16" s="54" customFormat="1" hidden="1" x14ac:dyDescent="0.3">
      <c r="A160" s="64" t="s">
        <v>190</v>
      </c>
      <c r="B160" s="65"/>
      <c r="C160" s="65"/>
      <c r="D160" s="65"/>
      <c r="E160" s="65"/>
      <c r="F160" s="65"/>
      <c r="G160" s="65"/>
      <c r="H160" s="66"/>
      <c r="I160" s="53"/>
    </row>
    <row r="161" spans="1:16" s="54" customFormat="1" hidden="1" x14ac:dyDescent="0.3">
      <c r="A161" s="60">
        <v>1</v>
      </c>
      <c r="B161" s="61"/>
      <c r="C161" s="25" t="s">
        <v>188</v>
      </c>
      <c r="D161" s="25">
        <f>(28.01+2.59)*10.764</f>
        <v>329.3784</v>
      </c>
      <c r="E161" s="25">
        <v>0</v>
      </c>
      <c r="F161" s="25">
        <f t="shared" ref="F161:F163" si="23">D161*(($F$132)+1)+E161</f>
        <v>510.53652</v>
      </c>
      <c r="G161" s="60" t="str">
        <f>A160</f>
        <v>14th to 17th Floor</v>
      </c>
      <c r="H161" s="61"/>
      <c r="I161" s="53"/>
      <c r="N161" s="54" t="str">
        <f t="shared" ref="N161:N168" ca="1" si="24">O161&amp;""&amp;" to "&amp;""&amp;P161</f>
        <v>1401 to 1701</v>
      </c>
      <c r="O161" s="54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10^ROW(INDIRECT("1:"&amp;LEN((LEFT(A160,SUM(LEN(A160)-LEN(SUBSTITUTE(A160,{"0","1","2"},""))))))))/10))*100+1</f>
        <v>1401</v>
      </c>
      <c r="P161" s="54">
        <f ca="1">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1701</v>
      </c>
    </row>
    <row r="162" spans="1:16" s="54" customFormat="1" ht="15.75" hidden="1" customHeight="1" x14ac:dyDescent="0.3">
      <c r="A162" s="60">
        <v>2</v>
      </c>
      <c r="B162" s="61"/>
      <c r="C162" s="25" t="s">
        <v>188</v>
      </c>
      <c r="D162" s="25">
        <f t="shared" ref="D162:D168" si="25">(28.01+2.59)*10.764</f>
        <v>329.3784</v>
      </c>
      <c r="E162" s="25">
        <v>0</v>
      </c>
      <c r="F162" s="25">
        <f t="shared" si="23"/>
        <v>510.53652</v>
      </c>
      <c r="G162" s="60" t="str">
        <f t="shared" ref="G162:G168" si="26">G161</f>
        <v>14th to 17th Floor</v>
      </c>
      <c r="H162" s="61"/>
      <c r="I162" s="53"/>
      <c r="N162" s="54" t="str">
        <f t="shared" ca="1" si="24"/>
        <v>1402 to 1702</v>
      </c>
      <c r="O162" s="54">
        <f t="shared" ref="O162:P162" ca="1" si="27">O161+1</f>
        <v>1402</v>
      </c>
      <c r="P162" s="54">
        <f t="shared" ca="1" si="27"/>
        <v>1702</v>
      </c>
    </row>
    <row r="163" spans="1:16" s="54" customFormat="1" ht="15.75" hidden="1" customHeight="1" x14ac:dyDescent="0.3">
      <c r="A163" s="60">
        <v>3</v>
      </c>
      <c r="B163" s="61"/>
      <c r="C163" s="25" t="s">
        <v>188</v>
      </c>
      <c r="D163" s="25">
        <f t="shared" si="25"/>
        <v>329.3784</v>
      </c>
      <c r="E163" s="25">
        <v>0</v>
      </c>
      <c r="F163" s="25">
        <f t="shared" si="23"/>
        <v>510.53652</v>
      </c>
      <c r="G163" s="60" t="str">
        <f t="shared" si="26"/>
        <v>14th to 17th Floor</v>
      </c>
      <c r="H163" s="61"/>
      <c r="I163" s="53"/>
      <c r="N163" s="54" t="str">
        <f t="shared" ca="1" si="24"/>
        <v>1403 to 1703</v>
      </c>
      <c r="O163" s="54">
        <f t="shared" ref="O163:P163" ca="1" si="28">O162+1</f>
        <v>1403</v>
      </c>
      <c r="P163" s="54">
        <f t="shared" ca="1" si="28"/>
        <v>1703</v>
      </c>
    </row>
    <row r="164" spans="1:16" s="54" customFormat="1" ht="15.75" hidden="1" customHeight="1" x14ac:dyDescent="0.3">
      <c r="A164" s="60">
        <v>4</v>
      </c>
      <c r="B164" s="61"/>
      <c r="C164" s="25" t="s">
        <v>188</v>
      </c>
      <c r="D164" s="25">
        <f t="shared" si="25"/>
        <v>329.3784</v>
      </c>
      <c r="E164" s="25">
        <v>0</v>
      </c>
      <c r="F164" s="25">
        <f>D164*(($F$132)+1)+E164</f>
        <v>510.53652</v>
      </c>
      <c r="G164" s="60" t="str">
        <f t="shared" si="26"/>
        <v>14th to 17th Floor</v>
      </c>
      <c r="H164" s="61"/>
      <c r="I164" s="53"/>
      <c r="N164" s="54" t="str">
        <f t="shared" ca="1" si="24"/>
        <v>1404 to 1704</v>
      </c>
      <c r="O164" s="54">
        <f t="shared" ref="O164:P164" ca="1" si="29">O163+1</f>
        <v>1404</v>
      </c>
      <c r="P164" s="54">
        <f t="shared" ca="1" si="29"/>
        <v>1704</v>
      </c>
    </row>
    <row r="165" spans="1:16" s="54" customFormat="1" ht="15.75" hidden="1" customHeight="1" x14ac:dyDescent="0.3">
      <c r="A165" s="60">
        <v>5</v>
      </c>
      <c r="B165" s="61"/>
      <c r="C165" s="25" t="s">
        <v>188</v>
      </c>
      <c r="D165" s="25">
        <f t="shared" si="25"/>
        <v>329.3784</v>
      </c>
      <c r="E165" s="25">
        <v>0</v>
      </c>
      <c r="F165" s="25">
        <f t="shared" ref="F165:F168" si="30">D165*(($F$132)+1)+E165</f>
        <v>510.53652</v>
      </c>
      <c r="G165" s="60" t="str">
        <f t="shared" si="26"/>
        <v>14th to 17th Floor</v>
      </c>
      <c r="H165" s="61"/>
      <c r="I165" s="53"/>
      <c r="N165" s="54" t="str">
        <f t="shared" ca="1" si="24"/>
        <v>1405 to 1705</v>
      </c>
      <c r="O165" s="54">
        <f t="shared" ref="O165:P165" ca="1" si="31">O164+1</f>
        <v>1405</v>
      </c>
      <c r="P165" s="54">
        <f t="shared" ca="1" si="31"/>
        <v>1705</v>
      </c>
    </row>
    <row r="166" spans="1:16" s="54" customFormat="1" ht="15.75" hidden="1" customHeight="1" x14ac:dyDescent="0.3">
      <c r="A166" s="60">
        <v>6</v>
      </c>
      <c r="B166" s="61"/>
      <c r="C166" s="25" t="s">
        <v>188</v>
      </c>
      <c r="D166" s="25">
        <f t="shared" si="25"/>
        <v>329.3784</v>
      </c>
      <c r="E166" s="25">
        <v>0</v>
      </c>
      <c r="F166" s="25">
        <f t="shared" si="30"/>
        <v>510.53652</v>
      </c>
      <c r="G166" s="60" t="str">
        <f t="shared" si="26"/>
        <v>14th to 17th Floor</v>
      </c>
      <c r="H166" s="61"/>
      <c r="I166" s="53">
        <f>(2.75*3.3+1.67*2.58+2.75*3.03+1.415*1.215+1.27*1.135+0.96*1.215+1.1*2.75)*10.764</f>
        <v>312.88983569999994</v>
      </c>
      <c r="N166" s="54" t="str">
        <f t="shared" ca="1" si="24"/>
        <v>1406 to 1706</v>
      </c>
      <c r="O166" s="54">
        <f t="shared" ref="O166:P166" ca="1" si="32">O165+1</f>
        <v>1406</v>
      </c>
      <c r="P166" s="54">
        <f t="shared" ca="1" si="32"/>
        <v>1706</v>
      </c>
    </row>
    <row r="167" spans="1:16" s="54" customFormat="1" ht="15.75" hidden="1" customHeight="1" x14ac:dyDescent="0.3">
      <c r="A167" s="60">
        <v>7</v>
      </c>
      <c r="B167" s="61"/>
      <c r="C167" s="25" t="s">
        <v>188</v>
      </c>
      <c r="D167" s="25">
        <f t="shared" si="25"/>
        <v>329.3784</v>
      </c>
      <c r="E167" s="25">
        <v>0</v>
      </c>
      <c r="F167" s="25">
        <f t="shared" si="30"/>
        <v>510.53652</v>
      </c>
      <c r="G167" s="60" t="str">
        <f t="shared" si="26"/>
        <v>14th to 17th Floor</v>
      </c>
      <c r="H167" s="61"/>
      <c r="I167" s="53"/>
      <c r="N167" s="54" t="str">
        <f t="shared" ca="1" si="24"/>
        <v>1407 to 1707</v>
      </c>
      <c r="O167" s="54">
        <f t="shared" ref="O167:P167" ca="1" si="33">O166+1</f>
        <v>1407</v>
      </c>
      <c r="P167" s="54">
        <f t="shared" ca="1" si="33"/>
        <v>1707</v>
      </c>
    </row>
    <row r="168" spans="1:16" s="54" customFormat="1" ht="15.75" hidden="1" customHeight="1" x14ac:dyDescent="0.3">
      <c r="A168" s="60">
        <v>8</v>
      </c>
      <c r="B168" s="61"/>
      <c r="C168" s="25" t="s">
        <v>188</v>
      </c>
      <c r="D168" s="25">
        <f t="shared" si="25"/>
        <v>329.3784</v>
      </c>
      <c r="E168" s="25">
        <v>0</v>
      </c>
      <c r="F168" s="25">
        <f t="shared" si="30"/>
        <v>510.53652</v>
      </c>
      <c r="G168" s="60" t="str">
        <f t="shared" si="26"/>
        <v>14th to 17th Floor</v>
      </c>
      <c r="H168" s="61"/>
      <c r="I168" s="53"/>
      <c r="N168" s="54" t="str">
        <f t="shared" ca="1" si="24"/>
        <v>1408 to 1708</v>
      </c>
      <c r="O168" s="54">
        <f t="shared" ref="O168:P168" ca="1" si="34">O167+1</f>
        <v>1408</v>
      </c>
      <c r="P168" s="54">
        <f t="shared" ca="1" si="34"/>
        <v>1708</v>
      </c>
    </row>
    <row r="169" spans="1:16" s="54" customFormat="1" hidden="1" x14ac:dyDescent="0.3">
      <c r="A169" s="64" t="s">
        <v>191</v>
      </c>
      <c r="B169" s="65"/>
      <c r="C169" s="65"/>
      <c r="D169" s="65"/>
      <c r="E169" s="65"/>
      <c r="F169" s="65"/>
      <c r="G169" s="65"/>
      <c r="H169" s="66"/>
      <c r="I169" s="53"/>
    </row>
    <row r="170" spans="1:16" s="54" customFormat="1" hidden="1" x14ac:dyDescent="0.3">
      <c r="A170" s="60">
        <v>1</v>
      </c>
      <c r="B170" s="61"/>
      <c r="C170" s="25" t="s">
        <v>188</v>
      </c>
      <c r="D170" s="25">
        <f>(28.01+2.59)*10.764</f>
        <v>329.3784</v>
      </c>
      <c r="E170" s="25">
        <v>0</v>
      </c>
      <c r="F170" s="25">
        <f t="shared" ref="F170:F172" si="35">D170*(($F$132)+1)+E170</f>
        <v>510.53652</v>
      </c>
      <c r="G170" s="60" t="str">
        <f>A169</f>
        <v>19th to 23th Floor</v>
      </c>
      <c r="H170" s="61"/>
      <c r="I170" s="53"/>
      <c r="N170" s="54" t="str">
        <f t="shared" ref="N170:N177" ca="1" si="36">O170&amp;""&amp;" to "&amp;""&amp;P170</f>
        <v>1901 to 2301</v>
      </c>
      <c r="O170" s="54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</f>
        <v>1901</v>
      </c>
      <c r="P170" s="54">
        <f ca="1">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2301</v>
      </c>
    </row>
    <row r="171" spans="1:16" s="54" customFormat="1" ht="15.75" hidden="1" customHeight="1" x14ac:dyDescent="0.3">
      <c r="A171" s="60">
        <v>2</v>
      </c>
      <c r="B171" s="61"/>
      <c r="C171" s="25" t="s">
        <v>188</v>
      </c>
      <c r="D171" s="25">
        <f t="shared" ref="D171:D177" si="37">(28.01+2.59)*10.764</f>
        <v>329.3784</v>
      </c>
      <c r="E171" s="25">
        <v>0</v>
      </c>
      <c r="F171" s="25">
        <f t="shared" si="35"/>
        <v>510.53652</v>
      </c>
      <c r="G171" s="60" t="str">
        <f t="shared" ref="G171:G177" si="38">G170</f>
        <v>19th to 23th Floor</v>
      </c>
      <c r="H171" s="61"/>
      <c r="I171" s="53"/>
      <c r="N171" s="54" t="str">
        <f t="shared" ca="1" si="36"/>
        <v>1902 to 2302</v>
      </c>
      <c r="O171" s="54">
        <f t="shared" ref="O171:P171" ca="1" si="39">O170+1</f>
        <v>1902</v>
      </c>
      <c r="P171" s="54">
        <f t="shared" ca="1" si="39"/>
        <v>2302</v>
      </c>
    </row>
    <row r="172" spans="1:16" s="54" customFormat="1" ht="15.75" hidden="1" customHeight="1" x14ac:dyDescent="0.3">
      <c r="A172" s="60">
        <v>3</v>
      </c>
      <c r="B172" s="61"/>
      <c r="C172" s="25" t="s">
        <v>188</v>
      </c>
      <c r="D172" s="25">
        <f t="shared" si="37"/>
        <v>329.3784</v>
      </c>
      <c r="E172" s="25">
        <v>0</v>
      </c>
      <c r="F172" s="25">
        <f t="shared" si="35"/>
        <v>510.53652</v>
      </c>
      <c r="G172" s="60" t="str">
        <f t="shared" si="38"/>
        <v>19th to 23th Floor</v>
      </c>
      <c r="H172" s="61"/>
      <c r="I172" s="53"/>
      <c r="N172" s="54" t="str">
        <f t="shared" ca="1" si="36"/>
        <v>1903 to 2303</v>
      </c>
      <c r="O172" s="54">
        <f t="shared" ref="O172:P172" ca="1" si="40">O171+1</f>
        <v>1903</v>
      </c>
      <c r="P172" s="54">
        <f t="shared" ca="1" si="40"/>
        <v>2303</v>
      </c>
    </row>
    <row r="173" spans="1:16" s="54" customFormat="1" ht="15.75" hidden="1" customHeight="1" x14ac:dyDescent="0.3">
      <c r="A173" s="60">
        <v>4</v>
      </c>
      <c r="B173" s="61"/>
      <c r="C173" s="25" t="s">
        <v>188</v>
      </c>
      <c r="D173" s="25">
        <f t="shared" si="37"/>
        <v>329.3784</v>
      </c>
      <c r="E173" s="25">
        <v>0</v>
      </c>
      <c r="F173" s="25">
        <f>D173*(($F$132)+1)+E173</f>
        <v>510.53652</v>
      </c>
      <c r="G173" s="60" t="str">
        <f t="shared" si="38"/>
        <v>19th to 23th Floor</v>
      </c>
      <c r="H173" s="61"/>
      <c r="I173" s="53"/>
      <c r="N173" s="54" t="str">
        <f t="shared" ca="1" si="36"/>
        <v>1904 to 2304</v>
      </c>
      <c r="O173" s="54">
        <f t="shared" ref="O173:P173" ca="1" si="41">O172+1</f>
        <v>1904</v>
      </c>
      <c r="P173" s="54">
        <f t="shared" ca="1" si="41"/>
        <v>2304</v>
      </c>
    </row>
    <row r="174" spans="1:16" s="54" customFormat="1" ht="15.75" hidden="1" customHeight="1" x14ac:dyDescent="0.3">
      <c r="A174" s="60">
        <v>5</v>
      </c>
      <c r="B174" s="61"/>
      <c r="C174" s="25" t="s">
        <v>188</v>
      </c>
      <c r="D174" s="25">
        <f t="shared" si="37"/>
        <v>329.3784</v>
      </c>
      <c r="E174" s="25">
        <v>0</v>
      </c>
      <c r="F174" s="25">
        <f t="shared" ref="F174:F177" si="42">D174*(($F$132)+1)+E174</f>
        <v>510.53652</v>
      </c>
      <c r="G174" s="60" t="str">
        <f t="shared" si="38"/>
        <v>19th to 23th Floor</v>
      </c>
      <c r="H174" s="61"/>
      <c r="I174" s="53"/>
      <c r="N174" s="54" t="str">
        <f t="shared" ca="1" si="36"/>
        <v>1905 to 2305</v>
      </c>
      <c r="O174" s="54">
        <f t="shared" ref="O174:P174" ca="1" si="43">O173+1</f>
        <v>1905</v>
      </c>
      <c r="P174" s="54">
        <f t="shared" ca="1" si="43"/>
        <v>2305</v>
      </c>
    </row>
    <row r="175" spans="1:16" s="54" customFormat="1" ht="15.75" hidden="1" customHeight="1" x14ac:dyDescent="0.3">
      <c r="A175" s="60">
        <v>6</v>
      </c>
      <c r="B175" s="61"/>
      <c r="C175" s="25" t="s">
        <v>188</v>
      </c>
      <c r="D175" s="25">
        <f t="shared" si="37"/>
        <v>329.3784</v>
      </c>
      <c r="E175" s="25">
        <v>0</v>
      </c>
      <c r="F175" s="25">
        <f t="shared" si="42"/>
        <v>510.53652</v>
      </c>
      <c r="G175" s="60" t="str">
        <f t="shared" si="38"/>
        <v>19th to 23th Floor</v>
      </c>
      <c r="H175" s="61"/>
      <c r="I175" s="53">
        <f>(2.75*3.3+1.67*2.58+2.75*3.03+1.415*1.215+1.27*1.135+0.96*1.215+1.1*2.75)*10.764</f>
        <v>312.88983569999994</v>
      </c>
      <c r="N175" s="54" t="str">
        <f t="shared" ca="1" si="36"/>
        <v>1906 to 2306</v>
      </c>
      <c r="O175" s="54">
        <f t="shared" ref="O175:P175" ca="1" si="44">O174+1</f>
        <v>1906</v>
      </c>
      <c r="P175" s="54">
        <f t="shared" ca="1" si="44"/>
        <v>2306</v>
      </c>
    </row>
    <row r="176" spans="1:16" s="54" customFormat="1" ht="15.75" hidden="1" customHeight="1" x14ac:dyDescent="0.3">
      <c r="A176" s="60">
        <v>7</v>
      </c>
      <c r="B176" s="61"/>
      <c r="C176" s="25" t="s">
        <v>188</v>
      </c>
      <c r="D176" s="25">
        <f t="shared" si="37"/>
        <v>329.3784</v>
      </c>
      <c r="E176" s="25">
        <v>0</v>
      </c>
      <c r="F176" s="25">
        <f t="shared" si="42"/>
        <v>510.53652</v>
      </c>
      <c r="G176" s="60" t="str">
        <f t="shared" si="38"/>
        <v>19th to 23th Floor</v>
      </c>
      <c r="H176" s="61"/>
      <c r="I176" s="53"/>
      <c r="N176" s="54" t="str">
        <f t="shared" ca="1" si="36"/>
        <v>1907 to 2307</v>
      </c>
      <c r="O176" s="54">
        <f t="shared" ref="O176:P176" ca="1" si="45">O175+1</f>
        <v>1907</v>
      </c>
      <c r="P176" s="54">
        <f t="shared" ca="1" si="45"/>
        <v>2307</v>
      </c>
    </row>
    <row r="177" spans="1:16" s="54" customFormat="1" ht="15.75" hidden="1" customHeight="1" x14ac:dyDescent="0.3">
      <c r="A177" s="60">
        <v>8</v>
      </c>
      <c r="B177" s="61"/>
      <c r="C177" s="25" t="s">
        <v>188</v>
      </c>
      <c r="D177" s="25">
        <f t="shared" si="37"/>
        <v>329.3784</v>
      </c>
      <c r="E177" s="25">
        <v>0</v>
      </c>
      <c r="F177" s="25">
        <f t="shared" si="42"/>
        <v>510.53652</v>
      </c>
      <c r="G177" s="60" t="str">
        <f t="shared" si="38"/>
        <v>19th to 23th Floor</v>
      </c>
      <c r="H177" s="61"/>
      <c r="I177" s="53"/>
      <c r="N177" s="54" t="str">
        <f t="shared" ca="1" si="36"/>
        <v>1908 to 2308</v>
      </c>
      <c r="O177" s="54">
        <f t="shared" ref="O177:P177" ca="1" si="46">O176+1</f>
        <v>1908</v>
      </c>
      <c r="P177" s="54">
        <f t="shared" ca="1" si="46"/>
        <v>2308</v>
      </c>
    </row>
    <row r="178" spans="1:16" x14ac:dyDescent="0.3">
      <c r="A178" s="108" t="s">
        <v>215</v>
      </c>
      <c r="B178" s="108"/>
      <c r="C178" s="108"/>
      <c r="D178" s="108"/>
      <c r="E178" s="108"/>
      <c r="F178" s="108"/>
      <c r="G178" s="108"/>
      <c r="H178" s="108"/>
    </row>
    <row r="179" spans="1:16" x14ac:dyDescent="0.3">
      <c r="A179" s="108" t="s">
        <v>187</v>
      </c>
      <c r="B179" s="108"/>
      <c r="C179" s="108"/>
      <c r="D179" s="108"/>
      <c r="E179" s="108"/>
      <c r="F179" s="108"/>
      <c r="G179" s="108"/>
      <c r="H179" s="108"/>
    </row>
    <row r="180" spans="1:16" s="54" customFormat="1" x14ac:dyDescent="0.3">
      <c r="A180" s="149" t="s">
        <v>189</v>
      </c>
      <c r="B180" s="149"/>
      <c r="C180" s="149"/>
      <c r="D180" s="149"/>
      <c r="E180" s="149"/>
      <c r="F180" s="149"/>
      <c r="G180" s="149"/>
      <c r="H180" s="149"/>
      <c r="I180" s="53"/>
      <c r="L180" s="109"/>
      <c r="M180" s="109"/>
    </row>
    <row r="181" spans="1:16" s="54" customFormat="1" ht="15.75" customHeight="1" x14ac:dyDescent="0.3">
      <c r="A181" s="113">
        <v>1</v>
      </c>
      <c r="B181" s="113"/>
      <c r="C181" s="25" t="s">
        <v>188</v>
      </c>
      <c r="D181" s="25">
        <f t="shared" ref="D181:D186" si="47">(28.01+2.59)*10.764</f>
        <v>329.3784</v>
      </c>
      <c r="E181" s="25">
        <v>0</v>
      </c>
      <c r="F181" s="25">
        <f>D181*(($F$132)+1)+E181</f>
        <v>510.53652</v>
      </c>
      <c r="G181" s="68" t="str">
        <f>A180</f>
        <v>1st Floor for Residential</v>
      </c>
      <c r="H181" s="69"/>
      <c r="I181" s="53">
        <f>(2.75*3.3+1.67*2.58+2.75*3.03+1.415*1.215+1.27*1.135+0.95*1.215+1*2.75)*10.764</f>
        <v>309.79895310000001</v>
      </c>
      <c r="N181" s="53"/>
    </row>
    <row r="182" spans="1:16" s="54" customFormat="1" ht="15.75" customHeight="1" x14ac:dyDescent="0.3">
      <c r="A182" s="113">
        <f>A181+1</f>
        <v>2</v>
      </c>
      <c r="B182" s="113"/>
      <c r="C182" s="25" t="s">
        <v>188</v>
      </c>
      <c r="D182" s="25">
        <f t="shared" si="47"/>
        <v>329.3784</v>
      </c>
      <c r="E182" s="25">
        <v>0</v>
      </c>
      <c r="F182" s="25">
        <f t="shared" ref="F182:F186" si="48">D182*(($F$132)+1)+E182</f>
        <v>510.53652</v>
      </c>
      <c r="G182" s="70"/>
      <c r="H182" s="71"/>
      <c r="I182" s="53"/>
      <c r="N182" s="53"/>
    </row>
    <row r="183" spans="1:16" s="54" customFormat="1" ht="15.75" customHeight="1" x14ac:dyDescent="0.3">
      <c r="A183" s="113">
        <f>A182+1</f>
        <v>3</v>
      </c>
      <c r="B183" s="113"/>
      <c r="C183" s="25" t="s">
        <v>188</v>
      </c>
      <c r="D183" s="25">
        <f t="shared" si="47"/>
        <v>329.3784</v>
      </c>
      <c r="E183" s="25">
        <v>0</v>
      </c>
      <c r="F183" s="25">
        <f t="shared" si="48"/>
        <v>510.53652</v>
      </c>
      <c r="G183" s="70"/>
      <c r="H183" s="71"/>
      <c r="I183" s="53"/>
      <c r="N183" s="53"/>
    </row>
    <row r="184" spans="1:16" s="54" customFormat="1" ht="15.75" customHeight="1" x14ac:dyDescent="0.3">
      <c r="A184" s="113">
        <f t="shared" ref="A184:A186" si="49">A183+1</f>
        <v>4</v>
      </c>
      <c r="B184" s="113"/>
      <c r="C184" s="25" t="s">
        <v>188</v>
      </c>
      <c r="D184" s="25">
        <f t="shared" si="47"/>
        <v>329.3784</v>
      </c>
      <c r="E184" s="25">
        <v>0</v>
      </c>
      <c r="F184" s="25">
        <f t="shared" si="48"/>
        <v>510.53652</v>
      </c>
      <c r="G184" s="70"/>
      <c r="H184" s="71"/>
      <c r="I184" s="53"/>
      <c r="N184" s="53"/>
    </row>
    <row r="185" spans="1:16" s="54" customFormat="1" ht="15.75" customHeight="1" x14ac:dyDescent="0.3">
      <c r="A185" s="113">
        <f t="shared" si="49"/>
        <v>5</v>
      </c>
      <c r="B185" s="113"/>
      <c r="C185" s="25" t="s">
        <v>188</v>
      </c>
      <c r="D185" s="25">
        <f t="shared" si="47"/>
        <v>329.3784</v>
      </c>
      <c r="E185" s="25">
        <v>0</v>
      </c>
      <c r="F185" s="25">
        <f t="shared" si="48"/>
        <v>510.53652</v>
      </c>
      <c r="G185" s="70"/>
      <c r="H185" s="71"/>
      <c r="I185" s="53"/>
      <c r="N185" s="53"/>
    </row>
    <row r="186" spans="1:16" s="54" customFormat="1" ht="15.75" customHeight="1" x14ac:dyDescent="0.3">
      <c r="A186" s="113">
        <f t="shared" si="49"/>
        <v>6</v>
      </c>
      <c r="B186" s="113"/>
      <c r="C186" s="25" t="s">
        <v>188</v>
      </c>
      <c r="D186" s="25">
        <f t="shared" si="47"/>
        <v>329.3784</v>
      </c>
      <c r="E186" s="25">
        <v>0</v>
      </c>
      <c r="F186" s="25">
        <f t="shared" si="48"/>
        <v>510.53652</v>
      </c>
      <c r="G186" s="72"/>
      <c r="H186" s="73"/>
      <c r="I186" s="53"/>
      <c r="N186" s="53"/>
    </row>
    <row r="187" spans="1:16" s="54" customFormat="1" x14ac:dyDescent="0.3">
      <c r="A187" s="64" t="s">
        <v>214</v>
      </c>
      <c r="B187" s="65"/>
      <c r="C187" s="65"/>
      <c r="D187" s="65"/>
      <c r="E187" s="65"/>
      <c r="F187" s="65"/>
      <c r="G187" s="65"/>
      <c r="H187" s="66"/>
      <c r="I187" s="53"/>
    </row>
    <row r="188" spans="1:16" s="54" customFormat="1" ht="15.75" customHeight="1" x14ac:dyDescent="0.3">
      <c r="A188" s="60">
        <v>1</v>
      </c>
      <c r="B188" s="61"/>
      <c r="C188" s="25" t="s">
        <v>188</v>
      </c>
      <c r="D188" s="25">
        <f>(28.01+2.59)*10.764</f>
        <v>329.3784</v>
      </c>
      <c r="E188" s="25">
        <v>0</v>
      </c>
      <c r="F188" s="25">
        <f t="shared" ref="F188:F190" si="50">D188*(($F$132)+1)+E188</f>
        <v>510.53652</v>
      </c>
      <c r="G188" s="68" t="str">
        <f>A187</f>
        <v>2nd to 12th, 14th to 17th &amp; 19th to 23rd Floor</v>
      </c>
      <c r="H188" s="69"/>
      <c r="I188" s="53">
        <v>2337000</v>
      </c>
      <c r="J188" s="54">
        <f>I188/F188</f>
        <v>4577.5373718612727</v>
      </c>
      <c r="N188" s="54" t="str">
        <f t="shared" ref="N188:N195" ca="1" si="51">O188&amp;""&amp;" to "&amp;""&amp;P188</f>
        <v>201 to 2301</v>
      </c>
      <c r="O188" s="54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</f>
        <v>201</v>
      </c>
      <c r="P188" s="54">
        <f ca="1">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2301</v>
      </c>
    </row>
    <row r="189" spans="1:16" s="54" customFormat="1" ht="15.75" customHeight="1" x14ac:dyDescent="0.3">
      <c r="A189" s="60">
        <v>2</v>
      </c>
      <c r="B189" s="61"/>
      <c r="C189" s="25" t="s">
        <v>188</v>
      </c>
      <c r="D189" s="25">
        <f t="shared" ref="D189:D195" si="52">(28.01+2.59)*10.764</f>
        <v>329.3784</v>
      </c>
      <c r="E189" s="25">
        <v>0</v>
      </c>
      <c r="F189" s="25">
        <f t="shared" si="50"/>
        <v>510.53652</v>
      </c>
      <c r="G189" s="70"/>
      <c r="H189" s="71"/>
      <c r="I189" s="53"/>
      <c r="N189" s="54" t="str">
        <f t="shared" ca="1" si="51"/>
        <v>202 to 2302</v>
      </c>
      <c r="O189" s="54">
        <f t="shared" ref="O189:P189" ca="1" si="53">O188+1</f>
        <v>202</v>
      </c>
      <c r="P189" s="54">
        <f t="shared" ca="1" si="53"/>
        <v>2302</v>
      </c>
    </row>
    <row r="190" spans="1:16" s="54" customFormat="1" ht="15.75" customHeight="1" x14ac:dyDescent="0.3">
      <c r="A190" s="60">
        <v>3</v>
      </c>
      <c r="B190" s="61"/>
      <c r="C190" s="25" t="s">
        <v>188</v>
      </c>
      <c r="D190" s="25">
        <f t="shared" si="52"/>
        <v>329.3784</v>
      </c>
      <c r="E190" s="25">
        <v>0</v>
      </c>
      <c r="F190" s="25">
        <f t="shared" si="50"/>
        <v>510.53652</v>
      </c>
      <c r="G190" s="70"/>
      <c r="H190" s="71"/>
      <c r="I190" s="53">
        <v>3077000</v>
      </c>
      <c r="J190" s="54">
        <f>I190/F190</f>
        <v>6026.9929367638579</v>
      </c>
      <c r="N190" s="54" t="str">
        <f t="shared" ca="1" si="51"/>
        <v>203 to 2303</v>
      </c>
      <c r="O190" s="54">
        <f t="shared" ref="O190:P190" ca="1" si="54">O189+1</f>
        <v>203</v>
      </c>
      <c r="P190" s="54">
        <f t="shared" ca="1" si="54"/>
        <v>2303</v>
      </c>
    </row>
    <row r="191" spans="1:16" s="54" customFormat="1" ht="15.75" customHeight="1" x14ac:dyDescent="0.3">
      <c r="A191" s="60">
        <v>4</v>
      </c>
      <c r="B191" s="61"/>
      <c r="C191" s="25" t="s">
        <v>188</v>
      </c>
      <c r="D191" s="25">
        <f t="shared" si="52"/>
        <v>329.3784</v>
      </c>
      <c r="E191" s="25">
        <v>0</v>
      </c>
      <c r="F191" s="25">
        <f>D191*(($F$132)+1)+E191</f>
        <v>510.53652</v>
      </c>
      <c r="G191" s="70"/>
      <c r="H191" s="71"/>
      <c r="I191" s="53"/>
      <c r="N191" s="54" t="str">
        <f t="shared" ca="1" si="51"/>
        <v>204 to 2304</v>
      </c>
      <c r="O191" s="54">
        <f t="shared" ref="O191:P191" ca="1" si="55">O190+1</f>
        <v>204</v>
      </c>
      <c r="P191" s="54">
        <f t="shared" ca="1" si="55"/>
        <v>2304</v>
      </c>
    </row>
    <row r="192" spans="1:16" s="54" customFormat="1" ht="15.75" customHeight="1" x14ac:dyDescent="0.3">
      <c r="A192" s="60">
        <v>5</v>
      </c>
      <c r="B192" s="61"/>
      <c r="C192" s="25" t="s">
        <v>188</v>
      </c>
      <c r="D192" s="25">
        <f t="shared" si="52"/>
        <v>329.3784</v>
      </c>
      <c r="E192" s="25">
        <v>0</v>
      </c>
      <c r="F192" s="25">
        <f t="shared" ref="F192:F195" si="56">D192*(($F$132)+1)+E192</f>
        <v>510.53652</v>
      </c>
      <c r="G192" s="70"/>
      <c r="H192" s="71"/>
      <c r="I192" s="53"/>
      <c r="N192" s="54" t="str">
        <f t="shared" ca="1" si="51"/>
        <v>205 to 2305</v>
      </c>
      <c r="O192" s="54">
        <f t="shared" ref="O192:P192" ca="1" si="57">O191+1</f>
        <v>205</v>
      </c>
      <c r="P192" s="54">
        <f t="shared" ca="1" si="57"/>
        <v>2305</v>
      </c>
    </row>
    <row r="193" spans="1:16" s="54" customFormat="1" ht="15.75" customHeight="1" x14ac:dyDescent="0.3">
      <c r="A193" s="60">
        <v>6</v>
      </c>
      <c r="B193" s="61"/>
      <c r="C193" s="25" t="s">
        <v>188</v>
      </c>
      <c r="D193" s="25">
        <f t="shared" si="52"/>
        <v>329.3784</v>
      </c>
      <c r="E193" s="25">
        <v>0</v>
      </c>
      <c r="F193" s="25">
        <f t="shared" si="56"/>
        <v>510.53652</v>
      </c>
      <c r="G193" s="70"/>
      <c r="H193" s="71"/>
      <c r="I193" s="53">
        <f>(2.75*3.3+1.67*2.58+2.75*3.03+1.415*1.215+1.27*1.135+0.96*1.215+1.1*2.75)*10.764</f>
        <v>312.88983569999994</v>
      </c>
      <c r="N193" s="54" t="str">
        <f t="shared" ca="1" si="51"/>
        <v>206 to 2306</v>
      </c>
      <c r="O193" s="54">
        <f t="shared" ref="O193:P193" ca="1" si="58">O192+1</f>
        <v>206</v>
      </c>
      <c r="P193" s="54">
        <f t="shared" ca="1" si="58"/>
        <v>2306</v>
      </c>
    </row>
    <row r="194" spans="1:16" s="54" customFormat="1" ht="15.75" customHeight="1" x14ac:dyDescent="0.3">
      <c r="A194" s="60">
        <v>7</v>
      </c>
      <c r="B194" s="61"/>
      <c r="C194" s="25" t="s">
        <v>188</v>
      </c>
      <c r="D194" s="25">
        <f t="shared" si="52"/>
        <v>329.3784</v>
      </c>
      <c r="E194" s="25">
        <v>0</v>
      </c>
      <c r="F194" s="25">
        <f t="shared" si="56"/>
        <v>510.53652</v>
      </c>
      <c r="G194" s="70"/>
      <c r="H194" s="71"/>
      <c r="I194" s="53"/>
      <c r="N194" s="54" t="str">
        <f t="shared" ca="1" si="51"/>
        <v>207 to 2307</v>
      </c>
      <c r="O194" s="54">
        <f t="shared" ref="O194:P194" ca="1" si="59">O193+1</f>
        <v>207</v>
      </c>
      <c r="P194" s="54">
        <f t="shared" ca="1" si="59"/>
        <v>2307</v>
      </c>
    </row>
    <row r="195" spans="1:16" s="54" customFormat="1" ht="15.75" customHeight="1" x14ac:dyDescent="0.3">
      <c r="A195" s="60">
        <v>8</v>
      </c>
      <c r="B195" s="61"/>
      <c r="C195" s="25" t="s">
        <v>188</v>
      </c>
      <c r="D195" s="25">
        <f t="shared" si="52"/>
        <v>329.3784</v>
      </c>
      <c r="E195" s="25">
        <v>0</v>
      </c>
      <c r="F195" s="25">
        <f t="shared" si="56"/>
        <v>510.53652</v>
      </c>
      <c r="G195" s="72"/>
      <c r="H195" s="73"/>
      <c r="I195" s="53"/>
      <c r="N195" s="54" t="str">
        <f t="shared" ca="1" si="51"/>
        <v>208 to 2308</v>
      </c>
      <c r="O195" s="54">
        <f t="shared" ref="O195:P195" ca="1" si="60">O194+1</f>
        <v>208</v>
      </c>
      <c r="P195" s="54">
        <f t="shared" ca="1" si="60"/>
        <v>2308</v>
      </c>
    </row>
    <row r="196" spans="1:16" s="54" customFormat="1" x14ac:dyDescent="0.3">
      <c r="A196" s="64" t="s">
        <v>192</v>
      </c>
      <c r="B196" s="65"/>
      <c r="C196" s="65"/>
      <c r="D196" s="65"/>
      <c r="E196" s="65"/>
      <c r="F196" s="65"/>
      <c r="G196" s="65"/>
      <c r="H196" s="66"/>
      <c r="I196" s="53"/>
    </row>
    <row r="197" spans="1:16" s="54" customFormat="1" ht="15.75" customHeight="1" x14ac:dyDescent="0.3">
      <c r="A197" s="60">
        <v>1</v>
      </c>
      <c r="B197" s="61"/>
      <c r="C197" s="25" t="s">
        <v>188</v>
      </c>
      <c r="D197" s="25">
        <f>(28.01+2.59)*10.764</f>
        <v>329.3784</v>
      </c>
      <c r="E197" s="25">
        <v>0</v>
      </c>
      <c r="F197" s="25">
        <f t="shared" ref="F197:F199" si="61">D197*(($F$132)+1)+E197</f>
        <v>510.53652</v>
      </c>
      <c r="G197" s="68" t="str">
        <f>A196</f>
        <v>13th &amp; 18th Floor (Part Refuge Area)</v>
      </c>
      <c r="H197" s="69"/>
      <c r="I197" s="53"/>
      <c r="N197" s="54" t="str">
        <f t="shared" ref="N197:N203" ca="1" si="62">O197&amp;""&amp;" to "&amp;""&amp;P197</f>
        <v>1301 to 1801</v>
      </c>
      <c r="O197" s="54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10^ROW(INDIRECT("1:"&amp;LEN((LEFT(A196,SUM(LEN(A196)-LEN(SUBSTITUTE(A196,{"0","1","2"},""))))))))/10))*100+1</f>
        <v>1301</v>
      </c>
      <c r="P197" s="54">
        <f ca="1">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",LEN(A196))),LEN(A196)))))))/10))*100+1</f>
        <v>1801</v>
      </c>
    </row>
    <row r="198" spans="1:16" s="54" customFormat="1" ht="15.75" customHeight="1" x14ac:dyDescent="0.3">
      <c r="A198" s="60">
        <v>2</v>
      </c>
      <c r="B198" s="61"/>
      <c r="C198" s="25" t="s">
        <v>188</v>
      </c>
      <c r="D198" s="25">
        <f t="shared" ref="D198:D203" si="63">(28.01+2.59)*10.764</f>
        <v>329.3784</v>
      </c>
      <c r="E198" s="25">
        <v>0</v>
      </c>
      <c r="F198" s="25">
        <f t="shared" si="61"/>
        <v>510.53652</v>
      </c>
      <c r="G198" s="70"/>
      <c r="H198" s="71"/>
      <c r="I198" s="53"/>
      <c r="N198" s="54" t="str">
        <f t="shared" ca="1" si="62"/>
        <v>1302 to 1802</v>
      </c>
      <c r="O198" s="54">
        <f t="shared" ref="O198:P198" ca="1" si="64">O197+1</f>
        <v>1302</v>
      </c>
      <c r="P198" s="54">
        <f t="shared" ca="1" si="64"/>
        <v>1802</v>
      </c>
    </row>
    <row r="199" spans="1:16" s="54" customFormat="1" ht="15.75" customHeight="1" x14ac:dyDescent="0.3">
      <c r="A199" s="60">
        <v>3</v>
      </c>
      <c r="B199" s="61"/>
      <c r="C199" s="25" t="s">
        <v>188</v>
      </c>
      <c r="D199" s="25">
        <f t="shared" si="63"/>
        <v>329.3784</v>
      </c>
      <c r="E199" s="25">
        <v>0</v>
      </c>
      <c r="F199" s="25">
        <f t="shared" si="61"/>
        <v>510.53652</v>
      </c>
      <c r="G199" s="70"/>
      <c r="H199" s="71"/>
      <c r="I199" s="53"/>
      <c r="N199" s="54" t="str">
        <f t="shared" ca="1" si="62"/>
        <v>1303 to 1803</v>
      </c>
      <c r="O199" s="54">
        <f t="shared" ref="O199:P199" ca="1" si="65">O198+1</f>
        <v>1303</v>
      </c>
      <c r="P199" s="54">
        <f t="shared" ca="1" si="65"/>
        <v>1803</v>
      </c>
    </row>
    <row r="200" spans="1:16" s="54" customFormat="1" ht="15.75" customHeight="1" x14ac:dyDescent="0.3">
      <c r="A200" s="60">
        <v>4</v>
      </c>
      <c r="B200" s="61"/>
      <c r="C200" s="25" t="s">
        <v>188</v>
      </c>
      <c r="D200" s="25">
        <f t="shared" si="63"/>
        <v>329.3784</v>
      </c>
      <c r="E200" s="25">
        <v>0</v>
      </c>
      <c r="F200" s="25">
        <f>D200*(($F$132)+1)+E200</f>
        <v>510.53652</v>
      </c>
      <c r="G200" s="70"/>
      <c r="H200" s="71"/>
      <c r="I200" s="53"/>
      <c r="N200" s="54" t="str">
        <f t="shared" ca="1" si="62"/>
        <v>1304 to 1804</v>
      </c>
      <c r="O200" s="54">
        <f t="shared" ref="O200:P200" ca="1" si="66">O199+1</f>
        <v>1304</v>
      </c>
      <c r="P200" s="54">
        <f t="shared" ca="1" si="66"/>
        <v>1804</v>
      </c>
    </row>
    <row r="201" spans="1:16" s="54" customFormat="1" ht="15.75" customHeight="1" x14ac:dyDescent="0.3">
      <c r="A201" s="60">
        <v>5</v>
      </c>
      <c r="B201" s="61"/>
      <c r="C201" s="25" t="s">
        <v>188</v>
      </c>
      <c r="D201" s="25">
        <f t="shared" si="63"/>
        <v>329.3784</v>
      </c>
      <c r="E201" s="25">
        <v>0</v>
      </c>
      <c r="F201" s="25">
        <f>D201*(($F$132)+1)+E201</f>
        <v>510.53652</v>
      </c>
      <c r="G201" s="70"/>
      <c r="H201" s="71"/>
      <c r="I201" s="53"/>
      <c r="N201" s="54" t="str">
        <f t="shared" ca="1" si="62"/>
        <v>1305 to 1805</v>
      </c>
      <c r="O201" s="54">
        <f t="shared" ref="O201:P201" ca="1" si="67">O200+1</f>
        <v>1305</v>
      </c>
      <c r="P201" s="54">
        <f t="shared" ca="1" si="67"/>
        <v>1805</v>
      </c>
    </row>
    <row r="202" spans="1:16" s="54" customFormat="1" ht="15.75" customHeight="1" x14ac:dyDescent="0.3">
      <c r="A202" s="60">
        <v>6</v>
      </c>
      <c r="B202" s="61"/>
      <c r="C202" s="25" t="s">
        <v>188</v>
      </c>
      <c r="D202" s="25">
        <f t="shared" si="63"/>
        <v>329.3784</v>
      </c>
      <c r="E202" s="25">
        <v>0</v>
      </c>
      <c r="F202" s="25">
        <f>D202*(($F$132)+1)+E202</f>
        <v>510.53652</v>
      </c>
      <c r="G202" s="70"/>
      <c r="H202" s="71"/>
      <c r="I202" s="53">
        <f>(2.75*3.3+1.67*2.58+2.75*3.03+1.415*1.215+1.27*1.135+0.96*1.215+1.1*2.75)*10.764</f>
        <v>312.88983569999994</v>
      </c>
      <c r="N202" s="54" t="str">
        <f t="shared" ca="1" si="62"/>
        <v>1306 to 1806</v>
      </c>
      <c r="O202" s="54">
        <f t="shared" ref="O202:P202" ca="1" si="68">O201+1</f>
        <v>1306</v>
      </c>
      <c r="P202" s="54">
        <f t="shared" ca="1" si="68"/>
        <v>1806</v>
      </c>
    </row>
    <row r="203" spans="1:16" s="54" customFormat="1" ht="15.75" customHeight="1" x14ac:dyDescent="0.3">
      <c r="A203" s="60">
        <v>7</v>
      </c>
      <c r="B203" s="61"/>
      <c r="C203" s="25" t="s">
        <v>188</v>
      </c>
      <c r="D203" s="25">
        <f t="shared" si="63"/>
        <v>329.3784</v>
      </c>
      <c r="E203" s="25">
        <v>0</v>
      </c>
      <c r="F203" s="25">
        <f>D203*(($F$132)+1)+E203</f>
        <v>510.53652</v>
      </c>
      <c r="G203" s="72"/>
      <c r="H203" s="73"/>
      <c r="I203" s="53"/>
      <c r="N203" s="54" t="str">
        <f t="shared" ca="1" si="62"/>
        <v>1307 to 1807</v>
      </c>
      <c r="O203" s="54">
        <f t="shared" ref="O203:P203" ca="1" si="69">O202+1</f>
        <v>1307</v>
      </c>
      <c r="P203" s="54">
        <f t="shared" ca="1" si="69"/>
        <v>1807</v>
      </c>
    </row>
    <row r="204" spans="1:16" x14ac:dyDescent="0.3">
      <c r="A204" s="108" t="s">
        <v>216</v>
      </c>
      <c r="B204" s="108"/>
      <c r="C204" s="108"/>
      <c r="D204" s="108"/>
      <c r="E204" s="108"/>
      <c r="F204" s="108"/>
      <c r="G204" s="108"/>
      <c r="H204" s="108"/>
    </row>
    <row r="205" spans="1:16" x14ac:dyDescent="0.3">
      <c r="A205" s="108" t="s">
        <v>187</v>
      </c>
      <c r="B205" s="108"/>
      <c r="C205" s="108"/>
      <c r="D205" s="108"/>
      <c r="E205" s="108"/>
      <c r="F205" s="108"/>
      <c r="G205" s="108"/>
      <c r="H205" s="108"/>
    </row>
    <row r="206" spans="1:16" s="54" customFormat="1" x14ac:dyDescent="0.3">
      <c r="A206" s="149" t="s">
        <v>189</v>
      </c>
      <c r="B206" s="149"/>
      <c r="C206" s="149"/>
      <c r="D206" s="149"/>
      <c r="E206" s="149"/>
      <c r="F206" s="149"/>
      <c r="G206" s="149"/>
      <c r="H206" s="149"/>
      <c r="I206" s="53"/>
      <c r="L206" s="109"/>
      <c r="M206" s="109"/>
    </row>
    <row r="207" spans="1:16" s="54" customFormat="1" ht="15.75" customHeight="1" x14ac:dyDescent="0.3">
      <c r="A207" s="113">
        <v>1</v>
      </c>
      <c r="B207" s="113"/>
      <c r="C207" s="25" t="s">
        <v>188</v>
      </c>
      <c r="D207" s="25">
        <f t="shared" ref="D207:D212" si="70">(28.01+2.59)*10.764</f>
        <v>329.3784</v>
      </c>
      <c r="E207" s="25">
        <v>0</v>
      </c>
      <c r="F207" s="25">
        <f>D207*(($F$132)+1)+E207</f>
        <v>510.53652</v>
      </c>
      <c r="G207" s="68" t="str">
        <f>A206</f>
        <v>1st Floor for Residential</v>
      </c>
      <c r="H207" s="69"/>
      <c r="I207" s="53">
        <f>(2.75*3.3+1.67*2.58+2.75*3.03+1.415*1.215+1.27*1.135+0.95*1.215+1*2.75)*10.764</f>
        <v>309.79895310000001</v>
      </c>
      <c r="N207" s="53"/>
    </row>
    <row r="208" spans="1:16" s="54" customFormat="1" ht="15.75" customHeight="1" x14ac:dyDescent="0.3">
      <c r="A208" s="113">
        <f>A207+1</f>
        <v>2</v>
      </c>
      <c r="B208" s="113"/>
      <c r="C208" s="25" t="s">
        <v>188</v>
      </c>
      <c r="D208" s="25">
        <f t="shared" si="70"/>
        <v>329.3784</v>
      </c>
      <c r="E208" s="25">
        <v>0</v>
      </c>
      <c r="F208" s="25">
        <f t="shared" ref="F208:F212" si="71">D208*(($F$132)+1)+E208</f>
        <v>510.53652</v>
      </c>
      <c r="G208" s="70" t="str">
        <f t="shared" ref="G208:G212" si="72">G207</f>
        <v>1st Floor for Residential</v>
      </c>
      <c r="H208" s="71"/>
      <c r="I208" s="53"/>
      <c r="N208" s="53"/>
    </row>
    <row r="209" spans="1:16" s="54" customFormat="1" ht="15.75" customHeight="1" x14ac:dyDescent="0.3">
      <c r="A209" s="113">
        <f>A208+1</f>
        <v>3</v>
      </c>
      <c r="B209" s="113"/>
      <c r="C209" s="25" t="s">
        <v>188</v>
      </c>
      <c r="D209" s="25">
        <f t="shared" si="70"/>
        <v>329.3784</v>
      </c>
      <c r="E209" s="25">
        <v>0</v>
      </c>
      <c r="F209" s="25">
        <f t="shared" si="71"/>
        <v>510.53652</v>
      </c>
      <c r="G209" s="70" t="str">
        <f t="shared" si="72"/>
        <v>1st Floor for Residential</v>
      </c>
      <c r="H209" s="71"/>
      <c r="I209" s="53"/>
      <c r="N209" s="53"/>
    </row>
    <row r="210" spans="1:16" s="54" customFormat="1" ht="15.75" customHeight="1" x14ac:dyDescent="0.3">
      <c r="A210" s="113">
        <f t="shared" ref="A210:A212" si="73">A209+1</f>
        <v>4</v>
      </c>
      <c r="B210" s="113"/>
      <c r="C210" s="25" t="s">
        <v>188</v>
      </c>
      <c r="D210" s="25">
        <f t="shared" si="70"/>
        <v>329.3784</v>
      </c>
      <c r="E210" s="25">
        <v>0</v>
      </c>
      <c r="F210" s="25">
        <f t="shared" si="71"/>
        <v>510.53652</v>
      </c>
      <c r="G210" s="70" t="str">
        <f t="shared" si="72"/>
        <v>1st Floor for Residential</v>
      </c>
      <c r="H210" s="71"/>
      <c r="I210" s="53"/>
      <c r="N210" s="53"/>
    </row>
    <row r="211" spans="1:16" s="54" customFormat="1" ht="15.75" customHeight="1" x14ac:dyDescent="0.3">
      <c r="A211" s="113">
        <f t="shared" si="73"/>
        <v>5</v>
      </c>
      <c r="B211" s="113"/>
      <c r="C211" s="25" t="s">
        <v>188</v>
      </c>
      <c r="D211" s="25">
        <f t="shared" si="70"/>
        <v>329.3784</v>
      </c>
      <c r="E211" s="25">
        <v>0</v>
      </c>
      <c r="F211" s="25">
        <f t="shared" si="71"/>
        <v>510.53652</v>
      </c>
      <c r="G211" s="70" t="str">
        <f t="shared" si="72"/>
        <v>1st Floor for Residential</v>
      </c>
      <c r="H211" s="71"/>
      <c r="I211" s="53"/>
      <c r="N211" s="53"/>
    </row>
    <row r="212" spans="1:16" s="54" customFormat="1" ht="15.75" customHeight="1" x14ac:dyDescent="0.3">
      <c r="A212" s="113">
        <f t="shared" si="73"/>
        <v>6</v>
      </c>
      <c r="B212" s="113"/>
      <c r="C212" s="25" t="s">
        <v>188</v>
      </c>
      <c r="D212" s="25">
        <f t="shared" si="70"/>
        <v>329.3784</v>
      </c>
      <c r="E212" s="25">
        <v>0</v>
      </c>
      <c r="F212" s="25">
        <f t="shared" si="71"/>
        <v>510.53652</v>
      </c>
      <c r="G212" s="70" t="str">
        <f t="shared" si="72"/>
        <v>1st Floor for Residential</v>
      </c>
      <c r="H212" s="71"/>
      <c r="I212" s="53"/>
      <c r="N212" s="53"/>
    </row>
    <row r="213" spans="1:16" s="54" customFormat="1" x14ac:dyDescent="0.3">
      <c r="A213" s="64" t="s">
        <v>214</v>
      </c>
      <c r="B213" s="65"/>
      <c r="C213" s="65"/>
      <c r="D213" s="65"/>
      <c r="E213" s="65"/>
      <c r="F213" s="65"/>
      <c r="G213" s="65"/>
      <c r="H213" s="66"/>
      <c r="I213" s="53"/>
    </row>
    <row r="214" spans="1:16" s="54" customFormat="1" ht="15.75" customHeight="1" x14ac:dyDescent="0.3">
      <c r="A214" s="60">
        <v>1</v>
      </c>
      <c r="B214" s="61"/>
      <c r="C214" s="25" t="s">
        <v>188</v>
      </c>
      <c r="D214" s="25">
        <f>(28.01+2.59)*10.764</f>
        <v>329.3784</v>
      </c>
      <c r="E214" s="25">
        <v>0</v>
      </c>
      <c r="F214" s="25">
        <f t="shared" ref="F214:F216" si="74">D214*(($F$132)+1)+E214</f>
        <v>510.53652</v>
      </c>
      <c r="G214" s="68" t="str">
        <f>A213</f>
        <v>2nd to 12th, 14th to 17th &amp; 19th to 23rd Floor</v>
      </c>
      <c r="H214" s="69"/>
      <c r="I214" s="53">
        <v>2337000</v>
      </c>
      <c r="J214" s="54">
        <f>I214/F214</f>
        <v>4577.5373718612727</v>
      </c>
      <c r="N214" s="54" t="str">
        <f t="shared" ref="N214:N221" ca="1" si="75">O214&amp;""&amp;" to "&amp;""&amp;P214</f>
        <v>201 to 2301</v>
      </c>
      <c r="O214" s="54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10^ROW(INDIRECT("1:"&amp;LEN((LEFT(A213,SUM(LEN(A213)-LEN(SUBSTITUTE(A213,{"0","1","2"},""))))))))/10))*100+1</f>
        <v>201</v>
      </c>
      <c r="P214" s="54">
        <f ca="1">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",LEN(A213))),LEN(A213)))))))/10))*100+1</f>
        <v>2301</v>
      </c>
    </row>
    <row r="215" spans="1:16" s="54" customFormat="1" ht="15.75" customHeight="1" x14ac:dyDescent="0.3">
      <c r="A215" s="60">
        <v>2</v>
      </c>
      <c r="B215" s="61"/>
      <c r="C215" s="25" t="s">
        <v>188</v>
      </c>
      <c r="D215" s="25">
        <f t="shared" ref="D215:D221" si="76">(28.01+2.59)*10.764</f>
        <v>329.3784</v>
      </c>
      <c r="E215" s="25">
        <v>0</v>
      </c>
      <c r="F215" s="25">
        <f t="shared" si="74"/>
        <v>510.53652</v>
      </c>
      <c r="G215" s="70"/>
      <c r="H215" s="71"/>
      <c r="I215" s="53"/>
      <c r="N215" s="54" t="str">
        <f t="shared" ca="1" si="75"/>
        <v>202 to 2302</v>
      </c>
      <c r="O215" s="54">
        <f t="shared" ref="O215:P215" ca="1" si="77">O214+1</f>
        <v>202</v>
      </c>
      <c r="P215" s="54">
        <f t="shared" ca="1" si="77"/>
        <v>2302</v>
      </c>
    </row>
    <row r="216" spans="1:16" s="54" customFormat="1" ht="15.75" customHeight="1" x14ac:dyDescent="0.3">
      <c r="A216" s="60">
        <v>3</v>
      </c>
      <c r="B216" s="61"/>
      <c r="C216" s="25" t="s">
        <v>188</v>
      </c>
      <c r="D216" s="25">
        <f t="shared" si="76"/>
        <v>329.3784</v>
      </c>
      <c r="E216" s="25">
        <v>0</v>
      </c>
      <c r="F216" s="25">
        <f t="shared" si="74"/>
        <v>510.53652</v>
      </c>
      <c r="G216" s="70"/>
      <c r="H216" s="71"/>
      <c r="I216" s="53">
        <v>3077000</v>
      </c>
      <c r="J216" s="54">
        <f>I216/F216</f>
        <v>6026.9929367638579</v>
      </c>
      <c r="N216" s="54" t="str">
        <f t="shared" ca="1" si="75"/>
        <v>203 to 2303</v>
      </c>
      <c r="O216" s="54">
        <f t="shared" ref="O216:P216" ca="1" si="78">O215+1</f>
        <v>203</v>
      </c>
      <c r="P216" s="54">
        <f t="shared" ca="1" si="78"/>
        <v>2303</v>
      </c>
    </row>
    <row r="217" spans="1:16" s="54" customFormat="1" ht="15.75" customHeight="1" x14ac:dyDescent="0.3">
      <c r="A217" s="60">
        <v>4</v>
      </c>
      <c r="B217" s="61"/>
      <c r="C217" s="25" t="s">
        <v>188</v>
      </c>
      <c r="D217" s="25">
        <f t="shared" si="76"/>
        <v>329.3784</v>
      </c>
      <c r="E217" s="25">
        <v>0</v>
      </c>
      <c r="F217" s="25">
        <f>D217*(($F$132)+1)+E217</f>
        <v>510.53652</v>
      </c>
      <c r="G217" s="70"/>
      <c r="H217" s="71"/>
      <c r="I217" s="53"/>
      <c r="N217" s="54" t="str">
        <f t="shared" ca="1" si="75"/>
        <v>204 to 2304</v>
      </c>
      <c r="O217" s="54">
        <f t="shared" ref="O217:P217" ca="1" si="79">O216+1</f>
        <v>204</v>
      </c>
      <c r="P217" s="54">
        <f t="shared" ca="1" si="79"/>
        <v>2304</v>
      </c>
    </row>
    <row r="218" spans="1:16" s="54" customFormat="1" ht="15.75" customHeight="1" x14ac:dyDescent="0.3">
      <c r="A218" s="60">
        <v>5</v>
      </c>
      <c r="B218" s="61"/>
      <c r="C218" s="25" t="s">
        <v>188</v>
      </c>
      <c r="D218" s="25">
        <f t="shared" si="76"/>
        <v>329.3784</v>
      </c>
      <c r="E218" s="25">
        <v>0</v>
      </c>
      <c r="F218" s="25">
        <f t="shared" ref="F218:F221" si="80">D218*(($F$132)+1)+E218</f>
        <v>510.53652</v>
      </c>
      <c r="G218" s="70"/>
      <c r="H218" s="71"/>
      <c r="I218" s="53"/>
      <c r="N218" s="54" t="str">
        <f t="shared" ca="1" si="75"/>
        <v>205 to 2305</v>
      </c>
      <c r="O218" s="54">
        <f t="shared" ref="O218:P218" ca="1" si="81">O217+1</f>
        <v>205</v>
      </c>
      <c r="P218" s="54">
        <f t="shared" ca="1" si="81"/>
        <v>2305</v>
      </c>
    </row>
    <row r="219" spans="1:16" s="54" customFormat="1" ht="15.75" customHeight="1" x14ac:dyDescent="0.3">
      <c r="A219" s="60">
        <v>6</v>
      </c>
      <c r="B219" s="61"/>
      <c r="C219" s="25" t="s">
        <v>188</v>
      </c>
      <c r="D219" s="25">
        <f t="shared" si="76"/>
        <v>329.3784</v>
      </c>
      <c r="E219" s="25">
        <v>0</v>
      </c>
      <c r="F219" s="25">
        <f t="shared" si="80"/>
        <v>510.53652</v>
      </c>
      <c r="G219" s="70"/>
      <c r="H219" s="71"/>
      <c r="I219" s="53">
        <f>(2.75*3.3+1.67*2.58+2.75*3.03+1.415*1.215+1.27*1.135+0.96*1.215+1.1*2.75)*10.764</f>
        <v>312.88983569999994</v>
      </c>
      <c r="N219" s="54" t="str">
        <f t="shared" ca="1" si="75"/>
        <v>206 to 2306</v>
      </c>
      <c r="O219" s="54">
        <f t="shared" ref="O219:P219" ca="1" si="82">O218+1</f>
        <v>206</v>
      </c>
      <c r="P219" s="54">
        <f t="shared" ca="1" si="82"/>
        <v>2306</v>
      </c>
    </row>
    <row r="220" spans="1:16" s="54" customFormat="1" ht="15.75" customHeight="1" x14ac:dyDescent="0.3">
      <c r="A220" s="60">
        <v>7</v>
      </c>
      <c r="B220" s="61"/>
      <c r="C220" s="25" t="s">
        <v>188</v>
      </c>
      <c r="D220" s="25">
        <f t="shared" si="76"/>
        <v>329.3784</v>
      </c>
      <c r="E220" s="25">
        <v>0</v>
      </c>
      <c r="F220" s="25">
        <f t="shared" si="80"/>
        <v>510.53652</v>
      </c>
      <c r="G220" s="70"/>
      <c r="H220" s="71"/>
      <c r="I220" s="53"/>
      <c r="N220" s="54" t="str">
        <f t="shared" ca="1" si="75"/>
        <v>207 to 2307</v>
      </c>
      <c r="O220" s="54">
        <f t="shared" ref="O220:P220" ca="1" si="83">O219+1</f>
        <v>207</v>
      </c>
      <c r="P220" s="54">
        <f t="shared" ca="1" si="83"/>
        <v>2307</v>
      </c>
    </row>
    <row r="221" spans="1:16" s="54" customFormat="1" ht="15.75" customHeight="1" x14ac:dyDescent="0.3">
      <c r="A221" s="60">
        <v>8</v>
      </c>
      <c r="B221" s="61"/>
      <c r="C221" s="25" t="s">
        <v>188</v>
      </c>
      <c r="D221" s="25">
        <f t="shared" si="76"/>
        <v>329.3784</v>
      </c>
      <c r="E221" s="25">
        <v>0</v>
      </c>
      <c r="F221" s="25">
        <f t="shared" si="80"/>
        <v>510.53652</v>
      </c>
      <c r="G221" s="72"/>
      <c r="H221" s="73"/>
      <c r="I221" s="53"/>
      <c r="N221" s="54" t="str">
        <f t="shared" ca="1" si="75"/>
        <v>208 to 2308</v>
      </c>
      <c r="O221" s="54">
        <f t="shared" ref="O221:P221" ca="1" si="84">O220+1</f>
        <v>208</v>
      </c>
      <c r="P221" s="54">
        <f t="shared" ca="1" si="84"/>
        <v>2308</v>
      </c>
    </row>
    <row r="222" spans="1:16" s="54" customFormat="1" x14ac:dyDescent="0.3">
      <c r="A222" s="64" t="s">
        <v>192</v>
      </c>
      <c r="B222" s="65"/>
      <c r="C222" s="65"/>
      <c r="D222" s="65"/>
      <c r="E222" s="65"/>
      <c r="F222" s="65"/>
      <c r="G222" s="65"/>
      <c r="H222" s="66"/>
      <c r="I222" s="53"/>
    </row>
    <row r="223" spans="1:16" s="54" customFormat="1" ht="15.75" customHeight="1" x14ac:dyDescent="0.3">
      <c r="A223" s="60">
        <v>1</v>
      </c>
      <c r="B223" s="61"/>
      <c r="C223" s="25" t="s">
        <v>188</v>
      </c>
      <c r="D223" s="25">
        <f>(28.01+2.59)*10.764</f>
        <v>329.3784</v>
      </c>
      <c r="E223" s="25">
        <v>0</v>
      </c>
      <c r="F223" s="25">
        <f t="shared" ref="F223:F225" si="85">D223*(($F$132)+1)+E223</f>
        <v>510.53652</v>
      </c>
      <c r="G223" s="68" t="str">
        <f>A222</f>
        <v>13th &amp; 18th Floor (Part Refuge Area)</v>
      </c>
      <c r="H223" s="69"/>
      <c r="I223" s="53"/>
      <c r="N223" s="54" t="str">
        <f t="shared" ref="N223:N229" ca="1" si="86">O223&amp;""&amp;" to "&amp;""&amp;P223</f>
        <v>1301 to 1801</v>
      </c>
      <c r="O223" s="54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10^ROW(INDIRECT("1:"&amp;LEN((LEFT(A222,SUM(LEN(A222)-LEN(SUBSTITUTE(A222,{"0","1","2"},""))))))))/10))*100+1</f>
        <v>1301</v>
      </c>
      <c r="P223" s="54">
        <f ca="1">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",LEN(A222))),LEN(A222)))))))/10))*100+1</f>
        <v>1801</v>
      </c>
    </row>
    <row r="224" spans="1:16" s="54" customFormat="1" ht="15.75" customHeight="1" x14ac:dyDescent="0.3">
      <c r="A224" s="60">
        <v>2</v>
      </c>
      <c r="B224" s="61"/>
      <c r="C224" s="25" t="s">
        <v>188</v>
      </c>
      <c r="D224" s="25">
        <f t="shared" ref="D224:D229" si="87">(28.01+2.59)*10.764</f>
        <v>329.3784</v>
      </c>
      <c r="E224" s="25">
        <v>0</v>
      </c>
      <c r="F224" s="25">
        <f t="shared" si="85"/>
        <v>510.53652</v>
      </c>
      <c r="G224" s="70"/>
      <c r="H224" s="71"/>
      <c r="I224" s="53"/>
      <c r="N224" s="54" t="str">
        <f t="shared" ca="1" si="86"/>
        <v>1302 to 1802</v>
      </c>
      <c r="O224" s="54">
        <f t="shared" ref="O224:P224" ca="1" si="88">O223+1</f>
        <v>1302</v>
      </c>
      <c r="P224" s="54">
        <f t="shared" ca="1" si="88"/>
        <v>1802</v>
      </c>
    </row>
    <row r="225" spans="1:16" s="54" customFormat="1" ht="15.75" customHeight="1" x14ac:dyDescent="0.3">
      <c r="A225" s="60">
        <v>3</v>
      </c>
      <c r="B225" s="61"/>
      <c r="C225" s="25" t="s">
        <v>188</v>
      </c>
      <c r="D225" s="25">
        <f t="shared" si="87"/>
        <v>329.3784</v>
      </c>
      <c r="E225" s="25">
        <v>0</v>
      </c>
      <c r="F225" s="25">
        <f t="shared" si="85"/>
        <v>510.53652</v>
      </c>
      <c r="G225" s="70"/>
      <c r="H225" s="71"/>
      <c r="I225" s="53"/>
      <c r="N225" s="54" t="str">
        <f t="shared" ca="1" si="86"/>
        <v>1303 to 1803</v>
      </c>
      <c r="O225" s="54">
        <f t="shared" ref="O225:P225" ca="1" si="89">O224+1</f>
        <v>1303</v>
      </c>
      <c r="P225" s="54">
        <f t="shared" ca="1" si="89"/>
        <v>1803</v>
      </c>
    </row>
    <row r="226" spans="1:16" s="54" customFormat="1" ht="15.75" customHeight="1" x14ac:dyDescent="0.3">
      <c r="A226" s="60">
        <v>4</v>
      </c>
      <c r="B226" s="61"/>
      <c r="C226" s="25" t="s">
        <v>188</v>
      </c>
      <c r="D226" s="25">
        <f t="shared" si="87"/>
        <v>329.3784</v>
      </c>
      <c r="E226" s="25">
        <v>0</v>
      </c>
      <c r="F226" s="25">
        <f>D226*(($F$132)+1)+E226</f>
        <v>510.53652</v>
      </c>
      <c r="G226" s="70"/>
      <c r="H226" s="71"/>
      <c r="I226" s="53"/>
      <c r="N226" s="54" t="str">
        <f t="shared" ca="1" si="86"/>
        <v>1304 to 1804</v>
      </c>
      <c r="O226" s="54">
        <f t="shared" ref="O226:P226" ca="1" si="90">O225+1</f>
        <v>1304</v>
      </c>
      <c r="P226" s="54">
        <f t="shared" ca="1" si="90"/>
        <v>1804</v>
      </c>
    </row>
    <row r="227" spans="1:16" s="54" customFormat="1" ht="15.75" customHeight="1" x14ac:dyDescent="0.3">
      <c r="A227" s="60">
        <v>5</v>
      </c>
      <c r="B227" s="61"/>
      <c r="C227" s="25" t="s">
        <v>188</v>
      </c>
      <c r="D227" s="25">
        <f t="shared" si="87"/>
        <v>329.3784</v>
      </c>
      <c r="E227" s="25">
        <v>0</v>
      </c>
      <c r="F227" s="25">
        <f>D227*(($F$132)+1)+E227</f>
        <v>510.53652</v>
      </c>
      <c r="G227" s="70"/>
      <c r="H227" s="71"/>
      <c r="I227" s="53"/>
      <c r="N227" s="54" t="str">
        <f t="shared" ca="1" si="86"/>
        <v>1305 to 1805</v>
      </c>
      <c r="O227" s="54">
        <f t="shared" ref="O227:P227" ca="1" si="91">O226+1</f>
        <v>1305</v>
      </c>
      <c r="P227" s="54">
        <f t="shared" ca="1" si="91"/>
        <v>1805</v>
      </c>
    </row>
    <row r="228" spans="1:16" s="54" customFormat="1" ht="15.75" customHeight="1" x14ac:dyDescent="0.3">
      <c r="A228" s="60">
        <v>6</v>
      </c>
      <c r="B228" s="61"/>
      <c r="C228" s="25" t="s">
        <v>188</v>
      </c>
      <c r="D228" s="25">
        <f t="shared" si="87"/>
        <v>329.3784</v>
      </c>
      <c r="E228" s="25">
        <v>0</v>
      </c>
      <c r="F228" s="25">
        <f>D228*(($F$132)+1)+E228</f>
        <v>510.53652</v>
      </c>
      <c r="G228" s="70"/>
      <c r="H228" s="71"/>
      <c r="I228" s="53">
        <f>(2.75*3.3+1.67*2.58+2.75*3.03+1.415*1.215+1.27*1.135+0.96*1.215+1.1*2.75)*10.764</f>
        <v>312.88983569999994</v>
      </c>
      <c r="N228" s="54" t="str">
        <f t="shared" ca="1" si="86"/>
        <v>1306 to 1806</v>
      </c>
      <c r="O228" s="54">
        <f t="shared" ref="O228:P228" ca="1" si="92">O227+1</f>
        <v>1306</v>
      </c>
      <c r="P228" s="54">
        <f t="shared" ca="1" si="92"/>
        <v>1806</v>
      </c>
    </row>
    <row r="229" spans="1:16" s="54" customFormat="1" ht="15.75" customHeight="1" x14ac:dyDescent="0.3">
      <c r="A229" s="60">
        <v>7</v>
      </c>
      <c r="B229" s="61"/>
      <c r="C229" s="25" t="s">
        <v>188</v>
      </c>
      <c r="D229" s="25">
        <f t="shared" si="87"/>
        <v>329.3784</v>
      </c>
      <c r="E229" s="25">
        <v>0</v>
      </c>
      <c r="F229" s="25">
        <f>D229*(($F$132)+1)+E229</f>
        <v>510.53652</v>
      </c>
      <c r="G229" s="72"/>
      <c r="H229" s="73"/>
      <c r="I229" s="53"/>
      <c r="N229" s="54" t="str">
        <f t="shared" ca="1" si="86"/>
        <v>1307 to 1807</v>
      </c>
      <c r="O229" s="54">
        <f t="shared" ref="O229:P229" ca="1" si="93">O228+1</f>
        <v>1307</v>
      </c>
      <c r="P229" s="54">
        <f t="shared" ca="1" si="93"/>
        <v>1807</v>
      </c>
    </row>
    <row r="230" spans="1:16" s="52" customFormat="1" x14ac:dyDescent="0.3">
      <c r="A230" s="151" t="s">
        <v>78</v>
      </c>
      <c r="B230" s="151"/>
      <c r="C230" s="151"/>
      <c r="D230" s="151"/>
      <c r="E230" s="151"/>
      <c r="F230" s="151"/>
      <c r="G230" s="151"/>
      <c r="H230" s="151"/>
    </row>
    <row r="231" spans="1:16" s="52" customFormat="1" ht="31.5" customHeight="1" x14ac:dyDescent="0.3">
      <c r="A231" s="29">
        <v>1</v>
      </c>
      <c r="B231" s="103" t="s">
        <v>253</v>
      </c>
      <c r="C231" s="104"/>
      <c r="D231" s="104"/>
      <c r="E231" s="104"/>
      <c r="F231" s="104"/>
      <c r="G231" s="104"/>
      <c r="H231" s="105"/>
      <c r="I231" s="59"/>
    </row>
    <row r="232" spans="1:16" s="52" customFormat="1" x14ac:dyDescent="0.3">
      <c r="A232" s="29">
        <f>A231+1</f>
        <v>2</v>
      </c>
      <c r="B232" s="103" t="s">
        <v>208</v>
      </c>
      <c r="C232" s="104"/>
      <c r="D232" s="104"/>
      <c r="E232" s="104"/>
      <c r="F232" s="104"/>
      <c r="G232" s="104"/>
      <c r="H232" s="105"/>
      <c r="I232" s="52" t="s">
        <v>249</v>
      </c>
    </row>
    <row r="233" spans="1:16" s="52" customFormat="1" x14ac:dyDescent="0.3">
      <c r="A233" s="29">
        <f t="shared" ref="A233:A236" si="94">A232+1</f>
        <v>3</v>
      </c>
      <c r="B233" s="97" t="s">
        <v>162</v>
      </c>
      <c r="C233" s="98"/>
      <c r="D233" s="98"/>
      <c r="E233" s="98"/>
      <c r="F233" s="98"/>
      <c r="G233" s="98"/>
      <c r="H233" s="99"/>
    </row>
    <row r="234" spans="1:16" s="52" customFormat="1" x14ac:dyDescent="0.3">
      <c r="A234" s="29">
        <f t="shared" si="94"/>
        <v>4</v>
      </c>
      <c r="B234" s="97" t="s">
        <v>209</v>
      </c>
      <c r="C234" s="98"/>
      <c r="D234" s="98"/>
      <c r="E234" s="98"/>
      <c r="F234" s="98"/>
      <c r="G234" s="98"/>
      <c r="H234" s="99"/>
    </row>
    <row r="235" spans="1:16" s="52" customFormat="1" x14ac:dyDescent="0.3">
      <c r="A235" s="29">
        <f t="shared" si="94"/>
        <v>5</v>
      </c>
      <c r="B235" s="97" t="s">
        <v>163</v>
      </c>
      <c r="C235" s="98"/>
      <c r="D235" s="98"/>
      <c r="E235" s="98"/>
      <c r="F235" s="98"/>
      <c r="G235" s="98"/>
      <c r="H235" s="99"/>
    </row>
    <row r="236" spans="1:16" s="52" customFormat="1" x14ac:dyDescent="0.3">
      <c r="A236" s="29">
        <f t="shared" si="94"/>
        <v>6</v>
      </c>
      <c r="B236" s="97" t="s">
        <v>164</v>
      </c>
      <c r="C236" s="98"/>
      <c r="D236" s="98"/>
      <c r="E236" s="98"/>
      <c r="F236" s="98"/>
      <c r="G236" s="98"/>
      <c r="H236" s="99"/>
    </row>
    <row r="237" spans="1:16" s="52" customFormat="1" hidden="1" x14ac:dyDescent="0.3">
      <c r="A237" s="29">
        <v>7</v>
      </c>
      <c r="B237" s="103" t="s">
        <v>240</v>
      </c>
      <c r="C237" s="104"/>
      <c r="D237" s="104"/>
      <c r="E237" s="104"/>
      <c r="F237" s="104"/>
      <c r="G237" s="104"/>
      <c r="H237" s="105"/>
    </row>
    <row r="238" spans="1:16" s="52" customFormat="1" x14ac:dyDescent="0.3">
      <c r="A238" s="29">
        <v>7</v>
      </c>
      <c r="B238" s="103" t="s">
        <v>237</v>
      </c>
      <c r="C238" s="104"/>
      <c r="D238" s="104"/>
      <c r="E238" s="104"/>
      <c r="F238" s="104"/>
      <c r="G238" s="104"/>
      <c r="H238" s="105"/>
    </row>
    <row r="239" spans="1:16" s="52" customFormat="1" ht="31.5" customHeight="1" x14ac:dyDescent="0.3">
      <c r="A239" s="29">
        <v>8</v>
      </c>
      <c r="B239" s="100" t="s">
        <v>248</v>
      </c>
      <c r="C239" s="101"/>
      <c r="D239" s="101"/>
      <c r="E239" s="101"/>
      <c r="F239" s="101"/>
      <c r="G239" s="101"/>
      <c r="H239" s="102"/>
    </row>
    <row r="240" spans="1:16" ht="32.4" customHeight="1" x14ac:dyDescent="0.3">
      <c r="A240" s="29">
        <v>9</v>
      </c>
      <c r="B240" s="100" t="s">
        <v>250</v>
      </c>
      <c r="C240" s="101"/>
      <c r="D240" s="101"/>
      <c r="E240" s="101"/>
      <c r="F240" s="101"/>
      <c r="G240" s="101"/>
      <c r="H240" s="102"/>
    </row>
    <row r="241" spans="1:8" x14ac:dyDescent="0.3">
      <c r="A241" s="136" t="s">
        <v>71</v>
      </c>
      <c r="B241" s="136"/>
      <c r="C241" s="136"/>
      <c r="D241" s="136"/>
      <c r="E241" s="136"/>
      <c r="F241" s="136"/>
      <c r="G241" s="136"/>
      <c r="H241" s="136"/>
    </row>
    <row r="242" spans="1:8" ht="15.75" customHeight="1" x14ac:dyDescent="0.3">
      <c r="A242" s="117" t="s">
        <v>72</v>
      </c>
      <c r="B242" s="117"/>
      <c r="C242" s="117"/>
      <c r="D242" s="117"/>
      <c r="E242" s="117"/>
      <c r="F242" s="117"/>
      <c r="G242" s="117"/>
      <c r="H242" s="117"/>
    </row>
    <row r="243" spans="1:8" x14ac:dyDescent="0.3">
      <c r="A243" s="158" t="s">
        <v>73</v>
      </c>
      <c r="B243" s="158"/>
      <c r="C243" s="158"/>
      <c r="D243" s="158"/>
      <c r="E243" s="158"/>
      <c r="F243" s="158"/>
      <c r="G243" s="158"/>
      <c r="H243" s="158"/>
    </row>
    <row r="244" spans="1:8" x14ac:dyDescent="0.3">
      <c r="A244" s="117" t="s">
        <v>74</v>
      </c>
      <c r="B244" s="117"/>
      <c r="C244" s="117"/>
      <c r="D244" s="117"/>
      <c r="E244" s="117"/>
      <c r="F244" s="117"/>
      <c r="G244" s="117"/>
      <c r="H244" s="117"/>
    </row>
    <row r="245" spans="1:8" x14ac:dyDescent="0.3">
      <c r="A245" s="117" t="s">
        <v>75</v>
      </c>
      <c r="B245" s="117"/>
      <c r="C245" s="117"/>
      <c r="D245" s="117"/>
      <c r="E245" s="117"/>
      <c r="F245" s="117"/>
      <c r="G245" s="117"/>
      <c r="H245" s="117"/>
    </row>
    <row r="246" spans="1:8" x14ac:dyDescent="0.3">
      <c r="A246" s="117" t="s">
        <v>165</v>
      </c>
      <c r="B246" s="117"/>
      <c r="C246" s="117"/>
      <c r="D246" s="117"/>
      <c r="E246" s="117"/>
      <c r="F246" s="117"/>
      <c r="G246" s="117"/>
      <c r="H246" s="117"/>
    </row>
    <row r="247" spans="1:8" x14ac:dyDescent="0.3">
      <c r="A247" s="132" t="s">
        <v>166</v>
      </c>
      <c r="B247" s="132"/>
      <c r="C247" s="132"/>
      <c r="D247" s="132"/>
      <c r="E247" s="132"/>
      <c r="F247" s="132"/>
      <c r="G247" s="132"/>
      <c r="H247" s="132"/>
    </row>
    <row r="248" spans="1:8" x14ac:dyDescent="0.3">
      <c r="A248" s="148" t="s">
        <v>110</v>
      </c>
      <c r="B248" s="148"/>
      <c r="C248" s="148" t="s">
        <v>252</v>
      </c>
      <c r="D248" s="148"/>
      <c r="E248" s="148" t="s">
        <v>143</v>
      </c>
      <c r="F248" s="148"/>
      <c r="G248" s="148" t="s">
        <v>251</v>
      </c>
      <c r="H248" s="148"/>
    </row>
    <row r="249" spans="1:8" x14ac:dyDescent="0.3">
      <c r="A249" s="147" t="s">
        <v>112</v>
      </c>
      <c r="B249" s="147"/>
      <c r="C249" s="147"/>
      <c r="D249" s="147"/>
      <c r="E249" s="147"/>
      <c r="F249" s="147"/>
      <c r="G249" s="147"/>
      <c r="H249" s="147"/>
    </row>
    <row r="250" spans="1:8" x14ac:dyDescent="0.3">
      <c r="A250" s="147"/>
      <c r="B250" s="147"/>
      <c r="C250" s="147"/>
      <c r="D250" s="147"/>
      <c r="E250" s="147"/>
      <c r="F250" s="147"/>
      <c r="G250" s="147"/>
      <c r="H250" s="147"/>
    </row>
    <row r="251" spans="1:8" x14ac:dyDescent="0.3">
      <c r="A251" s="147"/>
      <c r="B251" s="147"/>
      <c r="C251" s="147"/>
      <c r="D251" s="147"/>
      <c r="E251" s="147"/>
      <c r="F251" s="147"/>
      <c r="G251" s="147"/>
      <c r="H251" s="147"/>
    </row>
    <row r="252" spans="1:8" x14ac:dyDescent="0.3">
      <c r="A252" s="147"/>
      <c r="B252" s="147"/>
      <c r="C252" s="147"/>
      <c r="D252" s="147"/>
      <c r="E252" s="147"/>
      <c r="F252" s="147"/>
      <c r="G252" s="147"/>
      <c r="H252" s="147"/>
    </row>
    <row r="253" spans="1:8" x14ac:dyDescent="0.3">
      <c r="A253" s="55" t="s">
        <v>76</v>
      </c>
      <c r="B253" s="56"/>
      <c r="C253" s="56"/>
      <c r="D253" s="55" t="str">
        <f>E8</f>
        <v>Poddar Wondercity Phase - II</v>
      </c>
      <c r="F253" s="56"/>
      <c r="G253" s="56"/>
      <c r="H253" s="56"/>
    </row>
    <row r="254" spans="1:8" x14ac:dyDescent="0.3">
      <c r="A254" s="56"/>
      <c r="B254" s="56"/>
      <c r="C254" s="56"/>
      <c r="D254" s="56"/>
      <c r="E254" s="56"/>
      <c r="F254" s="56"/>
      <c r="G254" s="56"/>
      <c r="H254" s="56"/>
    </row>
    <row r="255" spans="1:8" ht="15" customHeight="1" x14ac:dyDescent="0.3">
      <c r="A255" s="56"/>
      <c r="B255" s="56"/>
      <c r="C255" s="56"/>
      <c r="D255" s="56"/>
      <c r="E255" s="56"/>
      <c r="F255" s="56"/>
      <c r="G255" s="56"/>
      <c r="H255" s="56"/>
    </row>
    <row r="263" spans="10:10" x14ac:dyDescent="0.3">
      <c r="J263" s="32" t="s">
        <v>236</v>
      </c>
    </row>
    <row r="290" spans="1:1" x14ac:dyDescent="0.3">
      <c r="A290" s="58" t="s">
        <v>77</v>
      </c>
    </row>
  </sheetData>
  <mergeCells count="399">
    <mergeCell ref="B240:H240"/>
    <mergeCell ref="G65:H65"/>
    <mergeCell ref="E65:F65"/>
    <mergeCell ref="A65:B65"/>
    <mergeCell ref="C64:H64"/>
    <mergeCell ref="A64:B64"/>
    <mergeCell ref="A229:B229"/>
    <mergeCell ref="A125:B125"/>
    <mergeCell ref="C125:D125"/>
    <mergeCell ref="A214:B214"/>
    <mergeCell ref="A215:B215"/>
    <mergeCell ref="A216:B216"/>
    <mergeCell ref="A217:B217"/>
    <mergeCell ref="A218:B218"/>
    <mergeCell ref="A225:B225"/>
    <mergeCell ref="E125:F125"/>
    <mergeCell ref="A213:H213"/>
    <mergeCell ref="A203:B203"/>
    <mergeCell ref="A204:H204"/>
    <mergeCell ref="A205:H205"/>
    <mergeCell ref="A206:H206"/>
    <mergeCell ref="A76:B76"/>
    <mergeCell ref="C76:H76"/>
    <mergeCell ref="A100:B100"/>
    <mergeCell ref="F108:H108"/>
    <mergeCell ref="C62:H62"/>
    <mergeCell ref="A62:B62"/>
    <mergeCell ref="A119:E119"/>
    <mergeCell ref="F119:H119"/>
    <mergeCell ref="A75:B75"/>
    <mergeCell ref="A74:B74"/>
    <mergeCell ref="A72:B72"/>
    <mergeCell ref="A70:B70"/>
    <mergeCell ref="A69:B69"/>
    <mergeCell ref="A68:B68"/>
    <mergeCell ref="A67:B67"/>
    <mergeCell ref="G66:H75"/>
    <mergeCell ref="E66:F75"/>
    <mergeCell ref="A66:B66"/>
    <mergeCell ref="A92:B92"/>
    <mergeCell ref="C92:H92"/>
    <mergeCell ref="A111:E111"/>
    <mergeCell ref="A107:H107"/>
    <mergeCell ref="A108:E108"/>
    <mergeCell ref="A118:E118"/>
    <mergeCell ref="A104:E104"/>
    <mergeCell ref="F104:H104"/>
    <mergeCell ref="F115:H115"/>
    <mergeCell ref="F111:H111"/>
    <mergeCell ref="G162:H162"/>
    <mergeCell ref="A184:B184"/>
    <mergeCell ref="A169:H169"/>
    <mergeCell ref="A170:B170"/>
    <mergeCell ref="G170:H170"/>
    <mergeCell ref="A171:B171"/>
    <mergeCell ref="A167:B167"/>
    <mergeCell ref="L206:M206"/>
    <mergeCell ref="A207:B207"/>
    <mergeCell ref="A198:B198"/>
    <mergeCell ref="A199:B199"/>
    <mergeCell ref="A200:B200"/>
    <mergeCell ref="A201:B201"/>
    <mergeCell ref="A202:B202"/>
    <mergeCell ref="A193:B193"/>
    <mergeCell ref="A194:B194"/>
    <mergeCell ref="A195:B195"/>
    <mergeCell ref="A196:H196"/>
    <mergeCell ref="A197:B197"/>
    <mergeCell ref="G188:H195"/>
    <mergeCell ref="G197:H203"/>
    <mergeCell ref="G207:H212"/>
    <mergeCell ref="A209:B209"/>
    <mergeCell ref="A210:B210"/>
    <mergeCell ref="A226:B226"/>
    <mergeCell ref="A227:B227"/>
    <mergeCell ref="G175:H175"/>
    <mergeCell ref="A175:B175"/>
    <mergeCell ref="A176:B176"/>
    <mergeCell ref="G176:H176"/>
    <mergeCell ref="A192:B192"/>
    <mergeCell ref="A185:B185"/>
    <mergeCell ref="A186:B186"/>
    <mergeCell ref="A187:H187"/>
    <mergeCell ref="A178:H178"/>
    <mergeCell ref="A179:H179"/>
    <mergeCell ref="A180:H180"/>
    <mergeCell ref="A224:B224"/>
    <mergeCell ref="A220:B220"/>
    <mergeCell ref="A208:B208"/>
    <mergeCell ref="A211:B211"/>
    <mergeCell ref="A212:B212"/>
    <mergeCell ref="A188:B188"/>
    <mergeCell ref="A189:B189"/>
    <mergeCell ref="A190:B190"/>
    <mergeCell ref="A191:B191"/>
    <mergeCell ref="A246:H246"/>
    <mergeCell ref="A142:B142"/>
    <mergeCell ref="A243:H243"/>
    <mergeCell ref="A137:B137"/>
    <mergeCell ref="A123:B123"/>
    <mergeCell ref="D131:D132"/>
    <mergeCell ref="E131:E132"/>
    <mergeCell ref="G131:H132"/>
    <mergeCell ref="A84:B84"/>
    <mergeCell ref="A85:B85"/>
    <mergeCell ref="A86:B86"/>
    <mergeCell ref="B238:H238"/>
    <mergeCell ref="B237:H237"/>
    <mergeCell ref="A242:H242"/>
    <mergeCell ref="E123:F123"/>
    <mergeCell ref="A93:B93"/>
    <mergeCell ref="G126:H126"/>
    <mergeCell ref="A127:B127"/>
    <mergeCell ref="C127:D127"/>
    <mergeCell ref="E127:F127"/>
    <mergeCell ref="G127:H127"/>
    <mergeCell ref="A116:E116"/>
    <mergeCell ref="F110:H110"/>
    <mergeCell ref="A115:E115"/>
    <mergeCell ref="L180:M180"/>
    <mergeCell ref="A181:B181"/>
    <mergeCell ref="A182:B182"/>
    <mergeCell ref="G181:H186"/>
    <mergeCell ref="A183:B183"/>
    <mergeCell ref="G171:H171"/>
    <mergeCell ref="A163:B163"/>
    <mergeCell ref="D55:H55"/>
    <mergeCell ref="D56:H56"/>
    <mergeCell ref="A58:C58"/>
    <mergeCell ref="A59:C59"/>
    <mergeCell ref="D58:H58"/>
    <mergeCell ref="D59:H59"/>
    <mergeCell ref="A73:B73"/>
    <mergeCell ref="C124:D124"/>
    <mergeCell ref="E124:F124"/>
    <mergeCell ref="A128:H128"/>
    <mergeCell ref="A161:B161"/>
    <mergeCell ref="G161:H161"/>
    <mergeCell ref="A129:H129"/>
    <mergeCell ref="D57:H57"/>
    <mergeCell ref="D61:H61"/>
    <mergeCell ref="A60:C60"/>
    <mergeCell ref="D60:H60"/>
    <mergeCell ref="A249:H252"/>
    <mergeCell ref="A248:B248"/>
    <mergeCell ref="E248:F248"/>
    <mergeCell ref="C248:D248"/>
    <mergeCell ref="G248:H248"/>
    <mergeCell ref="A120:E120"/>
    <mergeCell ref="F120:H120"/>
    <mergeCell ref="A121:E121"/>
    <mergeCell ref="F121:H121"/>
    <mergeCell ref="A136:H136"/>
    <mergeCell ref="A124:B124"/>
    <mergeCell ref="A244:H244"/>
    <mergeCell ref="A122:H122"/>
    <mergeCell ref="A247:H247"/>
    <mergeCell ref="A245:H245"/>
    <mergeCell ref="A230:H230"/>
    <mergeCell ref="B131:B132"/>
    <mergeCell ref="A228:B228"/>
    <mergeCell ref="G223:H229"/>
    <mergeCell ref="A219:B219"/>
    <mergeCell ref="A221:B221"/>
    <mergeCell ref="A222:H222"/>
    <mergeCell ref="A223:B223"/>
    <mergeCell ref="G214:H2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A61:C61"/>
    <mergeCell ref="E13:H13"/>
    <mergeCell ref="A14:B14"/>
    <mergeCell ref="C14:H14"/>
    <mergeCell ref="C15:H15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11:D11"/>
    <mergeCell ref="E11:H11"/>
    <mergeCell ref="A241:H241"/>
    <mergeCell ref="D54:H54"/>
    <mergeCell ref="A54:C54"/>
    <mergeCell ref="A42:D42"/>
    <mergeCell ref="A43:D43"/>
    <mergeCell ref="A44:D44"/>
    <mergeCell ref="A45:H4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22:D22"/>
    <mergeCell ref="E22:H22"/>
    <mergeCell ref="A16:B16"/>
    <mergeCell ref="C16:D16"/>
    <mergeCell ref="E20:H21"/>
    <mergeCell ref="E24:H24"/>
    <mergeCell ref="A26:D26"/>
    <mergeCell ref="E26:H26"/>
    <mergeCell ref="A23:D23"/>
    <mergeCell ref="E23:H23"/>
    <mergeCell ref="A27:D27"/>
    <mergeCell ref="E27:H27"/>
    <mergeCell ref="A24:D24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A38:H38"/>
    <mergeCell ref="A37:B37"/>
    <mergeCell ref="C37:H37"/>
    <mergeCell ref="A33:B33"/>
    <mergeCell ref="C33:E33"/>
    <mergeCell ref="A28:D28"/>
    <mergeCell ref="E28:H28"/>
    <mergeCell ref="A29:D29"/>
    <mergeCell ref="E29:H29"/>
    <mergeCell ref="F34:H34"/>
    <mergeCell ref="A36:B36"/>
    <mergeCell ref="E36:F36"/>
    <mergeCell ref="C36:D36"/>
    <mergeCell ref="G36:H36"/>
    <mergeCell ref="G47:H47"/>
    <mergeCell ref="A48:B49"/>
    <mergeCell ref="C49:H49"/>
    <mergeCell ref="E40:H40"/>
    <mergeCell ref="A40:D40"/>
    <mergeCell ref="A35:H35"/>
    <mergeCell ref="A34:B34"/>
    <mergeCell ref="C34:E34"/>
    <mergeCell ref="A39:D39"/>
    <mergeCell ref="E39:H39"/>
    <mergeCell ref="D52:H52"/>
    <mergeCell ref="A46:B46"/>
    <mergeCell ref="C46:E46"/>
    <mergeCell ref="C48:E48"/>
    <mergeCell ref="A55:C57"/>
    <mergeCell ref="A41:D41"/>
    <mergeCell ref="E41:H41"/>
    <mergeCell ref="E42:H42"/>
    <mergeCell ref="E43:H43"/>
    <mergeCell ref="E44:H44"/>
    <mergeCell ref="G46:H46"/>
    <mergeCell ref="G48:H48"/>
    <mergeCell ref="L136:M136"/>
    <mergeCell ref="A130:H130"/>
    <mergeCell ref="A131:A132"/>
    <mergeCell ref="A141:B141"/>
    <mergeCell ref="A138:B138"/>
    <mergeCell ref="A139:B139"/>
    <mergeCell ref="A140:B140"/>
    <mergeCell ref="A133:H133"/>
    <mergeCell ref="C131:C132"/>
    <mergeCell ref="G137:H142"/>
    <mergeCell ref="A97:B97"/>
    <mergeCell ref="A98:B98"/>
    <mergeCell ref="B236:H236"/>
    <mergeCell ref="B239:H239"/>
    <mergeCell ref="B231:H231"/>
    <mergeCell ref="B232:H232"/>
    <mergeCell ref="B233:H233"/>
    <mergeCell ref="B234:H234"/>
    <mergeCell ref="B235:H235"/>
    <mergeCell ref="C123:D123"/>
    <mergeCell ref="G123:H123"/>
    <mergeCell ref="A135:H135"/>
    <mergeCell ref="A134:H134"/>
    <mergeCell ref="A148:B148"/>
    <mergeCell ref="A149:B149"/>
    <mergeCell ref="A150:B150"/>
    <mergeCell ref="A151:B151"/>
    <mergeCell ref="A160:H160"/>
    <mergeCell ref="A143:H143"/>
    <mergeCell ref="A144:B144"/>
    <mergeCell ref="A145:B145"/>
    <mergeCell ref="A146:B146"/>
    <mergeCell ref="A147:B147"/>
    <mergeCell ref="A162:B162"/>
    <mergeCell ref="A78:B78"/>
    <mergeCell ref="C78:H78"/>
    <mergeCell ref="A79:B79"/>
    <mergeCell ref="E79:F79"/>
    <mergeCell ref="G79:H79"/>
    <mergeCell ref="E93:F93"/>
    <mergeCell ref="G93:H93"/>
    <mergeCell ref="A94:B94"/>
    <mergeCell ref="E94:F103"/>
    <mergeCell ref="G94:H103"/>
    <mergeCell ref="A95:B95"/>
    <mergeCell ref="A96:B96"/>
    <mergeCell ref="G80:H89"/>
    <mergeCell ref="A81:B81"/>
    <mergeCell ref="A82:B82"/>
    <mergeCell ref="A83:B83"/>
    <mergeCell ref="A103:B103"/>
    <mergeCell ref="A90:B90"/>
    <mergeCell ref="C90:H90"/>
    <mergeCell ref="A80:B80"/>
    <mergeCell ref="E80:F89"/>
    <mergeCell ref="A87:B87"/>
    <mergeCell ref="A88:B88"/>
    <mergeCell ref="A89:B89"/>
    <mergeCell ref="A99:B99"/>
    <mergeCell ref="A101:B101"/>
    <mergeCell ref="A102:B102"/>
    <mergeCell ref="A113:E113"/>
    <mergeCell ref="F113:H113"/>
    <mergeCell ref="A114:E114"/>
    <mergeCell ref="F117:H117"/>
    <mergeCell ref="G124:H124"/>
    <mergeCell ref="F114:H114"/>
    <mergeCell ref="C106:H106"/>
    <mergeCell ref="F109:H109"/>
    <mergeCell ref="A109:E109"/>
    <mergeCell ref="A117:E117"/>
    <mergeCell ref="F116:H116"/>
    <mergeCell ref="A110:E110"/>
    <mergeCell ref="A112:E112"/>
    <mergeCell ref="F112:H112"/>
    <mergeCell ref="A105:H105"/>
    <mergeCell ref="A106:B106"/>
    <mergeCell ref="A71:B71"/>
    <mergeCell ref="A177:B177"/>
    <mergeCell ref="G177:H177"/>
    <mergeCell ref="A152:H152"/>
    <mergeCell ref="A153:B153"/>
    <mergeCell ref="A154:B154"/>
    <mergeCell ref="A155:B155"/>
    <mergeCell ref="A156:B156"/>
    <mergeCell ref="A157:B157"/>
    <mergeCell ref="A158:B158"/>
    <mergeCell ref="A159:B159"/>
    <mergeCell ref="A172:B172"/>
    <mergeCell ref="G172:H172"/>
    <mergeCell ref="A173:B173"/>
    <mergeCell ref="G173:H173"/>
    <mergeCell ref="A174:B174"/>
    <mergeCell ref="G174:H174"/>
    <mergeCell ref="F118:H118"/>
    <mergeCell ref="G144:H151"/>
    <mergeCell ref="G153:H159"/>
    <mergeCell ref="G125:H125"/>
    <mergeCell ref="A126:B126"/>
    <mergeCell ref="C126:D126"/>
    <mergeCell ref="E126:F126"/>
    <mergeCell ref="G167:H167"/>
    <mergeCell ref="A168:B168"/>
    <mergeCell ref="G168:H168"/>
    <mergeCell ref="G163:H163"/>
    <mergeCell ref="A164:B164"/>
    <mergeCell ref="G164:H164"/>
    <mergeCell ref="A165:B165"/>
    <mergeCell ref="G165:H165"/>
    <mergeCell ref="A166:B166"/>
    <mergeCell ref="G166:H166"/>
  </mergeCells>
  <hyperlinks>
    <hyperlink ref="C37" r:id="rId1" xr:uid="{00000000-0004-0000-0000-000000000000}"/>
  </hyperlinks>
  <printOptions horizontalCentered="1"/>
  <pageMargins left="0.39370078740157483" right="0.39370078740157483" top="0.98425196850393704" bottom="0.59055118110236227" header="0.19685039370078741" footer="0.19685039370078741"/>
  <pageSetup scale="9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&amp;P</oddFooter>
  </headerFooter>
  <rowBreaks count="3" manualBreakCount="3">
    <brk id="240" max="7" man="1"/>
    <brk id="252" max="7" man="1"/>
    <brk id="28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36"/>
  <sheetViews>
    <sheetView topLeftCell="A19" workbookViewId="0">
      <selection activeCell="D27" sqref="D27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79</v>
      </c>
      <c r="C2" s="188"/>
      <c r="D2" s="188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80</v>
      </c>
      <c r="B4" s="3" t="s">
        <v>81</v>
      </c>
      <c r="C4" s="189" t="s">
        <v>82</v>
      </c>
      <c r="D4" s="189"/>
      <c r="E4" s="189"/>
      <c r="F4" s="4"/>
      <c r="G4" s="189" t="s">
        <v>83</v>
      </c>
      <c r="H4" s="189"/>
      <c r="I4" s="189"/>
      <c r="J4" s="189" t="s">
        <v>84</v>
      </c>
      <c r="K4" s="189"/>
      <c r="L4" s="189"/>
    </row>
    <row r="5" spans="1:12" x14ac:dyDescent="0.3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3">
      <c r="B6" s="5" t="s">
        <v>87</v>
      </c>
      <c r="C6" s="5">
        <v>2.75</v>
      </c>
      <c r="D6" s="5">
        <v>3.3</v>
      </c>
      <c r="E6" s="5">
        <f>C6*D6</f>
        <v>9.0749999999999993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90</v>
      </c>
      <c r="C9" s="5">
        <v>1.67</v>
      </c>
      <c r="D9" s="5">
        <v>2.58</v>
      </c>
      <c r="E9" s="5">
        <f t="shared" si="0"/>
        <v>4.3086000000000002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91</v>
      </c>
      <c r="C13" s="5">
        <v>2.75</v>
      </c>
      <c r="D13" s="5">
        <v>3.03</v>
      </c>
      <c r="E13" s="5">
        <f t="shared" si="0"/>
        <v>8.3324999999999996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5" x14ac:dyDescent="0.3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5" x14ac:dyDescent="0.3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5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5" x14ac:dyDescent="0.3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5" x14ac:dyDescent="0.3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5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5" x14ac:dyDescent="0.3">
      <c r="B23" s="5" t="s">
        <v>93</v>
      </c>
      <c r="C23" s="5">
        <v>1.415</v>
      </c>
      <c r="D23" s="5">
        <v>1.2150000000000001</v>
      </c>
      <c r="E23" s="5">
        <f t="shared" si="0"/>
        <v>1.7192250000000002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5" x14ac:dyDescent="0.3">
      <c r="B24" s="5" t="s">
        <v>95</v>
      </c>
      <c r="C24" s="5">
        <v>1.27</v>
      </c>
      <c r="D24" s="5">
        <v>1.135</v>
      </c>
      <c r="E24" s="5">
        <f t="shared" si="0"/>
        <v>1.4414500000000001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5" x14ac:dyDescent="0.3">
      <c r="B25" s="5" t="s">
        <v>96</v>
      </c>
      <c r="C25" s="5">
        <v>0.96</v>
      </c>
      <c r="D25" s="5">
        <v>1.2150000000000001</v>
      </c>
      <c r="E25" s="5">
        <f t="shared" si="0"/>
        <v>1.1664000000000001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5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5" x14ac:dyDescent="0.3">
      <c r="B27" s="5" t="s">
        <v>97</v>
      </c>
      <c r="C27" s="5">
        <v>2.75</v>
      </c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5" x14ac:dyDescent="0.3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5" x14ac:dyDescent="0.3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5" x14ac:dyDescent="0.3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5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  <c r="O31">
        <f>2.75*0.45</f>
        <v>1.2375</v>
      </c>
    </row>
    <row r="32" spans="2:15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  <c r="O32">
        <f>2.75*0.3</f>
        <v>0.82499999999999996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64</v>
      </c>
      <c r="C34" s="5"/>
      <c r="D34" s="5">
        <f>E34*10.764</f>
        <v>280.32873569999998</v>
      </c>
      <c r="E34" s="5">
        <f>SUM(E6:E33)</f>
        <v>26.043174999999998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280.32873569999998</v>
      </c>
      <c r="E36">
        <f>E34+I34</f>
        <v>26.043174999999998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topLeftCell="A31" zoomScale="115" zoomScaleNormal="115" workbookViewId="0">
      <selection activeCell="H42" sqref="H42"/>
    </sheetView>
  </sheetViews>
  <sheetFormatPr defaultColWidth="8.6640625" defaultRowHeight="14.4" x14ac:dyDescent="0.3"/>
  <cols>
    <col min="1" max="1" width="8.6640625" style="6"/>
    <col min="2" max="2" width="22.109375" style="6" customWidth="1"/>
    <col min="3" max="3" width="37" style="6" customWidth="1"/>
    <col min="4" max="5" width="11.44140625" style="6" customWidth="1"/>
    <col min="6" max="6" width="14" style="6" customWidth="1"/>
    <col min="7" max="7" width="20" style="6" customWidth="1"/>
    <col min="8" max="8" width="16.44140625" style="6" customWidth="1"/>
    <col min="9" max="16384" width="8.6640625" style="6"/>
  </cols>
  <sheetData>
    <row r="1" spans="1:9" ht="15" customHeight="1" x14ac:dyDescent="0.3"/>
    <row r="2" spans="1:9" ht="15" customHeight="1" x14ac:dyDescent="0.3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">
      <c r="A3" s="7"/>
      <c r="B3" s="190" t="s">
        <v>144</v>
      </c>
      <c r="C3" s="190"/>
      <c r="D3" s="190"/>
      <c r="E3" s="190"/>
      <c r="F3" s="190"/>
      <c r="G3" s="190"/>
      <c r="H3" s="190"/>
    </row>
    <row r="4" spans="1:9" x14ac:dyDescent="0.3">
      <c r="A4" s="7"/>
      <c r="B4" s="8" t="s">
        <v>145</v>
      </c>
      <c r="C4" s="8" t="s">
        <v>146</v>
      </c>
      <c r="D4" s="8" t="s">
        <v>80</v>
      </c>
      <c r="E4" s="8" t="s">
        <v>147</v>
      </c>
      <c r="F4" s="8" t="s">
        <v>154</v>
      </c>
      <c r="G4" s="8" t="s">
        <v>155</v>
      </c>
      <c r="H4" s="8" t="s">
        <v>148</v>
      </c>
    </row>
    <row r="5" spans="1:9" ht="15" customHeight="1" x14ac:dyDescent="0.3">
      <c r="A5" s="7"/>
      <c r="B5" s="10" t="s">
        <v>149</v>
      </c>
      <c r="C5" s="11"/>
      <c r="D5" s="10" t="s">
        <v>150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">
      <c r="A6" s="7"/>
      <c r="B6" s="10" t="s">
        <v>149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">
      <c r="A7" s="7"/>
      <c r="B7" s="10" t="s">
        <v>149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">
      <c r="A8" s="7"/>
      <c r="B8" s="10" t="s">
        <v>149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">
      <c r="A9" s="7"/>
      <c r="B9" s="10" t="s">
        <v>149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">
      <c r="A10" s="7"/>
      <c r="B10" s="10" t="s">
        <v>151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">
      <c r="A11" s="7"/>
      <c r="B11" s="10" t="s">
        <v>151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">
      <c r="A12" s="7"/>
      <c r="B12" s="15" t="s">
        <v>152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">
      <c r="B13" s="15" t="s">
        <v>153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2025-08-15T06:21:25Z</cp:lastPrinted>
  <dcterms:created xsi:type="dcterms:W3CDTF">2019-07-16T09:29:46Z</dcterms:created>
  <dcterms:modified xsi:type="dcterms:W3CDTF">2025-08-15T06:21:28Z</dcterms:modified>
</cp:coreProperties>
</file>