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A48E07AA-E28E-421B-9564-1B9844DDBAA2}" xr6:coauthVersionLast="47" xr6:coauthVersionMax="47" xr10:uidLastSave="{00000000-0000-0000-0000-000000000000}"/>
  <bookViews>
    <workbookView xWindow="-108" yWindow="-108" windowWidth="23256" windowHeight="12456" xr2:uid="{00000000-000D-0000-FFFF-FFFF00000000}"/>
  </bookViews>
  <sheets>
    <sheet name="Report (2)" sheetId="1" r:id="rId1"/>
    <sheet name="VALUATION" sheetId="6" r:id="rId2"/>
    <sheet name="C%" sheetId="2" r:id="rId3"/>
    <sheet name="C% (2)" sheetId="5" r:id="rId4"/>
    <sheet name="Flat detail" sheetId="3" r:id="rId5"/>
    <sheet name="Sheet1" sheetId="4" r:id="rId6"/>
  </sheets>
  <definedNames>
    <definedName name="_xlnm.Print_Area" localSheetId="0">'Report (2)'!$A$1:$J$371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3" i="1" l="1"/>
  <c r="C79" i="1"/>
  <c r="C80" i="1" s="1"/>
  <c r="C63" i="1"/>
  <c r="G124" i="1"/>
  <c r="C73" i="1"/>
  <c r="F77" i="1" s="1"/>
  <c r="M84" i="1"/>
  <c r="M83" i="1"/>
  <c r="M82" i="1"/>
  <c r="M81" i="1"/>
  <c r="I72" i="1"/>
  <c r="D86" i="1" l="1"/>
  <c r="D82" i="1"/>
  <c r="M78" i="1"/>
  <c r="C77" i="1" s="1"/>
  <c r="D77" i="1" s="1"/>
  <c r="M76" i="1"/>
  <c r="D81" i="1"/>
  <c r="M77" i="1"/>
  <c r="D80" i="1"/>
  <c r="M79" i="1"/>
  <c r="M80" i="1" s="1"/>
  <c r="M85" i="1" s="1"/>
  <c r="M86" i="1" s="1"/>
  <c r="C78" i="1" s="1"/>
  <c r="D78" i="1" s="1"/>
  <c r="D79" i="1"/>
  <c r="C107" i="1"/>
  <c r="C59" i="1"/>
  <c r="D83" i="1" l="1"/>
  <c r="C94" i="1"/>
  <c r="C96" i="1" l="1"/>
  <c r="C95" i="1"/>
  <c r="D84" i="1"/>
  <c r="M112" i="1"/>
  <c r="M111" i="1"/>
  <c r="M110" i="1"/>
  <c r="M109" i="1"/>
  <c r="M98" i="1"/>
  <c r="M97" i="1"/>
  <c r="M96" i="1"/>
  <c r="M95" i="1"/>
  <c r="O182" i="1"/>
  <c r="H209" i="1"/>
  <c r="H226" i="1"/>
  <c r="H223" i="1"/>
  <c r="H145" i="1"/>
  <c r="H148" i="1"/>
  <c r="H151" i="1"/>
  <c r="H157" i="1"/>
  <c r="H160" i="1"/>
  <c r="H163" i="1"/>
  <c r="H173" i="1"/>
  <c r="H176" i="1"/>
  <c r="H179" i="1"/>
  <c r="H182" i="1"/>
  <c r="H185" i="1"/>
  <c r="H188" i="1"/>
  <c r="H192" i="1"/>
  <c r="H205" i="1"/>
  <c r="D205" i="1"/>
  <c r="G205" i="1" s="1"/>
  <c r="H203" i="1"/>
  <c r="F188" i="1"/>
  <c r="F164" i="1"/>
  <c r="F163" i="1"/>
  <c r="D227" i="1"/>
  <c r="G227" i="1" s="1"/>
  <c r="I226" i="1"/>
  <c r="D226" i="1"/>
  <c r="G226" i="1" s="1"/>
  <c r="D224" i="1"/>
  <c r="G224" i="1" s="1"/>
  <c r="D223" i="1"/>
  <c r="G223" i="1" s="1"/>
  <c r="D203" i="1"/>
  <c r="G203" i="1" s="1"/>
  <c r="G134" i="1" s="1"/>
  <c r="D188" i="1"/>
  <c r="G188" i="1" s="1"/>
  <c r="I88" i="1"/>
  <c r="I102" i="1"/>
  <c r="D85" i="1" l="1"/>
  <c r="H77" i="1"/>
  <c r="K71" i="1"/>
  <c r="C108" i="1"/>
  <c r="G135" i="1"/>
  <c r="D135" i="1"/>
  <c r="D134" i="1"/>
  <c r="C134" i="1"/>
  <c r="C135" i="1"/>
  <c r="D99" i="1"/>
  <c r="D97" i="1"/>
  <c r="D94" i="1"/>
  <c r="M92" i="1"/>
  <c r="C91" i="1" s="1"/>
  <c r="M90" i="1"/>
  <c r="D95" i="1"/>
  <c r="D100" i="1"/>
  <c r="D98" i="1"/>
  <c r="D96" i="1"/>
  <c r="M93" i="1"/>
  <c r="M94" i="1" s="1"/>
  <c r="M99" i="1" s="1"/>
  <c r="D93" i="1"/>
  <c r="M91" i="1"/>
  <c r="D114" i="1"/>
  <c r="D112" i="1"/>
  <c r="M107" i="1"/>
  <c r="M108" i="1" s="1"/>
  <c r="M113" i="1" s="1"/>
  <c r="D107" i="1"/>
  <c r="M105" i="1"/>
  <c r="D113" i="1"/>
  <c r="D111" i="1"/>
  <c r="D108" i="1"/>
  <c r="M106" i="1"/>
  <c r="C105" i="1" s="1"/>
  <c r="D105" i="1" s="1"/>
  <c r="M104" i="1"/>
  <c r="I166" i="1"/>
  <c r="C109" i="1" l="1"/>
  <c r="C110" i="1"/>
  <c r="D110" i="1" s="1"/>
  <c r="D109" i="1"/>
  <c r="M114" i="1"/>
  <c r="K101" i="1" s="1"/>
  <c r="C103" i="1" s="1"/>
  <c r="F105" i="1" s="1"/>
  <c r="M100" i="1"/>
  <c r="H91" i="1"/>
  <c r="D91" i="1"/>
  <c r="D164" i="1"/>
  <c r="G164" i="1" s="1"/>
  <c r="D163" i="1"/>
  <c r="G163" i="1" s="1"/>
  <c r="D186" i="1"/>
  <c r="G186" i="1" s="1"/>
  <c r="D185" i="1"/>
  <c r="G185" i="1" s="1"/>
  <c r="D183" i="1"/>
  <c r="G183" i="1" s="1"/>
  <c r="I182" i="1"/>
  <c r="D182" i="1"/>
  <c r="G182" i="1" s="1"/>
  <c r="L182" i="1" s="1"/>
  <c r="D161" i="1"/>
  <c r="G161" i="1" s="1"/>
  <c r="D160" i="1"/>
  <c r="G160" i="1" s="1"/>
  <c r="D158" i="1"/>
  <c r="G158" i="1" s="1"/>
  <c r="I157" i="1"/>
  <c r="D157" i="1"/>
  <c r="D180" i="1"/>
  <c r="G180" i="1" s="1"/>
  <c r="I179" i="1"/>
  <c r="D179" i="1"/>
  <c r="G179" i="1" s="1"/>
  <c r="D177" i="1"/>
  <c r="G177" i="1" s="1"/>
  <c r="I176" i="1"/>
  <c r="D176" i="1"/>
  <c r="G176" i="1" s="1"/>
  <c r="D174" i="1"/>
  <c r="G174" i="1" s="1"/>
  <c r="I173" i="1"/>
  <c r="D173" i="1"/>
  <c r="D154" i="1"/>
  <c r="G154" i="1" s="1"/>
  <c r="D152" i="1"/>
  <c r="D151" i="1"/>
  <c r="G173" i="1" l="1"/>
  <c r="G133" i="1" s="1"/>
  <c r="D133" i="1"/>
  <c r="C133" i="1"/>
  <c r="H105" i="1"/>
  <c r="K87" i="1"/>
  <c r="C89" i="1" s="1"/>
  <c r="F91" i="1" s="1"/>
  <c r="D106" i="1"/>
  <c r="D92" i="1"/>
  <c r="G157" i="1"/>
  <c r="L157" i="1" s="1"/>
  <c r="Q158" i="1"/>
  <c r="Q159" i="1" s="1"/>
  <c r="D149" i="1"/>
  <c r="D148" i="1"/>
  <c r="D145" i="1" l="1"/>
  <c r="D146" i="1"/>
  <c r="D218" i="1"/>
  <c r="G218" i="1" s="1"/>
  <c r="D217" i="1"/>
  <c r="G217" i="1" s="1"/>
  <c r="D216" i="1"/>
  <c r="G216" i="1" s="1"/>
  <c r="D215" i="1"/>
  <c r="G215" i="1" s="1"/>
  <c r="D214" i="1"/>
  <c r="G214" i="1" s="1"/>
  <c r="D213" i="1"/>
  <c r="G213" i="1" s="1"/>
  <c r="D212" i="1"/>
  <c r="G212" i="1" s="1"/>
  <c r="D211" i="1"/>
  <c r="G211" i="1" s="1"/>
  <c r="D210" i="1"/>
  <c r="G210" i="1" s="1"/>
  <c r="D209" i="1"/>
  <c r="D195" i="1"/>
  <c r="G195" i="1" s="1"/>
  <c r="D196" i="1"/>
  <c r="G196" i="1" s="1"/>
  <c r="D197" i="1"/>
  <c r="G197" i="1" s="1"/>
  <c r="D198" i="1"/>
  <c r="G198" i="1" s="1"/>
  <c r="D199" i="1"/>
  <c r="G199" i="1" s="1"/>
  <c r="D194" i="1"/>
  <c r="G194" i="1" s="1"/>
  <c r="D192" i="1"/>
  <c r="D193" i="1"/>
  <c r="D132" i="1" l="1"/>
  <c r="D136" i="1" s="1"/>
  <c r="C132" i="1"/>
  <c r="C136" i="1" s="1"/>
  <c r="G209" i="1"/>
  <c r="G128" i="1" s="1"/>
  <c r="D128" i="1"/>
  <c r="C128" i="1"/>
  <c r="D127" i="1"/>
  <c r="C127" i="1"/>
  <c r="G193" i="1"/>
  <c r="G192" i="1"/>
  <c r="G127" i="1" l="1"/>
  <c r="C129" i="1"/>
  <c r="F3" i="1"/>
  <c r="C64" i="1"/>
  <c r="M68" i="1" l="1"/>
  <c r="M67" i="1"/>
  <c r="M66" i="1"/>
  <c r="M65" i="1"/>
  <c r="I58" i="1"/>
  <c r="M61" i="1" l="1"/>
  <c r="D70" i="1"/>
  <c r="D68" i="1"/>
  <c r="D66" i="1"/>
  <c r="D64" i="1"/>
  <c r="M62" i="1"/>
  <c r="C61" i="1" s="1"/>
  <c r="M60" i="1"/>
  <c r="M63" i="1"/>
  <c r="M64" i="1" s="1"/>
  <c r="M69" i="1" s="1"/>
  <c r="M70" i="1" s="1"/>
  <c r="C62" i="1" s="1"/>
  <c r="D62" i="1" s="1"/>
  <c r="D69" i="1"/>
  <c r="D67" i="1"/>
  <c r="D65" i="1"/>
  <c r="D63" i="1"/>
  <c r="F5" i="6"/>
  <c r="G5" i="6" s="1"/>
  <c r="F11" i="6"/>
  <c r="G11" i="6" s="1"/>
  <c r="F10" i="6"/>
  <c r="G10" i="6" s="1"/>
  <c r="G9" i="6"/>
  <c r="F9" i="6"/>
  <c r="F8" i="6"/>
  <c r="G8" i="6" s="1"/>
  <c r="F7" i="6"/>
  <c r="G7" i="6" s="1"/>
  <c r="F6" i="6"/>
  <c r="G6" i="6" s="1"/>
  <c r="C8" i="5"/>
  <c r="C9" i="5" s="1"/>
  <c r="C8" i="2"/>
  <c r="C9" i="2" s="1"/>
  <c r="G12" i="6" l="1"/>
  <c r="H61" i="1"/>
  <c r="D61" i="1"/>
  <c r="K57" i="1" s="1"/>
  <c r="G15" i="5"/>
  <c r="B15" i="5" s="1"/>
  <c r="B7" i="5"/>
  <c r="H16" i="5" s="1"/>
  <c r="C16" i="5" s="1"/>
  <c r="D6" i="5"/>
  <c r="C5" i="5"/>
  <c r="B11" i="5" s="1"/>
  <c r="F61" i="1" l="1"/>
  <c r="D7" i="5"/>
  <c r="L16" i="5"/>
  <c r="C20" i="5" s="1"/>
  <c r="D11" i="5"/>
  <c r="L15" i="5"/>
  <c r="B20" i="5" s="1"/>
  <c r="B10" i="5"/>
  <c r="H15" i="5"/>
  <c r="B16" i="5" s="1"/>
  <c r="G16" i="5"/>
  <c r="C15" i="5" s="1"/>
  <c r="B8" i="5"/>
  <c r="B12" i="5"/>
  <c r="B9" i="5"/>
  <c r="I15" i="5" l="1"/>
  <c r="B17" i="5" s="1"/>
  <c r="D8" i="5"/>
  <c r="I16" i="5"/>
  <c r="C17" i="5" s="1"/>
  <c r="J16" i="5"/>
  <c r="C18" i="5" s="1"/>
  <c r="J15" i="5"/>
  <c r="B18" i="5" s="1"/>
  <c r="D9" i="5"/>
  <c r="M15" i="5"/>
  <c r="B21" i="5" s="1"/>
  <c r="M16" i="5"/>
  <c r="C21" i="5" s="1"/>
  <c r="D12" i="5"/>
  <c r="K15" i="5"/>
  <c r="B19" i="5" s="1"/>
  <c r="K16" i="5"/>
  <c r="C19" i="5" s="1"/>
  <c r="D10" i="5"/>
  <c r="C22" i="5" l="1"/>
  <c r="B22" i="5"/>
  <c r="I148" i="1" l="1"/>
  <c r="L33" i="4"/>
  <c r="I33" i="4"/>
  <c r="E33" i="4"/>
  <c r="L32" i="4"/>
  <c r="I32" i="4"/>
  <c r="E32" i="4"/>
  <c r="L31" i="4"/>
  <c r="I31" i="4"/>
  <c r="E31" i="4"/>
  <c r="L30" i="4"/>
  <c r="I30" i="4"/>
  <c r="E30" i="4"/>
  <c r="L29" i="4"/>
  <c r="I29" i="4"/>
  <c r="E29" i="4"/>
  <c r="L28" i="4"/>
  <c r="I28" i="4"/>
  <c r="E28" i="4"/>
  <c r="L27" i="4"/>
  <c r="I27" i="4"/>
  <c r="E27" i="4"/>
  <c r="L26" i="4"/>
  <c r="I26" i="4"/>
  <c r="E26" i="4"/>
  <c r="L25" i="4"/>
  <c r="I25" i="4"/>
  <c r="E25" i="4"/>
  <c r="L24" i="4"/>
  <c r="I24" i="4"/>
  <c r="E24" i="4"/>
  <c r="L23" i="4"/>
  <c r="I23" i="4"/>
  <c r="E23" i="4"/>
  <c r="L22" i="4"/>
  <c r="I22" i="4"/>
  <c r="E22" i="4"/>
  <c r="L21" i="4"/>
  <c r="I21" i="4"/>
  <c r="E21" i="4"/>
  <c r="L20" i="4"/>
  <c r="I20" i="4"/>
  <c r="E20" i="4"/>
  <c r="L19" i="4"/>
  <c r="I19" i="4"/>
  <c r="E19" i="4"/>
  <c r="L18" i="4"/>
  <c r="I18" i="4"/>
  <c r="E18" i="4"/>
  <c r="L17" i="4"/>
  <c r="I17" i="4"/>
  <c r="E17" i="4"/>
  <c r="L16" i="4"/>
  <c r="I16" i="4"/>
  <c r="E16" i="4"/>
  <c r="L15" i="4"/>
  <c r="I15" i="4"/>
  <c r="E15" i="4"/>
  <c r="L14" i="4"/>
  <c r="I14" i="4"/>
  <c r="E14" i="4"/>
  <c r="L13" i="4"/>
  <c r="I13" i="4"/>
  <c r="E13" i="4"/>
  <c r="L12" i="4"/>
  <c r="I12" i="4"/>
  <c r="E12" i="4"/>
  <c r="L11" i="4"/>
  <c r="I11" i="4"/>
  <c r="E11" i="4"/>
  <c r="L10" i="4"/>
  <c r="I10" i="4"/>
  <c r="E10" i="4"/>
  <c r="L9" i="4"/>
  <c r="I9" i="4"/>
  <c r="E9" i="4"/>
  <c r="L8" i="4"/>
  <c r="I8" i="4"/>
  <c r="E8" i="4"/>
  <c r="L7" i="4"/>
  <c r="I7" i="4"/>
  <c r="E7" i="4"/>
  <c r="L6" i="4"/>
  <c r="I6" i="4"/>
  <c r="E6" i="4"/>
  <c r="L34" i="4" l="1"/>
  <c r="K34" i="4" s="1"/>
  <c r="E34" i="4"/>
  <c r="I34" i="4"/>
  <c r="H34" i="4" s="1"/>
  <c r="D34" i="4"/>
  <c r="B7" i="2"/>
  <c r="G129" i="1" l="1"/>
  <c r="D129" i="1"/>
  <c r="E36" i="4"/>
  <c r="D36" i="4"/>
  <c r="G15" i="2"/>
  <c r="G16" i="2" s="1"/>
  <c r="C15" i="2" s="1"/>
  <c r="H15" i="2"/>
  <c r="B16" i="2" s="1"/>
  <c r="D6" i="2"/>
  <c r="C5" i="2"/>
  <c r="B12" i="2" s="1"/>
  <c r="D242" i="1"/>
  <c r="D50" i="1"/>
  <c r="H47" i="1"/>
  <c r="C47" i="1"/>
  <c r="F42" i="1"/>
  <c r="D52" i="1" s="1"/>
  <c r="C14" i="1"/>
  <c r="F7" i="1"/>
  <c r="B15" i="2" l="1"/>
  <c r="G152" i="1"/>
  <c r="G149" i="1"/>
  <c r="G151" i="1"/>
  <c r="G148" i="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 r="G146" i="1" l="1"/>
  <c r="G145" i="1" l="1"/>
  <c r="G132" i="1" s="1"/>
  <c r="G136" i="1" s="1"/>
  <c r="L145" i="1" l="1"/>
</calcChain>
</file>

<file path=xl/sharedStrings.xml><?xml version="1.0" encoding="utf-8"?>
<sst xmlns="http://schemas.openxmlformats.org/spreadsheetml/2006/main" count="668" uniqueCount="307">
  <si>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</si>
  <si>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</si>
  <si>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</si>
  <si>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</si>
  <si>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</si>
  <si>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</si>
  <si>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</si>
  <si>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</si>
  <si>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</si>
  <si>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</si>
  <si>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</si>
  <si>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</si>
  <si>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</si>
  <si>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</si>
  <si>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</si>
  <si>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</si>
  <si>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</si>
  <si>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</si>
  <si>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</si>
  <si>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</si>
  <si>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</si>
  <si>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</si>
  <si>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</si>
  <si>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</si>
  <si>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</si>
  <si>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</si>
  <si>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</si>
  <si>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</si>
  <si>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</si>
  <si>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</si>
  <si>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</si>
  <si>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</si>
  <si>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</si>
  <si>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</si>
  <si>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</si>
  <si>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</si>
  <si>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</si>
  <si>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</si>
  <si>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</si>
  <si>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</si>
  <si>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</si>
  <si>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</si>
  <si>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</si>
  <si>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</si>
  <si>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</si>
  <si>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</si>
  <si>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</si>
  <si>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</si>
  <si>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</si>
  <si>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</si>
  <si>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</si>
  <si>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</si>
  <si>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</si>
  <si>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</si>
  <si>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</si>
  <si>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</si>
  <si>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</si>
  <si>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</si>
  <si>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</si>
  <si>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</si>
  <si>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</si>
  <si>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</si>
  <si>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</si>
  <si>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</si>
  <si>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</si>
  <si>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</si>
  <si>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</si>
  <si>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</si>
  <si>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</si>
  <si>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</si>
  <si>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</si>
  <si>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</si>
  <si>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</si>
  <si>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</si>
  <si>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</si>
  <si>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</si>
  <si>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</si>
  <si>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</si>
  <si>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</si>
  <si>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</si>
  <si>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</si>
  <si>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</si>
  <si>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</si>
  <si>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</si>
  <si>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</si>
  <si>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</si>
  <si>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</si>
  <si>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</si>
  <si>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</si>
  <si>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</si>
  <si>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</si>
  <si>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</si>
  <si>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</si>
  <si>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</si>
  <si>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</si>
  <si>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</si>
  <si>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</si>
  <si>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</si>
  <si>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</si>
  <si>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</si>
  <si>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</si>
  <si>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</si>
  <si>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</si>
  <si>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</si>
  <si>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</si>
  <si>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</si>
  <si>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</si>
  <si>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</si>
  <si>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</si>
  <si>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</si>
  <si>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</si>
  <si>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</si>
  <si>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</si>
  <si>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</si>
  <si>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</si>
  <si>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</si>
  <si>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</si>
  <si>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</si>
  <si>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</si>
  <si>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</si>
  <si>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</si>
  <si>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</si>
  <si>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</si>
  <si>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</si>
  <si>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</si>
  <si>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</si>
  <si>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</si>
  <si>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</si>
  <si>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</si>
  <si>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</si>
  <si>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</si>
  <si>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</si>
  <si>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</si>
  <si>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</si>
  <si>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</si>
  <si>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</si>
  <si>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</si>
  <si>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</si>
  <si>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</si>
  <si>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</si>
  <si>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</si>
  <si>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</si>
  <si>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</si>
  <si>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</si>
  <si>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</si>
  <si>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</si>
  <si>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</si>
  <si>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</si>
  <si>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</si>
  <si>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</si>
  <si>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</si>
  <si>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</si>
  <si>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</si>
  <si>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</si>
  <si>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</si>
  <si>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</si>
  <si>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</si>
  <si>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</si>
  <si>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</si>
  <si>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</si>
  <si>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</si>
  <si>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</si>
  <si>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</si>
  <si>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</si>
  <si>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</si>
  <si>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</si>
  <si>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</si>
  <si>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</si>
  <si>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</si>
  <si>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</si>
  <si>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</si>
  <si>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</si>
  <si>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</si>
  <si>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</si>
  <si>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</si>
  <si>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</si>
  <si>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</si>
  <si>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</si>
  <si>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</si>
  <si>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 xml:space="preserve">Regency Palms </t>
  </si>
  <si>
    <t xml:space="preserve">02512560003
</t>
  </si>
  <si>
    <t>Plot No</t>
  </si>
  <si>
    <t>R/3A</t>
  </si>
  <si>
    <t>Sector</t>
  </si>
  <si>
    <t>Nerul</t>
  </si>
  <si>
    <t>Navi Mumbai</t>
  </si>
  <si>
    <t>About 1.7Km from Nerul Railway Station</t>
  </si>
  <si>
    <t>Building</t>
  </si>
  <si>
    <t>Shankarnarayan Marg</t>
  </si>
  <si>
    <t>Palm Beach Road</t>
  </si>
  <si>
    <t>Tower A</t>
  </si>
  <si>
    <t>Ground Floor is For  Parking &amp; commercial</t>
  </si>
  <si>
    <t>Shop</t>
  </si>
  <si>
    <t>Tower B</t>
  </si>
  <si>
    <t>2nd Floor is For Podium (Part Amenities)</t>
  </si>
  <si>
    <t>Bal</t>
  </si>
  <si>
    <t>4BHK</t>
  </si>
  <si>
    <t>Bed -1</t>
  </si>
  <si>
    <t>6th, 10th, 14th, 18th, 22nd &amp; 26th Floor</t>
  </si>
  <si>
    <t>No. of Flats</t>
  </si>
  <si>
    <t>Emerald Bay Society</t>
  </si>
  <si>
    <t>Recommended rate of the Office Per Sq. Ft. ( on Saleable area)</t>
  </si>
  <si>
    <t>Residential + Commercial</t>
  </si>
  <si>
    <t xml:space="preserve">Material laying at Site: Bricks, Cement &amp; Steel etc. </t>
  </si>
  <si>
    <t xml:space="preserve">Wheather the construction is as per approved Building plan : Under Construction </t>
  </si>
  <si>
    <t>Proposed no of Floors</t>
  </si>
  <si>
    <t>Market Research Data</t>
  </si>
  <si>
    <t>Source</t>
  </si>
  <si>
    <t>Distance from proposed property</t>
  </si>
  <si>
    <t>Net Carpet</t>
  </si>
  <si>
    <t>Saleable Area</t>
  </si>
  <si>
    <t>Rate on Saleable</t>
  </si>
  <si>
    <t>Market Value</t>
  </si>
  <si>
    <t>Magic Brick</t>
  </si>
  <si>
    <t>99 Acres</t>
  </si>
  <si>
    <t>Average</t>
  </si>
  <si>
    <t xml:space="preserve">Valuation Adopted </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</si>
  <si>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</si>
  <si>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</si>
  <si>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</si>
  <si>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</si>
  <si>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</si>
  <si>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</si>
  <si>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</si>
  <si>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</si>
  <si>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</si>
  <si>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</si>
  <si>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</si>
  <si>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</si>
  <si>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</si>
  <si>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</si>
  <si>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</si>
  <si>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</si>
  <si>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</si>
  <si>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</si>
  <si>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</si>
  <si>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</si>
  <si>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</si>
  <si>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</si>
  <si>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</si>
  <si>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</si>
  <si>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</si>
  <si>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https://goo.gl/maps/vutrRpg7fuBBknSEA</t>
  </si>
  <si>
    <t>Location Link</t>
  </si>
  <si>
    <t>19.039711, 73.008839</t>
  </si>
  <si>
    <t>Thane</t>
  </si>
  <si>
    <t>Regency Palms Phase I = Tower A
Regency Palms Phase II = Tower B
Regency Palms Phase IV = Tower C &amp; D</t>
  </si>
  <si>
    <t>Regency Palms Phase I = P52000021209
Regency Palms Phase II = P52000021191
Regency Palms Phase IV = P51700046381</t>
  </si>
  <si>
    <t>NRV/A-1349</t>
  </si>
  <si>
    <t>NMMC/TPO/B.P/1341/2022
Valid up to: Tower A &amp; B = G + Podium 1 + Podium 2 + 1st to 28th Floor
Tower C &amp; D = Basement + Stilt/G + Podium 1 + Podium 2 + 1st to 34th Floor</t>
  </si>
  <si>
    <t>Tower C</t>
  </si>
  <si>
    <t xml:space="preserve">Basement Floor is For  Parking </t>
  </si>
  <si>
    <t>Shop Duplex with 1st Floor</t>
  </si>
  <si>
    <t>Tower D</t>
  </si>
  <si>
    <t>1st podium/ 1st residential Floor is For commercial</t>
  </si>
  <si>
    <t xml:space="preserve">Ground Floor is For  Parking </t>
  </si>
  <si>
    <t>1st Floor is For Podium Double height</t>
  </si>
  <si>
    <t>2nd podium/ 2nd residential Floor is For Amenities</t>
  </si>
  <si>
    <t>3rd Floor For Community Hall &amp; Part Terrace</t>
  </si>
  <si>
    <t xml:space="preserve">Ground Floor is For Parking </t>
  </si>
  <si>
    <t>1st to 3rd, 5th to 7th, 9th to 11th, 13th to 15th Floor</t>
  </si>
  <si>
    <t>Regency Palms Phase I,  II &amp; IV</t>
  </si>
  <si>
    <t>4th, 8th, 12th &amp; 16th Floor</t>
  </si>
  <si>
    <t>17th Floor</t>
  </si>
  <si>
    <t>8BHK Duplex with 18th floor</t>
  </si>
  <si>
    <t>18th Floor</t>
  </si>
  <si>
    <t>8BHK Duplex with 17th floor</t>
  </si>
  <si>
    <t>19th, 21st, 22nd, 23rd, 25th &amp; 26th Floor</t>
  </si>
  <si>
    <t>4th, 8th, 12th &amp; 16th Floor (Refuge Area at Mid landing)</t>
  </si>
  <si>
    <t>20th &amp; 24th Floor (Refuge Area at Mid landing)</t>
  </si>
  <si>
    <t>1st to 3rd, 5th to 7th, 9th to 11th, 13th to 15th &amp; 17th Floor</t>
  </si>
  <si>
    <t>27th Floor (Pent House)</t>
  </si>
  <si>
    <t>28th Floor (Pent House)</t>
  </si>
  <si>
    <t>3BHK Duplex with 28th Floor</t>
  </si>
  <si>
    <t>2BHK Duplex with 28th Floor</t>
  </si>
  <si>
    <t>3BHK Duplex with 27th Floor</t>
  </si>
  <si>
    <t>3BHK</t>
  </si>
  <si>
    <t>Tower C  Shop</t>
  </si>
  <si>
    <t>Tower D Shop</t>
  </si>
  <si>
    <t>4th, 8th, 12th, 16th, 20th, 24th, 28th &amp; 32nd Floor (Refuge at midlanding)</t>
  </si>
  <si>
    <t xml:space="preserve">1st to 3rd, 5th, 6th, 7th, 9th, 10th, 11th, 13th, 14th, 15th, 17th, 18th, 19th, 21st, 22nd, 23rd, 25th, 26th, 27th, 29th, 30th, 31st to 33rd &amp; 34th Floor </t>
  </si>
  <si>
    <t xml:space="preserve">Flats = 208  
Shop = 18
</t>
  </si>
  <si>
    <t>4 Buildings</t>
  </si>
  <si>
    <t>Tower C = Basement + Stilt/G + Podium 1 + Podium 2 + 1st to 34th Floor</t>
  </si>
  <si>
    <t>Tower D = Basement + Stilt/G + Podium 1 + Podium 2 + 1st to 34th Floor</t>
  </si>
  <si>
    <t>4th, 8th, 12th, 16th, 20th, 24th, 28th, 32nd  Floor (Refuge at midlanding)</t>
  </si>
  <si>
    <t>Layout</t>
  </si>
  <si>
    <t>Office No. 1031, Wing J, Akshar Business Park, Plot No. 03 Sector 25, Near APMC Market, Vashi, Navi Mumbai, Maharashtra 400703 TEL: 022-46090378/79/80                                                                                                                                      E mail : vsjcapf@gmail.com. Web site : www.vsjadon.com</t>
  </si>
  <si>
    <t>Site Person - Contact Details ( Name &amp; Contact No.)</t>
  </si>
  <si>
    <t xml:space="preserve">Mr. Praveen 9324149916/7276606600
</t>
  </si>
  <si>
    <t>Anish Vishwakarma</t>
  </si>
  <si>
    <t xml:space="preserve">As per RERA :
Phase I &amp; II : Completed
Phase IV : 31/05/2026
</t>
  </si>
  <si>
    <t>Tower B OC provided by bank officials on Whatsapp</t>
  </si>
  <si>
    <t>Recommended rate of the flat Per Sq. Ft. ( on Saleable area)
For Tower A &amp; B</t>
  </si>
  <si>
    <t>Recommended rate of the flat Per Sq. Ft. ( on Saleable area)
For Tower C &amp; D</t>
  </si>
  <si>
    <t xml:space="preserve">1. Phase I (Wing A) = All work completed. Please provide OC.
    Phase II (Wing B) = All work Completed. OC Received.
    Phase IV (Wing C &amp; D) = Construction work was in process at the time of visit. (Internal Visit Not Allowed).
2. We considered Saleable area as per our calculation.
3. We considered Carpet area as per Approved Plan.
4. We considered Gross carpet area = Net carpet + Enclose balcony + C.B Area + F.B Area.
5. We considered rate as per Market Inquire.
6. Car parking is subjected to authentic documentation.
7. We have updated revised approved floor plan &amp; C.C (on 15/05/2023).
8. We have updated OC for Tower B (On 09/06/2025).
9. Recommended Rates &amp; Other charges of the Property have been revised on 09/06/2025.
7. On site, we meet Mr.Pravin (Sales)  - 9324149916.
</t>
  </si>
  <si>
    <t>Rate for OC Received bldg 25K &amp; for other bldg 23K &amp; Par 8L By smith Verbally On 09/06/2025</t>
  </si>
  <si>
    <t>NMMCC/PO/2025/APL/00013
Approved upto : Tower B = Gr/St + 1st to 31st Floor</t>
  </si>
  <si>
    <t>Tower A &amp; B = Gr/St + P1 to P2 + 1st to 29th Floor
Tower C &amp; D = Basement + Stilt/G + Podium 1 + Podium 2 + 1st to 34th Floor</t>
  </si>
  <si>
    <t>Tower A = Gr/St + P1 to P2 + 1st to 29th Floor</t>
  </si>
  <si>
    <t>Tower B = Gr/St + P1 to P2 + 1st to 29th Floor</t>
  </si>
  <si>
    <t>For Tower B 29th floor not drafted</t>
  </si>
  <si>
    <t>M/s. Regency Inc</t>
  </si>
  <si>
    <t>Pranita Mhatre</t>
  </si>
  <si>
    <t>7BHK</t>
  </si>
  <si>
    <t>27th + 28th Floor (Duplex Pent House)</t>
  </si>
  <si>
    <t>Check OC OF WING A on RERA not signed verified on check on 14/08/2025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</si>
</sst>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0_);_(* \(#,##0.00\);_(* &quot;-&quot;??_);_(@_)"/>
    <numFmt numFmtId="167"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6" fontId="6" fillId="0" borderId="0" applyFont="0" applyFill="0" applyBorder="0" applyAlignment="0" applyProtection="0"/>
    <xf numFmtId="0" fontId="22" fillId="0" borderId="0" applyNumberFormat="0" applyFill="0" applyBorder="0" applyAlignment="0" applyProtection="0"/>
  </cellStyleXfs>
  <cellXfs count="271">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1" fontId="8" fillId="0" borderId="4" xfId="0" applyNumberFormat="1" applyFont="1" applyBorder="1" applyAlignment="1">
      <alignment horizontal="center" vertical="center"/>
    </xf>
    <xf numFmtId="0" fontId="14" fillId="0" borderId="0" xfId="1" applyFont="1"/>
    <xf numFmtId="1" fontId="11" fillId="0" borderId="4" xfId="0" applyNumberFormat="1" applyFont="1" applyBorder="1" applyAlignment="1">
      <alignment horizontal="center" vertical="center"/>
    </xf>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7"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1" fillId="0" borderId="0" xfId="5" applyFont="1"/>
    <xf numFmtId="0" fontId="8" fillId="0" borderId="14" xfId="1" applyFont="1" applyBorder="1" applyProtection="1">
      <protection hidden="1"/>
    </xf>
    <xf numFmtId="0" fontId="8" fillId="0" borderId="15" xfId="1" applyFont="1" applyBorder="1" applyProtection="1">
      <protection hidden="1"/>
    </xf>
    <xf numFmtId="0" fontId="14" fillId="0" borderId="16" xfId="1" applyFont="1" applyBorder="1" applyAlignment="1" applyProtection="1">
      <alignment horizontal="center" vertical="top"/>
      <protection locked="0"/>
    </xf>
    <xf numFmtId="0" fontId="8" fillId="0" borderId="0" xfId="1" applyFont="1" applyProtection="1">
      <protection hidden="1"/>
    </xf>
    <xf numFmtId="0" fontId="8" fillId="0" borderId="18" xfId="1" applyFont="1" applyBorder="1" applyProtection="1">
      <protection hidden="1"/>
    </xf>
    <xf numFmtId="0" fontId="17" fillId="0" borderId="0" xfId="0" applyFont="1" applyProtection="1">
      <protection hidden="1"/>
    </xf>
    <xf numFmtId="0" fontId="8" fillId="0" borderId="18" xfId="1" applyFont="1" applyBorder="1"/>
    <xf numFmtId="9" fontId="17" fillId="0" borderId="0" xfId="0" applyNumberFormat="1" applyFont="1" applyProtection="1">
      <protection hidden="1"/>
    </xf>
    <xf numFmtId="0" fontId="17" fillId="0" borderId="18" xfId="0" applyFont="1" applyBorder="1" applyProtection="1">
      <protection hidden="1"/>
    </xf>
    <xf numFmtId="1" fontId="0" fillId="0" borderId="18" xfId="0" applyNumberFormat="1" applyBorder="1"/>
    <xf numFmtId="1" fontId="0" fillId="0" borderId="0" xfId="0" applyNumberFormat="1"/>
    <xf numFmtId="164" fontId="0" fillId="0" borderId="0" xfId="0" applyNumberFormat="1"/>
    <xf numFmtId="1" fontId="0" fillId="0" borderId="18" xfId="0" applyNumberFormat="1" applyBorder="1" applyAlignment="1">
      <alignment horizontal="right"/>
    </xf>
    <xf numFmtId="0" fontId="0" fillId="0" borderId="18" xfId="0" applyBorder="1"/>
    <xf numFmtId="0" fontId="17" fillId="0" borderId="19" xfId="0" applyFont="1" applyBorder="1" applyProtection="1">
      <protection hidden="1"/>
    </xf>
    <xf numFmtId="9" fontId="17" fillId="0" borderId="19" xfId="0" applyNumberFormat="1" applyFont="1" applyBorder="1" applyProtection="1">
      <protection hidden="1"/>
    </xf>
    <xf numFmtId="1" fontId="0" fillId="0" borderId="20" xfId="0" applyNumberFormat="1" applyBorder="1"/>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4" xfId="1" applyFont="1" applyBorder="1" applyAlignment="1" applyProtection="1">
      <alignment horizontal="center" vertical="top"/>
      <protection locked="0"/>
    </xf>
    <xf numFmtId="1" fontId="7" fillId="0" borderId="4" xfId="1" applyNumberFormat="1" applyFont="1" applyBorder="1" applyAlignment="1">
      <alignment horizontal="center" vertical="top" wrapText="1"/>
    </xf>
    <xf numFmtId="0" fontId="8" fillId="0" borderId="0" xfId="1" applyFont="1" applyAlignment="1">
      <alignment horizontal="center" vertical="top"/>
    </xf>
    <xf numFmtId="1" fontId="8" fillId="0" borderId="0" xfId="1" applyNumberFormat="1" applyFont="1" applyAlignment="1">
      <alignment horizontal="center" vertical="center"/>
    </xf>
    <xf numFmtId="0" fontId="14" fillId="0" borderId="4" xfId="1" applyFont="1" applyBorder="1" applyAlignment="1" applyProtection="1">
      <alignment horizontal="center" vertical="top" wrapText="1"/>
      <protection locked="0"/>
    </xf>
    <xf numFmtId="0" fontId="9" fillId="2" borderId="4" xfId="1" applyFont="1" applyFill="1" applyBorder="1" applyAlignment="1">
      <alignment horizontal="left" vertical="top"/>
    </xf>
    <xf numFmtId="9" fontId="14" fillId="2" borderId="4" xfId="1" applyNumberFormat="1" applyFont="1" applyFill="1" applyBorder="1" applyAlignment="1" applyProtection="1">
      <alignment horizontal="center" vertical="center" wrapText="1"/>
      <protection hidden="1"/>
    </xf>
    <xf numFmtId="0" fontId="15" fillId="0" borderId="21" xfId="1" applyFont="1" applyBorder="1" applyAlignment="1" applyProtection="1">
      <alignment horizontal="center" vertical="top" wrapText="1"/>
      <protection locked="0"/>
    </xf>
    <xf numFmtId="0" fontId="15" fillId="0" borderId="22" xfId="1" applyFont="1" applyBorder="1" applyAlignment="1" applyProtection="1">
      <alignment horizontal="center" vertical="top" wrapText="1"/>
      <protection locked="0"/>
    </xf>
    <xf numFmtId="0" fontId="15" fillId="0" borderId="22" xfId="1" applyFont="1" applyBorder="1" applyAlignment="1" applyProtection="1">
      <alignment horizontal="left" vertical="top" wrapText="1"/>
      <protection locked="0"/>
    </xf>
    <xf numFmtId="0" fontId="15" fillId="0" borderId="23" xfId="1" applyFont="1" applyBorder="1" applyAlignment="1" applyProtection="1">
      <alignment horizontal="left" vertical="top" wrapText="1"/>
      <protection locked="0"/>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protection locked="0"/>
    </xf>
    <xf numFmtId="0" fontId="14" fillId="0" borderId="17" xfId="1" applyFont="1" applyBorder="1" applyAlignment="1" applyProtection="1">
      <alignment horizontal="center" vertical="top"/>
      <protection locked="0"/>
    </xf>
    <xf numFmtId="0" fontId="15" fillId="0" borderId="4"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1" fontId="7" fillId="0" borderId="5"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9"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4"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0" xfId="1" applyNumberFormat="1" applyFont="1" applyAlignment="1">
      <alignment horizontal="center" vertical="center" wrapText="1"/>
    </xf>
    <xf numFmtId="1" fontId="7" fillId="0" borderId="12" xfId="1" applyNumberFormat="1" applyFont="1" applyBorder="1" applyAlignment="1">
      <alignment horizontal="center" vertical="center" wrapText="1"/>
    </xf>
    <xf numFmtId="1" fontId="7" fillId="0" borderId="4" xfId="1" applyNumberFormat="1" applyFont="1" applyBorder="1" applyAlignment="1">
      <alignment horizontal="center" vertical="top" wrapText="1"/>
    </xf>
    <xf numFmtId="1" fontId="9" fillId="0" borderId="4" xfId="1" applyNumberFormat="1" applyFont="1" applyBorder="1" applyAlignment="1">
      <alignment horizontal="center" vertical="center" wrapText="1"/>
    </xf>
    <xf numFmtId="0" fontId="15" fillId="0" borderId="4" xfId="1" applyFont="1" applyBorder="1" applyAlignment="1" applyProtection="1">
      <alignment horizontal="center" vertical="top" wrapText="1"/>
      <protection locked="0"/>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15"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9" fillId="0" borderId="4" xfId="0" applyNumberFormat="1" applyFont="1" applyBorder="1" applyAlignment="1">
      <alignment horizontal="left" vertical="top"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14" fillId="0" borderId="1" xfId="1" applyFont="1" applyBorder="1" applyAlignment="1">
      <alignment horizontal="center" vertical="top"/>
    </xf>
    <xf numFmtId="0" fontId="14" fillId="0" borderId="3"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14" fontId="7" fillId="2" borderId="1" xfId="1" applyNumberFormat="1" applyFont="1" applyFill="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9" fillId="0" borderId="4" xfId="0" applyNumberFormat="1" applyFont="1" applyBorder="1" applyAlignment="1">
      <alignment horizontal="center" vertical="top" wrapText="1"/>
    </xf>
    <xf numFmtId="0" fontId="11" fillId="0" borderId="4" xfId="0"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1" fontId="7" fillId="0" borderId="4" xfId="0" applyNumberFormat="1" applyFont="1" applyBorder="1" applyAlignment="1">
      <alignment horizontal="center" vertical="center" wrapText="1"/>
    </xf>
    <xf numFmtId="1" fontId="8" fillId="0" borderId="4" xfId="0" applyNumberFormat="1" applyFont="1" applyBorder="1" applyAlignment="1">
      <alignment horizontal="center" vertical="top" wrapText="1"/>
    </xf>
    <xf numFmtId="1" fontId="7" fillId="0" borderId="4" xfId="0" applyNumberFormat="1" applyFont="1" applyBorder="1" applyAlignment="1">
      <alignment horizontal="center" vertical="top" wrapText="1"/>
    </xf>
    <xf numFmtId="1" fontId="9" fillId="0" borderId="4" xfId="0" applyNumberFormat="1" applyFont="1" applyBorder="1" applyAlignment="1">
      <alignment horizontal="center" vertical="center" wrapText="1"/>
    </xf>
    <xf numFmtId="1" fontId="15" fillId="0" borderId="4" xfId="0" applyNumberFormat="1" applyFont="1" applyBorder="1" applyAlignment="1">
      <alignment horizontal="center" vertical="top" wrapText="1"/>
    </xf>
    <xf numFmtId="1" fontId="9" fillId="0" borderId="3" xfId="0" applyNumberFormat="1" applyFont="1" applyBorder="1" applyAlignment="1">
      <alignment horizontal="center" vertical="center" wrapText="1"/>
    </xf>
    <xf numFmtId="0" fontId="14" fillId="2" borderId="1" xfId="1" applyFont="1" applyFill="1" applyBorder="1" applyAlignment="1">
      <alignment horizontal="left" vertical="top" wrapText="1"/>
    </xf>
    <xf numFmtId="0" fontId="14" fillId="2" borderId="2" xfId="1" applyFont="1" applyFill="1" applyBorder="1" applyAlignment="1">
      <alignment horizontal="left" vertical="top" wrapText="1"/>
    </xf>
    <xf numFmtId="0" fontId="14" fillId="2" borderId="3" xfId="1" applyFont="1" applyFill="1" applyBorder="1" applyAlignment="1">
      <alignment horizontal="left" vertical="top" wrapText="1"/>
    </xf>
    <xf numFmtId="0" fontId="7" fillId="2" borderId="1" xfId="1" applyFont="1" applyFill="1" applyBorder="1" applyAlignment="1">
      <alignment horizontal="left" vertical="top"/>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5" fillId="2" borderId="1" xfId="1" applyFont="1" applyFill="1" applyBorder="1" applyAlignment="1">
      <alignment horizontal="left" vertical="top"/>
    </xf>
    <xf numFmtId="0" fontId="15" fillId="2" borderId="2" xfId="1" applyFont="1" applyFill="1" applyBorder="1" applyAlignment="1">
      <alignment horizontal="left" vertical="top"/>
    </xf>
    <xf numFmtId="0" fontId="15" fillId="2" borderId="3" xfId="1" applyFont="1" applyFill="1" applyBorder="1" applyAlignment="1">
      <alignment horizontal="left" vertical="top"/>
    </xf>
    <xf numFmtId="0" fontId="7" fillId="0" borderId="4" xfId="1" applyFont="1" applyBorder="1" applyAlignment="1">
      <alignment horizontal="left" vertical="top"/>
    </xf>
    <xf numFmtId="164" fontId="7" fillId="0" borderId="4" xfId="1" applyNumberFormat="1" applyFont="1" applyBorder="1" applyAlignment="1">
      <alignment horizontal="left" vertical="top"/>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4" fillId="0" borderId="5" xfId="1" applyFont="1" applyBorder="1" applyAlignment="1">
      <alignment horizontal="left" vertical="top"/>
    </xf>
    <xf numFmtId="0" fontId="14" fillId="0" borderId="6" xfId="1" applyFont="1" applyBorder="1" applyAlignment="1">
      <alignment horizontal="left" vertical="top"/>
    </xf>
    <xf numFmtId="0" fontId="14" fillId="0" borderId="7" xfId="1" applyFont="1" applyBorder="1" applyAlignment="1">
      <alignment horizontal="left" vertical="top"/>
    </xf>
    <xf numFmtId="0" fontId="14" fillId="0" borderId="8" xfId="1" applyFont="1" applyBorder="1" applyAlignment="1">
      <alignment horizontal="left" vertical="top"/>
    </xf>
    <xf numFmtId="0" fontId="14" fillId="0" borderId="9" xfId="1" applyFont="1" applyBorder="1" applyAlignment="1">
      <alignment horizontal="left" vertical="top"/>
    </xf>
    <xf numFmtId="0" fontId="14" fillId="0" borderId="10" xfId="1" applyFont="1" applyBorder="1" applyAlignment="1">
      <alignment horizontal="left" vertical="top"/>
    </xf>
    <xf numFmtId="0" fontId="7" fillId="0" borderId="1" xfId="1" applyFont="1" applyBorder="1" applyAlignment="1">
      <alignment horizontal="left" vertical="top" wrapText="1"/>
    </xf>
    <xf numFmtId="0" fontId="7" fillId="0" borderId="3" xfId="1" applyFont="1" applyBorder="1" applyAlignment="1">
      <alignment horizontal="left" vertical="top" wrapText="1"/>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7" fillId="0" borderId="2"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2" borderId="4" xfId="1" applyFont="1" applyFill="1" applyBorder="1" applyAlignment="1">
      <alignment horizontal="left" vertical="top"/>
    </xf>
    <xf numFmtId="0" fontId="7" fillId="0" borderId="4" xfId="1"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14" fontId="14" fillId="0" borderId="1" xfId="1" applyNumberFormat="1" applyFont="1" applyBorder="1" applyAlignment="1">
      <alignment horizontal="left" vertical="top"/>
    </xf>
    <xf numFmtId="14" fontId="14" fillId="0" borderId="2" xfId="1" applyNumberFormat="1" applyFont="1" applyBorder="1" applyAlignment="1">
      <alignment horizontal="left" vertical="top"/>
    </xf>
    <xf numFmtId="14" fontId="14" fillId="0" borderId="3" xfId="1" applyNumberFormat="1" applyFont="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8"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14" fillId="0" borderId="4" xfId="1" applyFont="1" applyBorder="1" applyAlignment="1" applyProtection="1">
      <alignment horizontal="left" vertical="center" wrapText="1"/>
      <protection locked="0"/>
    </xf>
    <xf numFmtId="0" fontId="9" fillId="0" borderId="4" xfId="1" applyFont="1" applyBorder="1" applyAlignment="1">
      <alignment horizontal="left" vertical="top"/>
    </xf>
    <xf numFmtId="2" fontId="7" fillId="0" borderId="4" xfId="1" applyNumberFormat="1" applyFont="1" applyBorder="1" applyAlignment="1">
      <alignment horizontal="left"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0" fontId="23" fillId="0" borderId="4" xfId="8" applyFont="1" applyBorder="1" applyAlignment="1">
      <alignment horizontal="left" vertical="top"/>
    </xf>
    <xf numFmtId="0" fontId="22" fillId="0" borderId="4" xfId="8" applyBorder="1" applyAlignment="1">
      <alignment horizontal="left" vertical="top"/>
    </xf>
    <xf numFmtId="14" fontId="9" fillId="0" borderId="1" xfId="1" applyNumberFormat="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9" fillId="0" borderId="1" xfId="1" applyFont="1" applyBorder="1" applyAlignment="1">
      <alignment horizontal="left" vertical="top" wrapText="1"/>
    </xf>
    <xf numFmtId="0" fontId="9" fillId="2" borderId="1" xfId="1" applyFont="1" applyFill="1" applyBorder="1" applyAlignment="1">
      <alignment horizontal="left" vertical="top" wrapText="1"/>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14" fontId="7" fillId="0" borderId="4" xfId="1" applyNumberFormat="1" applyFont="1" applyBorder="1" applyAlignment="1">
      <alignment horizontal="center" vertical="top"/>
    </xf>
    <xf numFmtId="0" fontId="8" fillId="0" borderId="3" xfId="1" applyFont="1" applyBorder="1" applyAlignment="1">
      <alignment horizontal="left"/>
    </xf>
    <xf numFmtId="14" fontId="7" fillId="0" borderId="1" xfId="1" applyNumberFormat="1" applyFont="1" applyBorder="1" applyAlignment="1">
      <alignment horizontal="left" vertical="top" wrapText="1"/>
    </xf>
    <xf numFmtId="14" fontId="7" fillId="0" borderId="2" xfId="1" applyNumberFormat="1" applyFont="1" applyBorder="1" applyAlignment="1">
      <alignment horizontal="left" vertical="top" wrapText="1"/>
    </xf>
    <xf numFmtId="14" fontId="7" fillId="0" borderId="3" xfId="1" applyNumberFormat="1" applyFont="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1" fontId="7" fillId="0" borderId="2" xfId="1" applyNumberFormat="1" applyFont="1" applyBorder="1" applyAlignment="1">
      <alignment horizontal="center" vertical="center" wrapText="1"/>
    </xf>
    <xf numFmtId="0" fontId="10" fillId="0" borderId="4" xfId="6" applyFont="1" applyBorder="1" applyAlignment="1">
      <alignment horizontal="left"/>
    </xf>
    <xf numFmtId="0" fontId="17" fillId="0" borderId="4" xfId="0" applyFont="1" applyBorder="1" applyAlignment="1">
      <alignment horizontal="center"/>
    </xf>
    <xf numFmtId="0" fontId="17" fillId="3"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xf numFmtId="0" fontId="15" fillId="0" borderId="13" xfId="1" applyFont="1" applyBorder="1" applyAlignment="1" applyProtection="1">
      <alignment horizontal="left" vertical="top"/>
      <protection locked="0"/>
    </xf>
    <xf numFmtId="0" fontId="15" fillId="0" borderId="13" xfId="1" applyFont="1" applyBorder="1" applyAlignment="1" applyProtection="1">
      <alignment horizontal="left" vertical="top" wrapText="1"/>
      <protection locked="0"/>
    </xf>
    <xf numFmtId="0" fontId="14" fillId="0" borderId="22"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0" fontId="15" fillId="0" borderId="24" xfId="1" applyFont="1" applyBorder="1" applyAlignment="1" applyProtection="1">
      <alignment horizontal="center" vertical="center"/>
      <protection locked="0"/>
    </xf>
    <xf numFmtId="0" fontId="15" fillId="0" borderId="25" xfId="1" applyFont="1" applyBorder="1" applyAlignment="1" applyProtection="1">
      <alignment horizontal="center" vertical="center"/>
      <protection locked="0"/>
    </xf>
    <xf numFmtId="9" fontId="15" fillId="0" borderId="26" xfId="1" applyNumberFormat="1" applyFont="1" applyBorder="1" applyAlignment="1" applyProtection="1">
      <alignment horizontal="center" vertical="center" wrapText="1"/>
      <protection locked="0"/>
    </xf>
    <xf numFmtId="0" fontId="15" fillId="0" borderId="26" xfId="1" applyFont="1" applyBorder="1" applyAlignment="1" applyProtection="1">
      <alignment horizontal="center" vertical="center" wrapText="1"/>
      <protection locked="0"/>
    </xf>
    <xf numFmtId="0" fontId="15" fillId="0" borderId="27" xfId="1" applyFont="1" applyBorder="1" applyAlignment="1" applyProtection="1">
      <alignment horizontal="center" vertical="center" wrapText="1"/>
      <protection locked="0"/>
    </xf>
    <xf numFmtId="0" fontId="15" fillId="0" borderId="28" xfId="1" applyFont="1" applyBorder="1" applyAlignment="1" applyProtection="1">
      <alignment horizontal="center" vertical="center"/>
      <protection locked="0"/>
    </xf>
    <xf numFmtId="0" fontId="15" fillId="0" borderId="29" xfId="1" applyFont="1" applyBorder="1" applyAlignment="1" applyProtection="1">
      <alignment horizontal="center" vertical="center"/>
      <protection locked="0"/>
    </xf>
    <xf numFmtId="9" fontId="15" fillId="0" borderId="30" xfId="1" applyNumberFormat="1" applyFont="1" applyBorder="1" applyAlignment="1" applyProtection="1">
      <alignment horizontal="center" vertical="center" wrapText="1"/>
      <protection locked="0"/>
    </xf>
    <xf numFmtId="0" fontId="15" fillId="0" borderId="30" xfId="1" applyFont="1" applyBorder="1" applyAlignment="1" applyProtection="1">
      <alignment horizontal="center" vertical="center" wrapText="1"/>
      <protection locked="0"/>
    </xf>
    <xf numFmtId="0" fontId="15" fillId="0" borderId="31" xfId="1" applyFont="1" applyBorder="1" applyAlignment="1" applyProtection="1">
      <alignment horizontal="center" vertical="center" wrapText="1"/>
      <protection locked="0"/>
    </xf>
  </cellXfs>
  <cellStyles count="9">
    <cellStyle name="Comma 2" xfId="7" xr:uid="{00000000-0005-0000-0000-000000000000}"/>
    <cellStyle name="Excel Built-in Normal" xfId="2" xr:uid="{00000000-0005-0000-0000-000001000000}"/>
    <cellStyle name="Excel Built-in Normal 2" xfId="5" xr:uid="{00000000-0005-0000-0000-000002000000}"/>
    <cellStyle name="Hyperlink" xfId="8" builtinId="8"/>
    <cellStyle name="Normal" xfId="0" builtinId="0"/>
    <cellStyle name="Normal 2" xfId="3" xr:uid="{00000000-0005-0000-0000-000005000000}"/>
    <cellStyle name="Normal 3" xfId="1" xr:uid="{00000000-0005-0000-0000-000006000000}"/>
    <cellStyle name="Normal 4" xfId="6"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jpeg"/><Relationship Id="rId18" Type="http://schemas.openxmlformats.org/officeDocument/2006/relationships/image" Target="../media/image17.jpe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jpeg"/><Relationship Id="rId2" Type="http://schemas.openxmlformats.org/officeDocument/2006/relationships/image" Target="../media/image2.pn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jpeg"/><Relationship Id="rId15" Type="http://schemas.openxmlformats.org/officeDocument/2006/relationships/image" Target="../media/image14.jpeg"/><Relationship Id="rId10" Type="http://schemas.openxmlformats.org/officeDocument/2006/relationships/image" Target="../media/image9.png"/><Relationship Id="rId19" Type="http://schemas.openxmlformats.org/officeDocument/2006/relationships/image" Target="../media/image18.jpeg"/><Relationship Id="rId4" Type="http://schemas.microsoft.com/office/2007/relationships/hdphoto" Target="../media/hdphoto1.wdp"/><Relationship Id="rId9" Type="http://schemas.openxmlformats.org/officeDocument/2006/relationships/image" Target="../media/image8.pn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350</xdr:row>
      <xdr:rowOff>47493</xdr:rowOff>
    </xdr:from>
    <xdr:to>
      <xdr:col>8</xdr:col>
      <xdr:colOff>723900</xdr:colOff>
      <xdr:row>368</xdr:row>
      <xdr:rowOff>47045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66700" y="63369693"/>
          <a:ext cx="6019800" cy="3600000"/>
        </a:xfrm>
        <a:prstGeom prst="rect">
          <a:avLst/>
        </a:prstGeom>
        <a:ln>
          <a:solidFill>
            <a:schemeClr val="tx1"/>
          </a:solidFill>
        </a:ln>
      </xdr:spPr>
    </xdr:pic>
    <xdr:clientData/>
  </xdr:twoCellAnchor>
  <xdr:twoCellAnchor editAs="oneCell">
    <xdr:from>
      <xdr:col>0</xdr:col>
      <xdr:colOff>266700</xdr:colOff>
      <xdr:row>331</xdr:row>
      <xdr:rowOff>0</xdr:rowOff>
    </xdr:from>
    <xdr:to>
      <xdr:col>8</xdr:col>
      <xdr:colOff>723899</xdr:colOff>
      <xdr:row>349</xdr:row>
      <xdr:rowOff>416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66700" y="59521725"/>
          <a:ext cx="6019799" cy="3600000"/>
        </a:xfrm>
        <a:prstGeom prst="rect">
          <a:avLst/>
        </a:prstGeom>
        <a:ln>
          <a:solidFill>
            <a:schemeClr val="tx1"/>
          </a:solidFill>
        </a:ln>
      </xdr:spPr>
    </xdr:pic>
    <xdr:clientData/>
  </xdr:twoCellAnchor>
  <xdr:twoCellAnchor editAs="oneCell">
    <xdr:from>
      <xdr:col>1</xdr:col>
      <xdr:colOff>265299</xdr:colOff>
      <xdr:row>286</xdr:row>
      <xdr:rowOff>0</xdr:rowOff>
    </xdr:from>
    <xdr:to>
      <xdr:col>8</xdr:col>
      <xdr:colOff>323092</xdr:colOff>
      <xdr:row>308</xdr:row>
      <xdr:rowOff>10141</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contrast="-40000"/>
                  </a14:imgEffect>
                </a14:imgLayer>
              </a14:imgProps>
            </a:ext>
          </a:extLst>
        </a:blip>
        <a:stretch>
          <a:fillRect/>
        </a:stretch>
      </xdr:blipFill>
      <xdr:spPr>
        <a:xfrm>
          <a:off x="884424" y="69522975"/>
          <a:ext cx="4610743" cy="4410691"/>
        </a:xfrm>
        <a:prstGeom prst="rect">
          <a:avLst/>
        </a:prstGeom>
        <a:ln>
          <a:solidFill>
            <a:schemeClr val="tx1"/>
          </a:solidFill>
        </a:ln>
      </xdr:spPr>
    </xdr:pic>
    <xdr:clientData/>
  </xdr:twoCellAnchor>
  <xdr:twoCellAnchor editAs="oneCell">
    <xdr:from>
      <xdr:col>1</xdr:col>
      <xdr:colOff>0</xdr:colOff>
      <xdr:row>309</xdr:row>
      <xdr:rowOff>2915</xdr:rowOff>
    </xdr:from>
    <xdr:to>
      <xdr:col>8</xdr:col>
      <xdr:colOff>588393</xdr:colOff>
      <xdr:row>325</xdr:row>
      <xdr:rowOff>46047</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r="-345"/>
        <a:stretch/>
      </xdr:blipFill>
      <xdr:spPr>
        <a:xfrm>
          <a:off x="619125" y="74126465"/>
          <a:ext cx="5141343" cy="3243531"/>
        </a:xfrm>
        <a:prstGeom prst="rect">
          <a:avLst/>
        </a:prstGeom>
        <a:ln>
          <a:solidFill>
            <a:schemeClr val="tx1"/>
          </a:solidFill>
        </a:ln>
      </xdr:spPr>
    </xdr:pic>
    <xdr:clientData/>
  </xdr:twoCellAnchor>
  <xdr:twoCellAnchor>
    <xdr:from>
      <xdr:col>1</xdr:col>
      <xdr:colOff>661518</xdr:colOff>
      <xdr:row>287</xdr:row>
      <xdr:rowOff>95372</xdr:rowOff>
    </xdr:from>
    <xdr:to>
      <xdr:col>2</xdr:col>
      <xdr:colOff>837502</xdr:colOff>
      <xdr:row>289</xdr:row>
      <xdr:rowOff>64654</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1280643" y="69818372"/>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xdr:col>
      <xdr:colOff>661518</xdr:colOff>
      <xdr:row>306</xdr:row>
      <xdr:rowOff>40859</xdr:rowOff>
    </xdr:from>
    <xdr:to>
      <xdr:col>2</xdr:col>
      <xdr:colOff>843914</xdr:colOff>
      <xdr:row>308</xdr:row>
      <xdr:rowOff>10141</xdr:rowOff>
    </xdr:to>
    <xdr:sp macro="" textlink="">
      <xdr:nvSpPr>
        <xdr:cNvPr id="43" name="Rectangle 42">
          <a:extLst>
            <a:ext uri="{FF2B5EF4-FFF2-40B4-BE49-F238E27FC236}">
              <a16:creationId xmlns:a16="http://schemas.microsoft.com/office/drawing/2014/main" id="{00000000-0008-0000-0000-00002B000000}"/>
            </a:ext>
          </a:extLst>
        </xdr:cNvPr>
        <xdr:cNvSpPr/>
      </xdr:nvSpPr>
      <xdr:spPr>
        <a:xfrm>
          <a:off x="1280643" y="73564334"/>
          <a:ext cx="93487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D Wing </a:t>
          </a:r>
        </a:p>
      </xdr:txBody>
    </xdr:sp>
    <xdr:clientData/>
  </xdr:twoCellAnchor>
  <xdr:twoCellAnchor>
    <xdr:from>
      <xdr:col>6</xdr:col>
      <xdr:colOff>49970</xdr:colOff>
      <xdr:row>287</xdr:row>
      <xdr:rowOff>95372</xdr:rowOff>
    </xdr:from>
    <xdr:to>
      <xdr:col>7</xdr:col>
      <xdr:colOff>384766</xdr:colOff>
      <xdr:row>289</xdr:row>
      <xdr:rowOff>64654</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3917120" y="69818372"/>
          <a:ext cx="93487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6</xdr:col>
      <xdr:colOff>74014</xdr:colOff>
      <xdr:row>305</xdr:row>
      <xdr:rowOff>152618</xdr:rowOff>
    </xdr:from>
    <xdr:to>
      <xdr:col>7</xdr:col>
      <xdr:colOff>384766</xdr:colOff>
      <xdr:row>307</xdr:row>
      <xdr:rowOff>121900</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3941164" y="73476068"/>
          <a:ext cx="910827"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C Wing </a:t>
          </a:r>
        </a:p>
      </xdr:txBody>
    </xdr:sp>
    <xdr:clientData/>
  </xdr:twoCellAnchor>
  <xdr:twoCellAnchor>
    <xdr:from>
      <xdr:col>11</xdr:col>
      <xdr:colOff>120433</xdr:colOff>
      <xdr:row>237</xdr:row>
      <xdr:rowOff>47817</xdr:rowOff>
    </xdr:from>
    <xdr:to>
      <xdr:col>12</xdr:col>
      <xdr:colOff>437271</xdr:colOff>
      <xdr:row>239</xdr:row>
      <xdr:rowOff>28257</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7186251" y="57492226"/>
          <a:ext cx="922975" cy="37875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12</xdr:col>
      <xdr:colOff>518791</xdr:colOff>
      <xdr:row>251</xdr:row>
      <xdr:rowOff>183475</xdr:rowOff>
    </xdr:from>
    <xdr:to>
      <xdr:col>14</xdr:col>
      <xdr:colOff>272984</xdr:colOff>
      <xdr:row>253</xdr:row>
      <xdr:rowOff>163916</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7939632" y="62676134"/>
          <a:ext cx="966466" cy="37875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B Wing </a:t>
          </a:r>
        </a:p>
      </xdr:txBody>
    </xdr:sp>
    <xdr:clientData/>
  </xdr:twoCellAnchor>
  <xdr:twoCellAnchor>
    <xdr:from>
      <xdr:col>11</xdr:col>
      <xdr:colOff>147400</xdr:colOff>
      <xdr:row>258</xdr:row>
      <xdr:rowOff>61670</xdr:rowOff>
    </xdr:from>
    <xdr:to>
      <xdr:col>12</xdr:col>
      <xdr:colOff>472609</xdr:colOff>
      <xdr:row>260</xdr:row>
      <xdr:rowOff>39802</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6962105" y="63948443"/>
          <a:ext cx="931345" cy="37645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D Wing </a:t>
          </a:r>
        </a:p>
      </xdr:txBody>
    </xdr:sp>
    <xdr:clientData/>
  </xdr:twoCellAnchor>
  <xdr:twoCellAnchor>
    <xdr:from>
      <xdr:col>20</xdr:col>
      <xdr:colOff>30379</xdr:colOff>
      <xdr:row>240</xdr:row>
      <xdr:rowOff>27034</xdr:rowOff>
    </xdr:from>
    <xdr:to>
      <xdr:col>21</xdr:col>
      <xdr:colOff>347217</xdr:colOff>
      <xdr:row>242</xdr:row>
      <xdr:rowOff>7475</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12551424" y="57956352"/>
          <a:ext cx="922975" cy="37875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13</xdr:col>
      <xdr:colOff>69273</xdr:colOff>
      <xdr:row>241</xdr:row>
      <xdr:rowOff>25978</xdr:rowOff>
    </xdr:from>
    <xdr:to>
      <xdr:col>14</xdr:col>
      <xdr:colOff>386112</xdr:colOff>
      <xdr:row>243</xdr:row>
      <xdr:rowOff>6419</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8347364" y="58154455"/>
          <a:ext cx="922975" cy="37875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11</xdr:col>
      <xdr:colOff>501650</xdr:colOff>
      <xdr:row>242</xdr:row>
      <xdr:rowOff>38100</xdr:rowOff>
    </xdr:from>
    <xdr:to>
      <xdr:col>13</xdr:col>
      <xdr:colOff>180313</xdr:colOff>
      <xdr:row>244</xdr:row>
      <xdr:rowOff>18541</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7559675" y="58378725"/>
          <a:ext cx="897863" cy="38049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ysClr val="windowText" lastClr="000000"/>
              </a:solidFill>
              <a:effectLst>
                <a:outerShdw blurRad="38100" dist="25400" dir="5400000" algn="ctr" rotWithShape="0">
                  <a:srgbClr val="6E747A">
                    <a:alpha val="43000"/>
                  </a:srgbClr>
                </a:outerShdw>
              </a:effectLst>
            </a:rPr>
            <a:t>C Wing </a:t>
          </a:r>
        </a:p>
      </xdr:txBody>
    </xdr:sp>
    <xdr:clientData/>
  </xdr:twoCellAnchor>
  <xdr:twoCellAnchor>
    <xdr:from>
      <xdr:col>16</xdr:col>
      <xdr:colOff>323316</xdr:colOff>
      <xdr:row>243</xdr:row>
      <xdr:rowOff>171450</xdr:rowOff>
    </xdr:from>
    <xdr:to>
      <xdr:col>18</xdr:col>
      <xdr:colOff>36904</xdr:colOff>
      <xdr:row>245</xdr:row>
      <xdr:rowOff>151891</xdr:rowOff>
    </xdr:to>
    <xdr:sp macro="" textlink="">
      <xdr:nvSpPr>
        <xdr:cNvPr id="57" name="Rectangle 56">
          <a:extLst>
            <a:ext uri="{FF2B5EF4-FFF2-40B4-BE49-F238E27FC236}">
              <a16:creationId xmlns:a16="http://schemas.microsoft.com/office/drawing/2014/main" id="{00000000-0008-0000-0000-000039000000}"/>
            </a:ext>
          </a:extLst>
        </xdr:cNvPr>
        <xdr:cNvSpPr/>
      </xdr:nvSpPr>
      <xdr:spPr>
        <a:xfrm>
          <a:off x="10429341" y="58712100"/>
          <a:ext cx="932788" cy="38049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ysClr val="windowText" lastClr="000000"/>
              </a:solidFill>
              <a:effectLst>
                <a:outerShdw blurRad="38100" dist="25400" dir="5400000" algn="ctr" rotWithShape="0">
                  <a:srgbClr val="6E747A">
                    <a:alpha val="43000"/>
                  </a:srgbClr>
                </a:outerShdw>
              </a:effectLst>
            </a:rPr>
            <a:t>D Wing </a:t>
          </a:r>
        </a:p>
      </xdr:txBody>
    </xdr:sp>
    <xdr:clientData/>
  </xdr:twoCellAnchor>
  <xdr:twoCellAnchor>
    <xdr:from>
      <xdr:col>11</xdr:col>
      <xdr:colOff>241972</xdr:colOff>
      <xdr:row>242</xdr:row>
      <xdr:rowOff>102273</xdr:rowOff>
    </xdr:from>
    <xdr:to>
      <xdr:col>20</xdr:col>
      <xdr:colOff>512656</xdr:colOff>
      <xdr:row>284</xdr:row>
      <xdr:rowOff>8180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488592" y="59934513"/>
          <a:ext cx="5962824" cy="8226947"/>
          <a:chOff x="488950" y="61823600"/>
          <a:chExt cx="6080934" cy="8172710"/>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913635" y="65905801"/>
            <a:ext cx="1617750" cy="216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604009" y="68188002"/>
            <a:ext cx="1617750" cy="1808308"/>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88950" y="61823600"/>
            <a:ext cx="2965875" cy="396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664972" y="65905801"/>
            <a:ext cx="1617750"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116904" y="68189110"/>
            <a:ext cx="1353518" cy="18072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604009" y="61823600"/>
            <a:ext cx="2965875" cy="396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416309" y="65910783"/>
            <a:ext cx="1617750" cy="2160000"/>
          </a:xfrm>
          <a:prstGeom prst="rect">
            <a:avLst/>
          </a:prstGeom>
          <a:ln>
            <a:solidFill>
              <a:schemeClr val="tx1"/>
            </a:solidFill>
          </a:ln>
        </xdr:spPr>
      </xdr:pic>
    </xdr:grpSp>
    <xdr:clientData/>
  </xdr:twoCellAnchor>
  <xdr:twoCellAnchor>
    <xdr:from>
      <xdr:col>0</xdr:col>
      <xdr:colOff>608937</xdr:colOff>
      <xdr:row>242</xdr:row>
      <xdr:rowOff>90446</xdr:rowOff>
    </xdr:from>
    <xdr:to>
      <xdr:col>9</xdr:col>
      <xdr:colOff>337599</xdr:colOff>
      <xdr:row>283</xdr:row>
      <xdr:rowOff>143786</xdr:rowOff>
    </xdr:to>
    <xdr:grpSp>
      <xdr:nvGrpSpPr>
        <xdr:cNvPr id="6" name="Group 5">
          <a:extLst>
            <a:ext uri="{FF2B5EF4-FFF2-40B4-BE49-F238E27FC236}">
              <a16:creationId xmlns:a16="http://schemas.microsoft.com/office/drawing/2014/main" id="{8C8F241F-AB6C-3173-8EFF-06920EC27D53}"/>
            </a:ext>
          </a:extLst>
        </xdr:cNvPr>
        <xdr:cNvGrpSpPr/>
      </xdr:nvGrpSpPr>
      <xdr:grpSpPr>
        <a:xfrm>
          <a:off x="608937" y="59922686"/>
          <a:ext cx="5801802" cy="8176260"/>
          <a:chOff x="664962" y="975360"/>
          <a:chExt cx="5396489" cy="8097520"/>
        </a:xfrm>
      </xdr:grpSpPr>
      <xdr:pic>
        <xdr:nvPicPr>
          <xdr:cNvPr id="7" name="Picture 6">
            <a:extLst>
              <a:ext uri="{FF2B5EF4-FFF2-40B4-BE49-F238E27FC236}">
                <a16:creationId xmlns:a16="http://schemas.microsoft.com/office/drawing/2014/main" id="{2934D7DA-00D7-AFD3-B034-DF0563CC5B0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186833" y="7220931"/>
            <a:ext cx="1387033" cy="1851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0FD93EBC-9199-05CC-0A47-43152A1B1F4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255062" y="494792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DEA2CD89-9F06-EE71-F35D-7BFF78CD280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64962" y="975360"/>
            <a:ext cx="2632451" cy="3859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0D2DC5B5-164B-2451-1708-F3C5B9640AE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08875" y="494792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86887962-AC52-C642-6B9C-82E4719B4E3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38860" y="494792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FCE562DA-4129-D98E-803D-D26C4C3141A4}"/>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429000" y="975360"/>
            <a:ext cx="2632451" cy="3859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EA3EAA00-65E1-C792-C3EF-95F7BC11A76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67048" y="7220930"/>
            <a:ext cx="1387033" cy="1851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354145</xdr:colOff>
      <xdr:row>32</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5" y="2667000"/>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26</xdr:row>
      <xdr:rowOff>0</xdr:rowOff>
    </xdr:from>
    <xdr:to>
      <xdr:col>7</xdr:col>
      <xdr:colOff>293775</xdr:colOff>
      <xdr:row>37</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048125" y="3238500"/>
          <a:ext cx="1617750" cy="2160000"/>
        </a:xfrm>
        <a:prstGeom prst="rect">
          <a:avLst/>
        </a:prstGeom>
        <a:ln>
          <a:solidFill>
            <a:schemeClr val="tx1"/>
          </a:solidFill>
        </a:ln>
      </xdr:spPr>
    </xdr:pic>
    <xdr:clientData/>
  </xdr:twoCellAnchor>
  <xdr:twoCellAnchor editAs="oneCell">
    <xdr:from>
      <xdr:col>7</xdr:col>
      <xdr:colOff>516485</xdr:colOff>
      <xdr:row>26</xdr:row>
      <xdr:rowOff>6874</xdr:rowOff>
    </xdr:from>
    <xdr:to>
      <xdr:col>9</xdr:col>
      <xdr:colOff>410210</xdr:colOff>
      <xdr:row>37</xdr:row>
      <xdr:rowOff>71374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888585" y="3245374"/>
          <a:ext cx="161775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vutrRpg7fuBBknSE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0"/>
  <sheetViews>
    <sheetView tabSelected="1" view="pageBreakPreview" topLeftCell="A228" zoomScaleNormal="100" zoomScaleSheetLayoutView="100" zoomScalePageLayoutView="85" workbookViewId="0">
      <selection activeCell="L229" sqref="L229"/>
    </sheetView>
  </sheetViews>
  <sheetFormatPr defaultRowHeight="15.6" x14ac:dyDescent="0.3"/>
  <cols>
    <col min="1" max="1" width="9.21875" style="12" customWidth="1"/>
    <col min="2" max="2" width="11.21875" style="12" customWidth="1"/>
    <col min="3" max="3" width="14.77734375" style="12" customWidth="1"/>
    <col min="4" max="4" width="7.21875" style="12" customWidth="1"/>
    <col min="5" max="5" width="5.5546875" style="12" customWidth="1"/>
    <col min="6" max="6" width="9.77734375" style="12" customWidth="1"/>
    <col min="7" max="7" width="9" style="12" customWidth="1"/>
    <col min="8" max="8" width="10.5546875" style="12" customWidth="1"/>
    <col min="9" max="9" width="11.21875" style="12" customWidth="1"/>
    <col min="10" max="10" width="13.5546875" style="12" customWidth="1"/>
    <col min="11" max="11" width="3.5546875" style="12" customWidth="1"/>
    <col min="12" max="256" width="9.21875" style="12"/>
    <col min="257" max="257" width="8.77734375" style="12" customWidth="1"/>
    <col min="258" max="258" width="9.77734375" style="12" customWidth="1"/>
    <col min="259" max="259" width="14.44140625" style="12" customWidth="1"/>
    <col min="260" max="260" width="7.21875" style="12" customWidth="1"/>
    <col min="261" max="261" width="5.5546875" style="12" customWidth="1"/>
    <col min="262" max="262" width="9" style="12" customWidth="1"/>
    <col min="263" max="264" width="9.77734375" style="12" customWidth="1"/>
    <col min="265" max="265" width="11.21875" style="12" customWidth="1"/>
    <col min="266" max="266" width="2.77734375" style="12" customWidth="1"/>
    <col min="267" max="267" width="3.5546875" style="12" customWidth="1"/>
    <col min="268" max="512" width="9.21875" style="12"/>
    <col min="513" max="513" width="8.77734375" style="12" customWidth="1"/>
    <col min="514" max="514" width="9.77734375" style="12" customWidth="1"/>
    <col min="515" max="515" width="14.44140625" style="12" customWidth="1"/>
    <col min="516" max="516" width="7.21875" style="12" customWidth="1"/>
    <col min="517" max="517" width="5.5546875" style="12" customWidth="1"/>
    <col min="518" max="518" width="9" style="12" customWidth="1"/>
    <col min="519" max="520" width="9.77734375" style="12" customWidth="1"/>
    <col min="521" max="521" width="11.21875" style="12" customWidth="1"/>
    <col min="522" max="522" width="2.77734375" style="12" customWidth="1"/>
    <col min="523" max="523" width="3.5546875" style="12" customWidth="1"/>
    <col min="524" max="768" width="9.21875" style="12"/>
    <col min="769" max="769" width="8.77734375" style="12" customWidth="1"/>
    <col min="770" max="770" width="9.77734375" style="12" customWidth="1"/>
    <col min="771" max="771" width="14.44140625" style="12" customWidth="1"/>
    <col min="772" max="772" width="7.21875" style="12" customWidth="1"/>
    <col min="773" max="773" width="5.5546875" style="12" customWidth="1"/>
    <col min="774" max="774" width="9" style="12" customWidth="1"/>
    <col min="775" max="776" width="9.77734375" style="12" customWidth="1"/>
    <col min="777" max="777" width="11.21875" style="12" customWidth="1"/>
    <col min="778" max="778" width="2.77734375" style="12" customWidth="1"/>
    <col min="779" max="779" width="3.5546875" style="12" customWidth="1"/>
    <col min="780" max="1024" width="9.21875" style="12"/>
    <col min="1025" max="1025" width="8.77734375" style="12" customWidth="1"/>
    <col min="1026" max="1026" width="9.77734375" style="12" customWidth="1"/>
    <col min="1027" max="1027" width="14.44140625" style="12" customWidth="1"/>
    <col min="1028" max="1028" width="7.21875" style="12" customWidth="1"/>
    <col min="1029" max="1029" width="5.5546875" style="12" customWidth="1"/>
    <col min="1030" max="1030" width="9" style="12" customWidth="1"/>
    <col min="1031" max="1032" width="9.77734375" style="12" customWidth="1"/>
    <col min="1033" max="1033" width="11.21875" style="12" customWidth="1"/>
    <col min="1034" max="1034" width="2.77734375" style="12" customWidth="1"/>
    <col min="1035" max="1035" width="3.5546875" style="12" customWidth="1"/>
    <col min="1036" max="1280" width="9.21875" style="12"/>
    <col min="1281" max="1281" width="8.77734375" style="12" customWidth="1"/>
    <col min="1282" max="1282" width="9.77734375" style="12" customWidth="1"/>
    <col min="1283" max="1283" width="14.44140625" style="12" customWidth="1"/>
    <col min="1284" max="1284" width="7.21875" style="12" customWidth="1"/>
    <col min="1285" max="1285" width="5.5546875" style="12" customWidth="1"/>
    <col min="1286" max="1286" width="9" style="12" customWidth="1"/>
    <col min="1287" max="1288" width="9.77734375" style="12" customWidth="1"/>
    <col min="1289" max="1289" width="11.21875" style="12" customWidth="1"/>
    <col min="1290" max="1290" width="2.77734375" style="12" customWidth="1"/>
    <col min="1291" max="1291" width="3.5546875" style="12" customWidth="1"/>
    <col min="1292" max="1536" width="9.21875" style="12"/>
    <col min="1537" max="1537" width="8.77734375" style="12" customWidth="1"/>
    <col min="1538" max="1538" width="9.77734375" style="12" customWidth="1"/>
    <col min="1539" max="1539" width="14.44140625" style="12" customWidth="1"/>
    <col min="1540" max="1540" width="7.21875" style="12" customWidth="1"/>
    <col min="1541" max="1541" width="5.5546875" style="12" customWidth="1"/>
    <col min="1542" max="1542" width="9" style="12" customWidth="1"/>
    <col min="1543" max="1544" width="9.77734375" style="12" customWidth="1"/>
    <col min="1545" max="1545" width="11.21875" style="12" customWidth="1"/>
    <col min="1546" max="1546" width="2.77734375" style="12" customWidth="1"/>
    <col min="1547" max="1547" width="3.5546875" style="12" customWidth="1"/>
    <col min="1548" max="1792" width="9.21875" style="12"/>
    <col min="1793" max="1793" width="8.77734375" style="12" customWidth="1"/>
    <col min="1794" max="1794" width="9.77734375" style="12" customWidth="1"/>
    <col min="1795" max="1795" width="14.44140625" style="12" customWidth="1"/>
    <col min="1796" max="1796" width="7.21875" style="12" customWidth="1"/>
    <col min="1797" max="1797" width="5.5546875" style="12" customWidth="1"/>
    <col min="1798" max="1798" width="9" style="12" customWidth="1"/>
    <col min="1799" max="1800" width="9.77734375" style="12" customWidth="1"/>
    <col min="1801" max="1801" width="11.21875" style="12" customWidth="1"/>
    <col min="1802" max="1802" width="2.77734375" style="12" customWidth="1"/>
    <col min="1803" max="1803" width="3.5546875" style="12" customWidth="1"/>
    <col min="1804" max="2048" width="9.21875" style="12"/>
    <col min="2049" max="2049" width="8.77734375" style="12" customWidth="1"/>
    <col min="2050" max="2050" width="9.77734375" style="12" customWidth="1"/>
    <col min="2051" max="2051" width="14.44140625" style="12" customWidth="1"/>
    <col min="2052" max="2052" width="7.21875" style="12" customWidth="1"/>
    <col min="2053" max="2053" width="5.5546875" style="12" customWidth="1"/>
    <col min="2054" max="2054" width="9" style="12" customWidth="1"/>
    <col min="2055" max="2056" width="9.77734375" style="12" customWidth="1"/>
    <col min="2057" max="2057" width="11.21875" style="12" customWidth="1"/>
    <col min="2058" max="2058" width="2.77734375" style="12" customWidth="1"/>
    <col min="2059" max="2059" width="3.5546875" style="12" customWidth="1"/>
    <col min="2060" max="2304" width="9.21875" style="12"/>
    <col min="2305" max="2305" width="8.77734375" style="12" customWidth="1"/>
    <col min="2306" max="2306" width="9.77734375" style="12" customWidth="1"/>
    <col min="2307" max="2307" width="14.44140625" style="12" customWidth="1"/>
    <col min="2308" max="2308" width="7.21875" style="12" customWidth="1"/>
    <col min="2309" max="2309" width="5.5546875" style="12" customWidth="1"/>
    <col min="2310" max="2310" width="9" style="12" customWidth="1"/>
    <col min="2311" max="2312" width="9.77734375" style="12" customWidth="1"/>
    <col min="2313" max="2313" width="11.21875" style="12" customWidth="1"/>
    <col min="2314" max="2314" width="2.77734375" style="12" customWidth="1"/>
    <col min="2315" max="2315" width="3.5546875" style="12" customWidth="1"/>
    <col min="2316" max="2560" width="9.21875" style="12"/>
    <col min="2561" max="2561" width="8.77734375" style="12" customWidth="1"/>
    <col min="2562" max="2562" width="9.77734375" style="12" customWidth="1"/>
    <col min="2563" max="2563" width="14.44140625" style="12" customWidth="1"/>
    <col min="2564" max="2564" width="7.21875" style="12" customWidth="1"/>
    <col min="2565" max="2565" width="5.5546875" style="12" customWidth="1"/>
    <col min="2566" max="2566" width="9" style="12" customWidth="1"/>
    <col min="2567" max="2568" width="9.77734375" style="12" customWidth="1"/>
    <col min="2569" max="2569" width="11.21875" style="12" customWidth="1"/>
    <col min="2570" max="2570" width="2.77734375" style="12" customWidth="1"/>
    <col min="2571" max="2571" width="3.5546875" style="12" customWidth="1"/>
    <col min="2572" max="2816" width="9.21875" style="12"/>
    <col min="2817" max="2817" width="8.77734375" style="12" customWidth="1"/>
    <col min="2818" max="2818" width="9.77734375" style="12" customWidth="1"/>
    <col min="2819" max="2819" width="14.44140625" style="12" customWidth="1"/>
    <col min="2820" max="2820" width="7.21875" style="12" customWidth="1"/>
    <col min="2821" max="2821" width="5.5546875" style="12" customWidth="1"/>
    <col min="2822" max="2822" width="9" style="12" customWidth="1"/>
    <col min="2823" max="2824" width="9.77734375" style="12" customWidth="1"/>
    <col min="2825" max="2825" width="11.21875" style="12" customWidth="1"/>
    <col min="2826" max="2826" width="2.77734375" style="12" customWidth="1"/>
    <col min="2827" max="2827" width="3.5546875" style="12" customWidth="1"/>
    <col min="2828" max="3072" width="9.21875" style="12"/>
    <col min="3073" max="3073" width="8.77734375" style="12" customWidth="1"/>
    <col min="3074" max="3074" width="9.77734375" style="12" customWidth="1"/>
    <col min="3075" max="3075" width="14.44140625" style="12" customWidth="1"/>
    <col min="3076" max="3076" width="7.21875" style="12" customWidth="1"/>
    <col min="3077" max="3077" width="5.5546875" style="12" customWidth="1"/>
    <col min="3078" max="3078" width="9" style="12" customWidth="1"/>
    <col min="3079" max="3080" width="9.77734375" style="12" customWidth="1"/>
    <col min="3081" max="3081" width="11.21875" style="12" customWidth="1"/>
    <col min="3082" max="3082" width="2.77734375" style="12" customWidth="1"/>
    <col min="3083" max="3083" width="3.5546875" style="12" customWidth="1"/>
    <col min="3084" max="3328" width="9.21875" style="12"/>
    <col min="3329" max="3329" width="8.77734375" style="12" customWidth="1"/>
    <col min="3330" max="3330" width="9.77734375" style="12" customWidth="1"/>
    <col min="3331" max="3331" width="14.44140625" style="12" customWidth="1"/>
    <col min="3332" max="3332" width="7.21875" style="12" customWidth="1"/>
    <col min="3333" max="3333" width="5.5546875" style="12" customWidth="1"/>
    <col min="3334" max="3334" width="9" style="12" customWidth="1"/>
    <col min="3335" max="3336" width="9.77734375" style="12" customWidth="1"/>
    <col min="3337" max="3337" width="11.21875" style="12" customWidth="1"/>
    <col min="3338" max="3338" width="2.77734375" style="12" customWidth="1"/>
    <col min="3339" max="3339" width="3.5546875" style="12" customWidth="1"/>
    <col min="3340" max="3584" width="9.21875" style="12"/>
    <col min="3585" max="3585" width="8.77734375" style="12" customWidth="1"/>
    <col min="3586" max="3586" width="9.77734375" style="12" customWidth="1"/>
    <col min="3587" max="3587" width="14.44140625" style="12" customWidth="1"/>
    <col min="3588" max="3588" width="7.21875" style="12" customWidth="1"/>
    <col min="3589" max="3589" width="5.5546875" style="12" customWidth="1"/>
    <col min="3590" max="3590" width="9" style="12" customWidth="1"/>
    <col min="3591" max="3592" width="9.77734375" style="12" customWidth="1"/>
    <col min="3593" max="3593" width="11.21875" style="12" customWidth="1"/>
    <col min="3594" max="3594" width="2.77734375" style="12" customWidth="1"/>
    <col min="3595" max="3595" width="3.5546875" style="12" customWidth="1"/>
    <col min="3596" max="3840" width="9.21875" style="12"/>
    <col min="3841" max="3841" width="8.77734375" style="12" customWidth="1"/>
    <col min="3842" max="3842" width="9.77734375" style="12" customWidth="1"/>
    <col min="3843" max="3843" width="14.44140625" style="12" customWidth="1"/>
    <col min="3844" max="3844" width="7.21875" style="12" customWidth="1"/>
    <col min="3845" max="3845" width="5.5546875" style="12" customWidth="1"/>
    <col min="3846" max="3846" width="9" style="12" customWidth="1"/>
    <col min="3847" max="3848" width="9.77734375" style="12" customWidth="1"/>
    <col min="3849" max="3849" width="11.21875" style="12" customWidth="1"/>
    <col min="3850" max="3850" width="2.77734375" style="12" customWidth="1"/>
    <col min="3851" max="3851" width="3.5546875" style="12" customWidth="1"/>
    <col min="3852" max="4096" width="9.21875" style="12"/>
    <col min="4097" max="4097" width="8.77734375" style="12" customWidth="1"/>
    <col min="4098" max="4098" width="9.77734375" style="12" customWidth="1"/>
    <col min="4099" max="4099" width="14.44140625" style="12" customWidth="1"/>
    <col min="4100" max="4100" width="7.21875" style="12" customWidth="1"/>
    <col min="4101" max="4101" width="5.5546875" style="12" customWidth="1"/>
    <col min="4102" max="4102" width="9" style="12" customWidth="1"/>
    <col min="4103" max="4104" width="9.77734375" style="12" customWidth="1"/>
    <col min="4105" max="4105" width="11.21875" style="12" customWidth="1"/>
    <col min="4106" max="4106" width="2.77734375" style="12" customWidth="1"/>
    <col min="4107" max="4107" width="3.5546875" style="12" customWidth="1"/>
    <col min="4108" max="4352" width="9.21875" style="12"/>
    <col min="4353" max="4353" width="8.77734375" style="12" customWidth="1"/>
    <col min="4354" max="4354" width="9.77734375" style="12" customWidth="1"/>
    <col min="4355" max="4355" width="14.44140625" style="12" customWidth="1"/>
    <col min="4356" max="4356" width="7.21875" style="12" customWidth="1"/>
    <col min="4357" max="4357" width="5.5546875" style="12" customWidth="1"/>
    <col min="4358" max="4358" width="9" style="12" customWidth="1"/>
    <col min="4359" max="4360" width="9.77734375" style="12" customWidth="1"/>
    <col min="4361" max="4361" width="11.21875" style="12" customWidth="1"/>
    <col min="4362" max="4362" width="2.77734375" style="12" customWidth="1"/>
    <col min="4363" max="4363" width="3.5546875" style="12" customWidth="1"/>
    <col min="4364" max="4608" width="9.21875" style="12"/>
    <col min="4609" max="4609" width="8.77734375" style="12" customWidth="1"/>
    <col min="4610" max="4610" width="9.77734375" style="12" customWidth="1"/>
    <col min="4611" max="4611" width="14.44140625" style="12" customWidth="1"/>
    <col min="4612" max="4612" width="7.21875" style="12" customWidth="1"/>
    <col min="4613" max="4613" width="5.5546875" style="12" customWidth="1"/>
    <col min="4614" max="4614" width="9" style="12" customWidth="1"/>
    <col min="4615" max="4616" width="9.77734375" style="12" customWidth="1"/>
    <col min="4617" max="4617" width="11.21875" style="12" customWidth="1"/>
    <col min="4618" max="4618" width="2.77734375" style="12" customWidth="1"/>
    <col min="4619" max="4619" width="3.5546875" style="12" customWidth="1"/>
    <col min="4620" max="4864" width="9.21875" style="12"/>
    <col min="4865" max="4865" width="8.77734375" style="12" customWidth="1"/>
    <col min="4866" max="4866" width="9.77734375" style="12" customWidth="1"/>
    <col min="4867" max="4867" width="14.44140625" style="12" customWidth="1"/>
    <col min="4868" max="4868" width="7.21875" style="12" customWidth="1"/>
    <col min="4869" max="4869" width="5.5546875" style="12" customWidth="1"/>
    <col min="4870" max="4870" width="9" style="12" customWidth="1"/>
    <col min="4871" max="4872" width="9.77734375" style="12" customWidth="1"/>
    <col min="4873" max="4873" width="11.21875" style="12" customWidth="1"/>
    <col min="4874" max="4874" width="2.77734375" style="12" customWidth="1"/>
    <col min="4875" max="4875" width="3.5546875" style="12" customWidth="1"/>
    <col min="4876" max="5120" width="9.21875" style="12"/>
    <col min="5121" max="5121" width="8.77734375" style="12" customWidth="1"/>
    <col min="5122" max="5122" width="9.77734375" style="12" customWidth="1"/>
    <col min="5123" max="5123" width="14.44140625" style="12" customWidth="1"/>
    <col min="5124" max="5124" width="7.21875" style="12" customWidth="1"/>
    <col min="5125" max="5125" width="5.5546875" style="12" customWidth="1"/>
    <col min="5126" max="5126" width="9" style="12" customWidth="1"/>
    <col min="5127" max="5128" width="9.77734375" style="12" customWidth="1"/>
    <col min="5129" max="5129" width="11.21875" style="12" customWidth="1"/>
    <col min="5130" max="5130" width="2.77734375" style="12" customWidth="1"/>
    <col min="5131" max="5131" width="3.5546875" style="12" customWidth="1"/>
    <col min="5132" max="5376" width="9.21875" style="12"/>
    <col min="5377" max="5377" width="8.77734375" style="12" customWidth="1"/>
    <col min="5378" max="5378" width="9.77734375" style="12" customWidth="1"/>
    <col min="5379" max="5379" width="14.44140625" style="12" customWidth="1"/>
    <col min="5380" max="5380" width="7.21875" style="12" customWidth="1"/>
    <col min="5381" max="5381" width="5.5546875" style="12" customWidth="1"/>
    <col min="5382" max="5382" width="9" style="12" customWidth="1"/>
    <col min="5383" max="5384" width="9.77734375" style="12" customWidth="1"/>
    <col min="5385" max="5385" width="11.21875" style="12" customWidth="1"/>
    <col min="5386" max="5386" width="2.77734375" style="12" customWidth="1"/>
    <col min="5387" max="5387" width="3.5546875" style="12" customWidth="1"/>
    <col min="5388" max="5632" width="9.21875" style="12"/>
    <col min="5633" max="5633" width="8.77734375" style="12" customWidth="1"/>
    <col min="5634" max="5634" width="9.77734375" style="12" customWidth="1"/>
    <col min="5635" max="5635" width="14.44140625" style="12" customWidth="1"/>
    <col min="5636" max="5636" width="7.21875" style="12" customWidth="1"/>
    <col min="5637" max="5637" width="5.5546875" style="12" customWidth="1"/>
    <col min="5638" max="5638" width="9" style="12" customWidth="1"/>
    <col min="5639" max="5640" width="9.77734375" style="12" customWidth="1"/>
    <col min="5641" max="5641" width="11.21875" style="12" customWidth="1"/>
    <col min="5642" max="5642" width="2.77734375" style="12" customWidth="1"/>
    <col min="5643" max="5643" width="3.5546875" style="12" customWidth="1"/>
    <col min="5644" max="5888" width="9.21875" style="12"/>
    <col min="5889" max="5889" width="8.77734375" style="12" customWidth="1"/>
    <col min="5890" max="5890" width="9.77734375" style="12" customWidth="1"/>
    <col min="5891" max="5891" width="14.44140625" style="12" customWidth="1"/>
    <col min="5892" max="5892" width="7.21875" style="12" customWidth="1"/>
    <col min="5893" max="5893" width="5.5546875" style="12" customWidth="1"/>
    <col min="5894" max="5894" width="9" style="12" customWidth="1"/>
    <col min="5895" max="5896" width="9.77734375" style="12" customWidth="1"/>
    <col min="5897" max="5897" width="11.21875" style="12" customWidth="1"/>
    <col min="5898" max="5898" width="2.77734375" style="12" customWidth="1"/>
    <col min="5899" max="5899" width="3.5546875" style="12" customWidth="1"/>
    <col min="5900" max="6144" width="9.21875" style="12"/>
    <col min="6145" max="6145" width="8.77734375" style="12" customWidth="1"/>
    <col min="6146" max="6146" width="9.77734375" style="12" customWidth="1"/>
    <col min="6147" max="6147" width="14.44140625" style="12" customWidth="1"/>
    <col min="6148" max="6148" width="7.21875" style="12" customWidth="1"/>
    <col min="6149" max="6149" width="5.5546875" style="12" customWidth="1"/>
    <col min="6150" max="6150" width="9" style="12" customWidth="1"/>
    <col min="6151" max="6152" width="9.77734375" style="12" customWidth="1"/>
    <col min="6153" max="6153" width="11.21875" style="12" customWidth="1"/>
    <col min="6154" max="6154" width="2.77734375" style="12" customWidth="1"/>
    <col min="6155" max="6155" width="3.5546875" style="12" customWidth="1"/>
    <col min="6156" max="6400" width="9.21875" style="12"/>
    <col min="6401" max="6401" width="8.77734375" style="12" customWidth="1"/>
    <col min="6402" max="6402" width="9.77734375" style="12" customWidth="1"/>
    <col min="6403" max="6403" width="14.44140625" style="12" customWidth="1"/>
    <col min="6404" max="6404" width="7.21875" style="12" customWidth="1"/>
    <col min="6405" max="6405" width="5.5546875" style="12" customWidth="1"/>
    <col min="6406" max="6406" width="9" style="12" customWidth="1"/>
    <col min="6407" max="6408" width="9.77734375" style="12" customWidth="1"/>
    <col min="6409" max="6409" width="11.21875" style="12" customWidth="1"/>
    <col min="6410" max="6410" width="2.77734375" style="12" customWidth="1"/>
    <col min="6411" max="6411" width="3.5546875" style="12" customWidth="1"/>
    <col min="6412" max="6656" width="9.21875" style="12"/>
    <col min="6657" max="6657" width="8.77734375" style="12" customWidth="1"/>
    <col min="6658" max="6658" width="9.77734375" style="12" customWidth="1"/>
    <col min="6659" max="6659" width="14.44140625" style="12" customWidth="1"/>
    <col min="6660" max="6660" width="7.21875" style="12" customWidth="1"/>
    <col min="6661" max="6661" width="5.5546875" style="12" customWidth="1"/>
    <col min="6662" max="6662" width="9" style="12" customWidth="1"/>
    <col min="6663" max="6664" width="9.77734375" style="12" customWidth="1"/>
    <col min="6665" max="6665" width="11.21875" style="12" customWidth="1"/>
    <col min="6666" max="6666" width="2.77734375" style="12" customWidth="1"/>
    <col min="6667" max="6667" width="3.5546875" style="12" customWidth="1"/>
    <col min="6668" max="6912" width="9.21875" style="12"/>
    <col min="6913" max="6913" width="8.77734375" style="12" customWidth="1"/>
    <col min="6914" max="6914" width="9.77734375" style="12" customWidth="1"/>
    <col min="6915" max="6915" width="14.44140625" style="12" customWidth="1"/>
    <col min="6916" max="6916" width="7.21875" style="12" customWidth="1"/>
    <col min="6917" max="6917" width="5.5546875" style="12" customWidth="1"/>
    <col min="6918" max="6918" width="9" style="12" customWidth="1"/>
    <col min="6919" max="6920" width="9.77734375" style="12" customWidth="1"/>
    <col min="6921" max="6921" width="11.21875" style="12" customWidth="1"/>
    <col min="6922" max="6922" width="2.77734375" style="12" customWidth="1"/>
    <col min="6923" max="6923" width="3.5546875" style="12" customWidth="1"/>
    <col min="6924" max="7168" width="9.21875" style="12"/>
    <col min="7169" max="7169" width="8.77734375" style="12" customWidth="1"/>
    <col min="7170" max="7170" width="9.77734375" style="12" customWidth="1"/>
    <col min="7171" max="7171" width="14.44140625" style="12" customWidth="1"/>
    <col min="7172" max="7172" width="7.21875" style="12" customWidth="1"/>
    <col min="7173" max="7173" width="5.5546875" style="12" customWidth="1"/>
    <col min="7174" max="7174" width="9" style="12" customWidth="1"/>
    <col min="7175" max="7176" width="9.77734375" style="12" customWidth="1"/>
    <col min="7177" max="7177" width="11.21875" style="12" customWidth="1"/>
    <col min="7178" max="7178" width="2.77734375" style="12" customWidth="1"/>
    <col min="7179" max="7179" width="3.5546875" style="12" customWidth="1"/>
    <col min="7180" max="7424" width="9.21875" style="12"/>
    <col min="7425" max="7425" width="8.77734375" style="12" customWidth="1"/>
    <col min="7426" max="7426" width="9.77734375" style="12" customWidth="1"/>
    <col min="7427" max="7427" width="14.44140625" style="12" customWidth="1"/>
    <col min="7428" max="7428" width="7.21875" style="12" customWidth="1"/>
    <col min="7429" max="7429" width="5.5546875" style="12" customWidth="1"/>
    <col min="7430" max="7430" width="9" style="12" customWidth="1"/>
    <col min="7431" max="7432" width="9.77734375" style="12" customWidth="1"/>
    <col min="7433" max="7433" width="11.21875" style="12" customWidth="1"/>
    <col min="7434" max="7434" width="2.77734375" style="12" customWidth="1"/>
    <col min="7435" max="7435" width="3.5546875" style="12" customWidth="1"/>
    <col min="7436" max="7680" width="9.21875" style="12"/>
    <col min="7681" max="7681" width="8.77734375" style="12" customWidth="1"/>
    <col min="7682" max="7682" width="9.77734375" style="12" customWidth="1"/>
    <col min="7683" max="7683" width="14.44140625" style="12" customWidth="1"/>
    <col min="7684" max="7684" width="7.21875" style="12" customWidth="1"/>
    <col min="7685" max="7685" width="5.5546875" style="12" customWidth="1"/>
    <col min="7686" max="7686" width="9" style="12" customWidth="1"/>
    <col min="7687" max="7688" width="9.77734375" style="12" customWidth="1"/>
    <col min="7689" max="7689" width="11.21875" style="12" customWidth="1"/>
    <col min="7690" max="7690" width="2.77734375" style="12" customWidth="1"/>
    <col min="7691" max="7691" width="3.5546875" style="12" customWidth="1"/>
    <col min="7692" max="7936" width="9.21875" style="12"/>
    <col min="7937" max="7937" width="8.77734375" style="12" customWidth="1"/>
    <col min="7938" max="7938" width="9.77734375" style="12" customWidth="1"/>
    <col min="7939" max="7939" width="14.44140625" style="12" customWidth="1"/>
    <col min="7940" max="7940" width="7.21875" style="12" customWidth="1"/>
    <col min="7941" max="7941" width="5.5546875" style="12" customWidth="1"/>
    <col min="7942" max="7942" width="9" style="12" customWidth="1"/>
    <col min="7943" max="7944" width="9.77734375" style="12" customWidth="1"/>
    <col min="7945" max="7945" width="11.21875" style="12" customWidth="1"/>
    <col min="7946" max="7946" width="2.77734375" style="12" customWidth="1"/>
    <col min="7947" max="7947" width="3.5546875" style="12" customWidth="1"/>
    <col min="7948" max="8192" width="9.21875" style="12"/>
    <col min="8193" max="8193" width="8.77734375" style="12" customWidth="1"/>
    <col min="8194" max="8194" width="9.77734375" style="12" customWidth="1"/>
    <col min="8195" max="8195" width="14.44140625" style="12" customWidth="1"/>
    <col min="8196" max="8196" width="7.21875" style="12" customWidth="1"/>
    <col min="8197" max="8197" width="5.5546875" style="12" customWidth="1"/>
    <col min="8198" max="8198" width="9" style="12" customWidth="1"/>
    <col min="8199" max="8200" width="9.77734375" style="12" customWidth="1"/>
    <col min="8201" max="8201" width="11.21875" style="12" customWidth="1"/>
    <col min="8202" max="8202" width="2.77734375" style="12" customWidth="1"/>
    <col min="8203" max="8203" width="3.5546875" style="12" customWidth="1"/>
    <col min="8204" max="8448" width="9.21875" style="12"/>
    <col min="8449" max="8449" width="8.77734375" style="12" customWidth="1"/>
    <col min="8450" max="8450" width="9.77734375" style="12" customWidth="1"/>
    <col min="8451" max="8451" width="14.44140625" style="12" customWidth="1"/>
    <col min="8452" max="8452" width="7.21875" style="12" customWidth="1"/>
    <col min="8453" max="8453" width="5.5546875" style="12" customWidth="1"/>
    <col min="8454" max="8454" width="9" style="12" customWidth="1"/>
    <col min="8455" max="8456" width="9.77734375" style="12" customWidth="1"/>
    <col min="8457" max="8457" width="11.21875" style="12" customWidth="1"/>
    <col min="8458" max="8458" width="2.77734375" style="12" customWidth="1"/>
    <col min="8459" max="8459" width="3.5546875" style="12" customWidth="1"/>
    <col min="8460" max="8704" width="9.21875" style="12"/>
    <col min="8705" max="8705" width="8.77734375" style="12" customWidth="1"/>
    <col min="8706" max="8706" width="9.77734375" style="12" customWidth="1"/>
    <col min="8707" max="8707" width="14.44140625" style="12" customWidth="1"/>
    <col min="8708" max="8708" width="7.21875" style="12" customWidth="1"/>
    <col min="8709" max="8709" width="5.5546875" style="12" customWidth="1"/>
    <col min="8710" max="8710" width="9" style="12" customWidth="1"/>
    <col min="8711" max="8712" width="9.77734375" style="12" customWidth="1"/>
    <col min="8713" max="8713" width="11.21875" style="12" customWidth="1"/>
    <col min="8714" max="8714" width="2.77734375" style="12" customWidth="1"/>
    <col min="8715" max="8715" width="3.5546875" style="12" customWidth="1"/>
    <col min="8716" max="8960" width="9.21875" style="12"/>
    <col min="8961" max="8961" width="8.77734375" style="12" customWidth="1"/>
    <col min="8962" max="8962" width="9.77734375" style="12" customWidth="1"/>
    <col min="8963" max="8963" width="14.44140625" style="12" customWidth="1"/>
    <col min="8964" max="8964" width="7.21875" style="12" customWidth="1"/>
    <col min="8965" max="8965" width="5.5546875" style="12" customWidth="1"/>
    <col min="8966" max="8966" width="9" style="12" customWidth="1"/>
    <col min="8967" max="8968" width="9.77734375" style="12" customWidth="1"/>
    <col min="8969" max="8969" width="11.21875" style="12" customWidth="1"/>
    <col min="8970" max="8970" width="2.77734375" style="12" customWidth="1"/>
    <col min="8971" max="8971" width="3.5546875" style="12" customWidth="1"/>
    <col min="8972" max="9216" width="9.21875" style="12"/>
    <col min="9217" max="9217" width="8.77734375" style="12" customWidth="1"/>
    <col min="9218" max="9218" width="9.77734375" style="12" customWidth="1"/>
    <col min="9219" max="9219" width="14.44140625" style="12" customWidth="1"/>
    <col min="9220" max="9220" width="7.21875" style="12" customWidth="1"/>
    <col min="9221" max="9221" width="5.5546875" style="12" customWidth="1"/>
    <col min="9222" max="9222" width="9" style="12" customWidth="1"/>
    <col min="9223" max="9224" width="9.77734375" style="12" customWidth="1"/>
    <col min="9225" max="9225" width="11.21875" style="12" customWidth="1"/>
    <col min="9226" max="9226" width="2.77734375" style="12" customWidth="1"/>
    <col min="9227" max="9227" width="3.5546875" style="12" customWidth="1"/>
    <col min="9228" max="9472" width="9.21875" style="12"/>
    <col min="9473" max="9473" width="8.77734375" style="12" customWidth="1"/>
    <col min="9474" max="9474" width="9.77734375" style="12" customWidth="1"/>
    <col min="9475" max="9475" width="14.44140625" style="12" customWidth="1"/>
    <col min="9476" max="9476" width="7.21875" style="12" customWidth="1"/>
    <col min="9477" max="9477" width="5.5546875" style="12" customWidth="1"/>
    <col min="9478" max="9478" width="9" style="12" customWidth="1"/>
    <col min="9479" max="9480" width="9.77734375" style="12" customWidth="1"/>
    <col min="9481" max="9481" width="11.21875" style="12" customWidth="1"/>
    <col min="9482" max="9482" width="2.77734375" style="12" customWidth="1"/>
    <col min="9483" max="9483" width="3.5546875" style="12" customWidth="1"/>
    <col min="9484" max="9728" width="9.21875" style="12"/>
    <col min="9729" max="9729" width="8.77734375" style="12" customWidth="1"/>
    <col min="9730" max="9730" width="9.77734375" style="12" customWidth="1"/>
    <col min="9731" max="9731" width="14.44140625" style="12" customWidth="1"/>
    <col min="9732" max="9732" width="7.21875" style="12" customWidth="1"/>
    <col min="9733" max="9733" width="5.5546875" style="12" customWidth="1"/>
    <col min="9734" max="9734" width="9" style="12" customWidth="1"/>
    <col min="9735" max="9736" width="9.77734375" style="12" customWidth="1"/>
    <col min="9737" max="9737" width="11.21875" style="12" customWidth="1"/>
    <col min="9738" max="9738" width="2.77734375" style="12" customWidth="1"/>
    <col min="9739" max="9739" width="3.5546875" style="12" customWidth="1"/>
    <col min="9740" max="9984" width="9.21875" style="12"/>
    <col min="9985" max="9985" width="8.77734375" style="12" customWidth="1"/>
    <col min="9986" max="9986" width="9.77734375" style="12" customWidth="1"/>
    <col min="9987" max="9987" width="14.44140625" style="12" customWidth="1"/>
    <col min="9988" max="9988" width="7.21875" style="12" customWidth="1"/>
    <col min="9989" max="9989" width="5.5546875" style="12" customWidth="1"/>
    <col min="9990" max="9990" width="9" style="12" customWidth="1"/>
    <col min="9991" max="9992" width="9.77734375" style="12" customWidth="1"/>
    <col min="9993" max="9993" width="11.21875" style="12" customWidth="1"/>
    <col min="9994" max="9994" width="2.77734375" style="12" customWidth="1"/>
    <col min="9995" max="9995" width="3.5546875" style="12" customWidth="1"/>
    <col min="9996" max="10240" width="9.21875" style="12"/>
    <col min="10241" max="10241" width="8.77734375" style="12" customWidth="1"/>
    <col min="10242" max="10242" width="9.77734375" style="12" customWidth="1"/>
    <col min="10243" max="10243" width="14.44140625" style="12" customWidth="1"/>
    <col min="10244" max="10244" width="7.21875" style="12" customWidth="1"/>
    <col min="10245" max="10245" width="5.5546875" style="12" customWidth="1"/>
    <col min="10246" max="10246" width="9" style="12" customWidth="1"/>
    <col min="10247" max="10248" width="9.77734375" style="12" customWidth="1"/>
    <col min="10249" max="10249" width="11.21875" style="12" customWidth="1"/>
    <col min="10250" max="10250" width="2.77734375" style="12" customWidth="1"/>
    <col min="10251" max="10251" width="3.5546875" style="12" customWidth="1"/>
    <col min="10252" max="10496" width="9.21875" style="12"/>
    <col min="10497" max="10497" width="8.77734375" style="12" customWidth="1"/>
    <col min="10498" max="10498" width="9.77734375" style="12" customWidth="1"/>
    <col min="10499" max="10499" width="14.44140625" style="12" customWidth="1"/>
    <col min="10500" max="10500" width="7.21875" style="12" customWidth="1"/>
    <col min="10501" max="10501" width="5.5546875" style="12" customWidth="1"/>
    <col min="10502" max="10502" width="9" style="12" customWidth="1"/>
    <col min="10503" max="10504" width="9.77734375" style="12" customWidth="1"/>
    <col min="10505" max="10505" width="11.21875" style="12" customWidth="1"/>
    <col min="10506" max="10506" width="2.77734375" style="12" customWidth="1"/>
    <col min="10507" max="10507" width="3.5546875" style="12" customWidth="1"/>
    <col min="10508" max="10752" width="9.21875" style="12"/>
    <col min="10753" max="10753" width="8.77734375" style="12" customWidth="1"/>
    <col min="10754" max="10754" width="9.77734375" style="12" customWidth="1"/>
    <col min="10755" max="10755" width="14.44140625" style="12" customWidth="1"/>
    <col min="10756" max="10756" width="7.21875" style="12" customWidth="1"/>
    <col min="10757" max="10757" width="5.5546875" style="12" customWidth="1"/>
    <col min="10758" max="10758" width="9" style="12" customWidth="1"/>
    <col min="10759" max="10760" width="9.77734375" style="12" customWidth="1"/>
    <col min="10761" max="10761" width="11.21875" style="12" customWidth="1"/>
    <col min="10762" max="10762" width="2.77734375" style="12" customWidth="1"/>
    <col min="10763" max="10763" width="3.5546875" style="12" customWidth="1"/>
    <col min="10764" max="11008" width="9.21875" style="12"/>
    <col min="11009" max="11009" width="8.77734375" style="12" customWidth="1"/>
    <col min="11010" max="11010" width="9.77734375" style="12" customWidth="1"/>
    <col min="11011" max="11011" width="14.44140625" style="12" customWidth="1"/>
    <col min="11012" max="11012" width="7.21875" style="12" customWidth="1"/>
    <col min="11013" max="11013" width="5.5546875" style="12" customWidth="1"/>
    <col min="11014" max="11014" width="9" style="12" customWidth="1"/>
    <col min="11015" max="11016" width="9.77734375" style="12" customWidth="1"/>
    <col min="11017" max="11017" width="11.21875" style="12" customWidth="1"/>
    <col min="11018" max="11018" width="2.77734375" style="12" customWidth="1"/>
    <col min="11019" max="11019" width="3.5546875" style="12" customWidth="1"/>
    <col min="11020" max="11264" width="9.21875" style="12"/>
    <col min="11265" max="11265" width="8.77734375" style="12" customWidth="1"/>
    <col min="11266" max="11266" width="9.77734375" style="12" customWidth="1"/>
    <col min="11267" max="11267" width="14.44140625" style="12" customWidth="1"/>
    <col min="11268" max="11268" width="7.21875" style="12" customWidth="1"/>
    <col min="11269" max="11269" width="5.5546875" style="12" customWidth="1"/>
    <col min="11270" max="11270" width="9" style="12" customWidth="1"/>
    <col min="11271" max="11272" width="9.77734375" style="12" customWidth="1"/>
    <col min="11273" max="11273" width="11.21875" style="12" customWidth="1"/>
    <col min="11274" max="11274" width="2.77734375" style="12" customWidth="1"/>
    <col min="11275" max="11275" width="3.5546875" style="12" customWidth="1"/>
    <col min="11276" max="11520" width="9.21875" style="12"/>
    <col min="11521" max="11521" width="8.77734375" style="12" customWidth="1"/>
    <col min="11522" max="11522" width="9.77734375" style="12" customWidth="1"/>
    <col min="11523" max="11523" width="14.44140625" style="12" customWidth="1"/>
    <col min="11524" max="11524" width="7.21875" style="12" customWidth="1"/>
    <col min="11525" max="11525" width="5.5546875" style="12" customWidth="1"/>
    <col min="11526" max="11526" width="9" style="12" customWidth="1"/>
    <col min="11527" max="11528" width="9.77734375" style="12" customWidth="1"/>
    <col min="11529" max="11529" width="11.21875" style="12" customWidth="1"/>
    <col min="11530" max="11530" width="2.77734375" style="12" customWidth="1"/>
    <col min="11531" max="11531" width="3.5546875" style="12" customWidth="1"/>
    <col min="11532" max="11776" width="9.21875" style="12"/>
    <col min="11777" max="11777" width="8.77734375" style="12" customWidth="1"/>
    <col min="11778" max="11778" width="9.77734375" style="12" customWidth="1"/>
    <col min="11779" max="11779" width="14.44140625" style="12" customWidth="1"/>
    <col min="11780" max="11780" width="7.21875" style="12" customWidth="1"/>
    <col min="11781" max="11781" width="5.5546875" style="12" customWidth="1"/>
    <col min="11782" max="11782" width="9" style="12" customWidth="1"/>
    <col min="11783" max="11784" width="9.77734375" style="12" customWidth="1"/>
    <col min="11785" max="11785" width="11.21875" style="12" customWidth="1"/>
    <col min="11786" max="11786" width="2.77734375" style="12" customWidth="1"/>
    <col min="11787" max="11787" width="3.5546875" style="12" customWidth="1"/>
    <col min="11788" max="12032" width="9.21875" style="12"/>
    <col min="12033" max="12033" width="8.77734375" style="12" customWidth="1"/>
    <col min="12034" max="12034" width="9.77734375" style="12" customWidth="1"/>
    <col min="12035" max="12035" width="14.44140625" style="12" customWidth="1"/>
    <col min="12036" max="12036" width="7.21875" style="12" customWidth="1"/>
    <col min="12037" max="12037" width="5.5546875" style="12" customWidth="1"/>
    <col min="12038" max="12038" width="9" style="12" customWidth="1"/>
    <col min="12039" max="12040" width="9.77734375" style="12" customWidth="1"/>
    <col min="12041" max="12041" width="11.21875" style="12" customWidth="1"/>
    <col min="12042" max="12042" width="2.77734375" style="12" customWidth="1"/>
    <col min="12043" max="12043" width="3.5546875" style="12" customWidth="1"/>
    <col min="12044" max="12288" width="9.21875" style="12"/>
    <col min="12289" max="12289" width="8.77734375" style="12" customWidth="1"/>
    <col min="12290" max="12290" width="9.77734375" style="12" customWidth="1"/>
    <col min="12291" max="12291" width="14.44140625" style="12" customWidth="1"/>
    <col min="12292" max="12292" width="7.21875" style="12" customWidth="1"/>
    <col min="12293" max="12293" width="5.5546875" style="12" customWidth="1"/>
    <col min="12294" max="12294" width="9" style="12" customWidth="1"/>
    <col min="12295" max="12296" width="9.77734375" style="12" customWidth="1"/>
    <col min="12297" max="12297" width="11.21875" style="12" customWidth="1"/>
    <col min="12298" max="12298" width="2.77734375" style="12" customWidth="1"/>
    <col min="12299" max="12299" width="3.5546875" style="12" customWidth="1"/>
    <col min="12300" max="12544" width="9.21875" style="12"/>
    <col min="12545" max="12545" width="8.77734375" style="12" customWidth="1"/>
    <col min="12546" max="12546" width="9.77734375" style="12" customWidth="1"/>
    <col min="12547" max="12547" width="14.44140625" style="12" customWidth="1"/>
    <col min="12548" max="12548" width="7.21875" style="12" customWidth="1"/>
    <col min="12549" max="12549" width="5.5546875" style="12" customWidth="1"/>
    <col min="12550" max="12550" width="9" style="12" customWidth="1"/>
    <col min="12551" max="12552" width="9.77734375" style="12" customWidth="1"/>
    <col min="12553" max="12553" width="11.21875" style="12" customWidth="1"/>
    <col min="12554" max="12554" width="2.77734375" style="12" customWidth="1"/>
    <col min="12555" max="12555" width="3.5546875" style="12" customWidth="1"/>
    <col min="12556" max="12800" width="9.21875" style="12"/>
    <col min="12801" max="12801" width="8.77734375" style="12" customWidth="1"/>
    <col min="12802" max="12802" width="9.77734375" style="12" customWidth="1"/>
    <col min="12803" max="12803" width="14.44140625" style="12" customWidth="1"/>
    <col min="12804" max="12804" width="7.21875" style="12" customWidth="1"/>
    <col min="12805" max="12805" width="5.5546875" style="12" customWidth="1"/>
    <col min="12806" max="12806" width="9" style="12" customWidth="1"/>
    <col min="12807" max="12808" width="9.77734375" style="12" customWidth="1"/>
    <col min="12809" max="12809" width="11.21875" style="12" customWidth="1"/>
    <col min="12810" max="12810" width="2.77734375" style="12" customWidth="1"/>
    <col min="12811" max="12811" width="3.5546875" style="12" customWidth="1"/>
    <col min="12812" max="13056" width="9.21875" style="12"/>
    <col min="13057" max="13057" width="8.77734375" style="12" customWidth="1"/>
    <col min="13058" max="13058" width="9.77734375" style="12" customWidth="1"/>
    <col min="13059" max="13059" width="14.44140625" style="12" customWidth="1"/>
    <col min="13060" max="13060" width="7.21875" style="12" customWidth="1"/>
    <col min="13061" max="13061" width="5.5546875" style="12" customWidth="1"/>
    <col min="13062" max="13062" width="9" style="12" customWidth="1"/>
    <col min="13063" max="13064" width="9.77734375" style="12" customWidth="1"/>
    <col min="13065" max="13065" width="11.21875" style="12" customWidth="1"/>
    <col min="13066" max="13066" width="2.77734375" style="12" customWidth="1"/>
    <col min="13067" max="13067" width="3.5546875" style="12" customWidth="1"/>
    <col min="13068" max="13312" width="9.21875" style="12"/>
    <col min="13313" max="13313" width="8.77734375" style="12" customWidth="1"/>
    <col min="13314" max="13314" width="9.77734375" style="12" customWidth="1"/>
    <col min="13315" max="13315" width="14.44140625" style="12" customWidth="1"/>
    <col min="13316" max="13316" width="7.21875" style="12" customWidth="1"/>
    <col min="13317" max="13317" width="5.5546875" style="12" customWidth="1"/>
    <col min="13318" max="13318" width="9" style="12" customWidth="1"/>
    <col min="13319" max="13320" width="9.77734375" style="12" customWidth="1"/>
    <col min="13321" max="13321" width="11.21875" style="12" customWidth="1"/>
    <col min="13322" max="13322" width="2.77734375" style="12" customWidth="1"/>
    <col min="13323" max="13323" width="3.5546875" style="12" customWidth="1"/>
    <col min="13324" max="13568" width="9.21875" style="12"/>
    <col min="13569" max="13569" width="8.77734375" style="12" customWidth="1"/>
    <col min="13570" max="13570" width="9.77734375" style="12" customWidth="1"/>
    <col min="13571" max="13571" width="14.44140625" style="12" customWidth="1"/>
    <col min="13572" max="13572" width="7.21875" style="12" customWidth="1"/>
    <col min="13573" max="13573" width="5.5546875" style="12" customWidth="1"/>
    <col min="13574" max="13574" width="9" style="12" customWidth="1"/>
    <col min="13575" max="13576" width="9.77734375" style="12" customWidth="1"/>
    <col min="13577" max="13577" width="11.21875" style="12" customWidth="1"/>
    <col min="13578" max="13578" width="2.77734375" style="12" customWidth="1"/>
    <col min="13579" max="13579" width="3.5546875" style="12" customWidth="1"/>
    <col min="13580" max="13824" width="9.21875" style="12"/>
    <col min="13825" max="13825" width="8.77734375" style="12" customWidth="1"/>
    <col min="13826" max="13826" width="9.77734375" style="12" customWidth="1"/>
    <col min="13827" max="13827" width="14.44140625" style="12" customWidth="1"/>
    <col min="13828" max="13828" width="7.21875" style="12" customWidth="1"/>
    <col min="13829" max="13829" width="5.5546875" style="12" customWidth="1"/>
    <col min="13830" max="13830" width="9" style="12" customWidth="1"/>
    <col min="13831" max="13832" width="9.77734375" style="12" customWidth="1"/>
    <col min="13833" max="13833" width="11.21875" style="12" customWidth="1"/>
    <col min="13834" max="13834" width="2.77734375" style="12" customWidth="1"/>
    <col min="13835" max="13835" width="3.5546875" style="12" customWidth="1"/>
    <col min="13836" max="14080" width="9.21875" style="12"/>
    <col min="14081" max="14081" width="8.77734375" style="12" customWidth="1"/>
    <col min="14082" max="14082" width="9.77734375" style="12" customWidth="1"/>
    <col min="14083" max="14083" width="14.44140625" style="12" customWidth="1"/>
    <col min="14084" max="14084" width="7.21875" style="12" customWidth="1"/>
    <col min="14085" max="14085" width="5.5546875" style="12" customWidth="1"/>
    <col min="14086" max="14086" width="9" style="12" customWidth="1"/>
    <col min="14087" max="14088" width="9.77734375" style="12" customWidth="1"/>
    <col min="14089" max="14089" width="11.21875" style="12" customWidth="1"/>
    <col min="14090" max="14090" width="2.77734375" style="12" customWidth="1"/>
    <col min="14091" max="14091" width="3.5546875" style="12" customWidth="1"/>
    <col min="14092" max="14336" width="9.21875" style="12"/>
    <col min="14337" max="14337" width="8.77734375" style="12" customWidth="1"/>
    <col min="14338" max="14338" width="9.77734375" style="12" customWidth="1"/>
    <col min="14339" max="14339" width="14.44140625" style="12" customWidth="1"/>
    <col min="14340" max="14340" width="7.21875" style="12" customWidth="1"/>
    <col min="14341" max="14341" width="5.5546875" style="12" customWidth="1"/>
    <col min="14342" max="14342" width="9" style="12" customWidth="1"/>
    <col min="14343" max="14344" width="9.77734375" style="12" customWidth="1"/>
    <col min="14345" max="14345" width="11.21875" style="12" customWidth="1"/>
    <col min="14346" max="14346" width="2.77734375" style="12" customWidth="1"/>
    <col min="14347" max="14347" width="3.5546875" style="12" customWidth="1"/>
    <col min="14348" max="14592" width="9.21875" style="12"/>
    <col min="14593" max="14593" width="8.77734375" style="12" customWidth="1"/>
    <col min="14594" max="14594" width="9.77734375" style="12" customWidth="1"/>
    <col min="14595" max="14595" width="14.44140625" style="12" customWidth="1"/>
    <col min="14596" max="14596" width="7.21875" style="12" customWidth="1"/>
    <col min="14597" max="14597" width="5.5546875" style="12" customWidth="1"/>
    <col min="14598" max="14598" width="9" style="12" customWidth="1"/>
    <col min="14599" max="14600" width="9.77734375" style="12" customWidth="1"/>
    <col min="14601" max="14601" width="11.21875" style="12" customWidth="1"/>
    <col min="14602" max="14602" width="2.77734375" style="12" customWidth="1"/>
    <col min="14603" max="14603" width="3.5546875" style="12" customWidth="1"/>
    <col min="14604" max="14848" width="9.21875" style="12"/>
    <col min="14849" max="14849" width="8.77734375" style="12" customWidth="1"/>
    <col min="14850" max="14850" width="9.77734375" style="12" customWidth="1"/>
    <col min="14851" max="14851" width="14.44140625" style="12" customWidth="1"/>
    <col min="14852" max="14852" width="7.21875" style="12" customWidth="1"/>
    <col min="14853" max="14853" width="5.5546875" style="12" customWidth="1"/>
    <col min="14854" max="14854" width="9" style="12" customWidth="1"/>
    <col min="14855" max="14856" width="9.77734375" style="12" customWidth="1"/>
    <col min="14857" max="14857" width="11.21875" style="12" customWidth="1"/>
    <col min="14858" max="14858" width="2.77734375" style="12" customWidth="1"/>
    <col min="14859" max="14859" width="3.5546875" style="12" customWidth="1"/>
    <col min="14860" max="15104" width="9.21875" style="12"/>
    <col min="15105" max="15105" width="8.77734375" style="12" customWidth="1"/>
    <col min="15106" max="15106" width="9.77734375" style="12" customWidth="1"/>
    <col min="15107" max="15107" width="14.44140625" style="12" customWidth="1"/>
    <col min="15108" max="15108" width="7.21875" style="12" customWidth="1"/>
    <col min="15109" max="15109" width="5.5546875" style="12" customWidth="1"/>
    <col min="15110" max="15110" width="9" style="12" customWidth="1"/>
    <col min="15111" max="15112" width="9.77734375" style="12" customWidth="1"/>
    <col min="15113" max="15113" width="11.21875" style="12" customWidth="1"/>
    <col min="15114" max="15114" width="2.77734375" style="12" customWidth="1"/>
    <col min="15115" max="15115" width="3.5546875" style="12" customWidth="1"/>
    <col min="15116" max="15360" width="9.21875" style="12"/>
    <col min="15361" max="15361" width="8.77734375" style="12" customWidth="1"/>
    <col min="15362" max="15362" width="9.77734375" style="12" customWidth="1"/>
    <col min="15363" max="15363" width="14.44140625" style="12" customWidth="1"/>
    <col min="15364" max="15364" width="7.21875" style="12" customWidth="1"/>
    <col min="15365" max="15365" width="5.5546875" style="12" customWidth="1"/>
    <col min="15366" max="15366" width="9" style="12" customWidth="1"/>
    <col min="15367" max="15368" width="9.77734375" style="12" customWidth="1"/>
    <col min="15369" max="15369" width="11.21875" style="12" customWidth="1"/>
    <col min="15370" max="15370" width="2.77734375" style="12" customWidth="1"/>
    <col min="15371" max="15371" width="3.5546875" style="12" customWidth="1"/>
    <col min="15372" max="15616" width="9.21875" style="12"/>
    <col min="15617" max="15617" width="8.77734375" style="12" customWidth="1"/>
    <col min="15618" max="15618" width="9.77734375" style="12" customWidth="1"/>
    <col min="15619" max="15619" width="14.44140625" style="12" customWidth="1"/>
    <col min="15620" max="15620" width="7.21875" style="12" customWidth="1"/>
    <col min="15621" max="15621" width="5.5546875" style="12" customWidth="1"/>
    <col min="15622" max="15622" width="9" style="12" customWidth="1"/>
    <col min="15623" max="15624" width="9.77734375" style="12" customWidth="1"/>
    <col min="15625" max="15625" width="11.21875" style="12" customWidth="1"/>
    <col min="15626" max="15626" width="2.77734375" style="12" customWidth="1"/>
    <col min="15627" max="15627" width="3.5546875" style="12" customWidth="1"/>
    <col min="15628" max="15872" width="9.21875" style="12"/>
    <col min="15873" max="15873" width="8.77734375" style="12" customWidth="1"/>
    <col min="15874" max="15874" width="9.77734375" style="12" customWidth="1"/>
    <col min="15875" max="15875" width="14.44140625" style="12" customWidth="1"/>
    <col min="15876" max="15876" width="7.21875" style="12" customWidth="1"/>
    <col min="15877" max="15877" width="5.5546875" style="12" customWidth="1"/>
    <col min="15878" max="15878" width="9" style="12" customWidth="1"/>
    <col min="15879" max="15880" width="9.77734375" style="12" customWidth="1"/>
    <col min="15881" max="15881" width="11.21875" style="12" customWidth="1"/>
    <col min="15882" max="15882" width="2.77734375" style="12" customWidth="1"/>
    <col min="15883" max="15883" width="3.5546875" style="12" customWidth="1"/>
    <col min="15884" max="16128" width="9.21875" style="12"/>
    <col min="16129" max="16129" width="8.77734375" style="12" customWidth="1"/>
    <col min="16130" max="16130" width="9.77734375" style="12" customWidth="1"/>
    <col min="16131" max="16131" width="14.44140625" style="12" customWidth="1"/>
    <col min="16132" max="16132" width="7.21875" style="12" customWidth="1"/>
    <col min="16133" max="16133" width="5.5546875" style="12" customWidth="1"/>
    <col min="16134" max="16134" width="9" style="12" customWidth="1"/>
    <col min="16135" max="16136" width="9.77734375" style="12" customWidth="1"/>
    <col min="16137" max="16137" width="11.21875" style="12" customWidth="1"/>
    <col min="16138" max="16138" width="2.77734375" style="12" customWidth="1"/>
    <col min="16139" max="16139" width="3.5546875" style="12" customWidth="1"/>
    <col min="16140" max="16384" width="9.21875" style="12"/>
  </cols>
  <sheetData>
    <row r="1" spans="1:10" ht="46.5" customHeight="1" x14ac:dyDescent="0.3">
      <c r="A1" s="202" t="s">
        <v>287</v>
      </c>
      <c r="B1" s="203"/>
      <c r="C1" s="203"/>
      <c r="D1" s="203"/>
      <c r="E1" s="203"/>
      <c r="F1" s="203"/>
      <c r="G1" s="203"/>
      <c r="H1" s="203"/>
      <c r="I1" s="203"/>
      <c r="J1" s="204"/>
    </row>
    <row r="2" spans="1:10" ht="16.5" customHeight="1" x14ac:dyDescent="0.3">
      <c r="A2" s="205" t="s">
        <v>0</v>
      </c>
      <c r="B2" s="206"/>
      <c r="C2" s="206"/>
      <c r="D2" s="206"/>
      <c r="E2" s="206"/>
      <c r="F2" s="206"/>
      <c r="G2" s="206"/>
      <c r="H2" s="206"/>
      <c r="I2" s="206"/>
      <c r="J2" s="207"/>
    </row>
    <row r="3" spans="1:10" x14ac:dyDescent="0.3">
      <c r="A3" s="103" t="s">
        <v>1</v>
      </c>
      <c r="B3" s="104"/>
      <c r="C3" s="104"/>
      <c r="D3" s="104"/>
      <c r="E3" s="105"/>
      <c r="F3" s="208" t="str">
        <f ca="1">TEXT(TODAY(),"DD/MM/YYYY")</f>
        <v>14/08/2025</v>
      </c>
      <c r="G3" s="209"/>
      <c r="H3" s="209"/>
      <c r="I3" s="209"/>
      <c r="J3" s="210"/>
    </row>
    <row r="4" spans="1:10" ht="15" customHeight="1" x14ac:dyDescent="0.3">
      <c r="A4" s="103" t="s">
        <v>2</v>
      </c>
      <c r="B4" s="104"/>
      <c r="C4" s="104"/>
      <c r="D4" s="104"/>
      <c r="E4" s="105"/>
      <c r="F4" s="184" t="s">
        <v>178</v>
      </c>
      <c r="G4" s="185"/>
      <c r="H4" s="185"/>
      <c r="I4" s="185"/>
      <c r="J4" s="186"/>
    </row>
    <row r="5" spans="1:10" x14ac:dyDescent="0.3">
      <c r="A5" s="103" t="s">
        <v>3</v>
      </c>
      <c r="B5" s="104"/>
      <c r="C5" s="104"/>
      <c r="D5" s="104"/>
      <c r="E5" s="105"/>
      <c r="F5" s="199">
        <v>45881</v>
      </c>
      <c r="G5" s="200"/>
      <c r="H5" s="200"/>
      <c r="I5" s="200"/>
      <c r="J5" s="201"/>
    </row>
    <row r="6" spans="1:10" ht="16.5" customHeight="1" x14ac:dyDescent="0.3">
      <c r="A6" s="103" t="s">
        <v>4</v>
      </c>
      <c r="B6" s="104"/>
      <c r="C6" s="104"/>
      <c r="D6" s="104"/>
      <c r="E6" s="105"/>
      <c r="F6" s="179" t="s">
        <v>302</v>
      </c>
      <c r="G6" s="183"/>
      <c r="H6" s="183"/>
      <c r="I6" s="183"/>
      <c r="J6" s="180"/>
    </row>
    <row r="7" spans="1:10" ht="15" customHeight="1" x14ac:dyDescent="0.3">
      <c r="A7" s="103" t="s">
        <v>5</v>
      </c>
      <c r="B7" s="104"/>
      <c r="C7" s="104"/>
      <c r="D7" s="104"/>
      <c r="E7" s="105"/>
      <c r="F7" s="179" t="str">
        <f>F6</f>
        <v>M/s. Regency Inc</v>
      </c>
      <c r="G7" s="183"/>
      <c r="H7" s="183"/>
      <c r="I7" s="183"/>
      <c r="J7" s="180"/>
    </row>
    <row r="8" spans="1:10" x14ac:dyDescent="0.3">
      <c r="A8" s="103" t="s">
        <v>6</v>
      </c>
      <c r="B8" s="104"/>
      <c r="C8" s="104"/>
      <c r="D8" s="104"/>
      <c r="E8" s="105"/>
      <c r="F8" s="113" t="s">
        <v>261</v>
      </c>
      <c r="G8" s="114"/>
      <c r="H8" s="114"/>
      <c r="I8" s="114"/>
      <c r="J8" s="115"/>
    </row>
    <row r="9" spans="1:10" x14ac:dyDescent="0.3">
      <c r="A9" s="103" t="s">
        <v>7</v>
      </c>
      <c r="B9" s="104"/>
      <c r="C9" s="104"/>
      <c r="D9" s="104"/>
      <c r="E9" s="105"/>
      <c r="F9" s="179" t="s">
        <v>180</v>
      </c>
      <c r="G9" s="104"/>
      <c r="H9" s="104"/>
      <c r="I9" s="104"/>
      <c r="J9" s="105"/>
    </row>
    <row r="10" spans="1:10" x14ac:dyDescent="0.3">
      <c r="A10" s="103" t="s">
        <v>288</v>
      </c>
      <c r="B10" s="104"/>
      <c r="C10" s="104"/>
      <c r="D10" s="104"/>
      <c r="E10" s="105"/>
      <c r="F10" s="179" t="s">
        <v>289</v>
      </c>
      <c r="G10" s="104"/>
      <c r="H10" s="104"/>
      <c r="I10" s="104"/>
      <c r="J10" s="105"/>
    </row>
    <row r="11" spans="1:10" ht="48" customHeight="1" x14ac:dyDescent="0.3">
      <c r="A11" s="103" t="s">
        <v>8</v>
      </c>
      <c r="B11" s="104"/>
      <c r="C11" s="104"/>
      <c r="D11" s="104"/>
      <c r="E11" s="105"/>
      <c r="F11" s="123" t="s">
        <v>246</v>
      </c>
      <c r="G11" s="111"/>
      <c r="H11" s="111"/>
      <c r="I11" s="111"/>
      <c r="J11" s="112"/>
    </row>
    <row r="12" spans="1:10" ht="16.5" customHeight="1" x14ac:dyDescent="0.3">
      <c r="A12" s="103" t="s">
        <v>9</v>
      </c>
      <c r="B12" s="104"/>
      <c r="C12" s="104"/>
      <c r="D12" s="104"/>
      <c r="E12" s="105"/>
      <c r="F12" s="123" t="s">
        <v>10</v>
      </c>
      <c r="G12" s="124"/>
      <c r="H12" s="124"/>
      <c r="I12" s="124"/>
      <c r="J12" s="125"/>
    </row>
    <row r="13" spans="1:10" ht="51" customHeight="1" x14ac:dyDescent="0.3">
      <c r="A13" s="103" t="s">
        <v>11</v>
      </c>
      <c r="B13" s="104"/>
      <c r="C13" s="104"/>
      <c r="D13" s="104"/>
      <c r="E13" s="105"/>
      <c r="F13" s="179" t="s">
        <v>247</v>
      </c>
      <c r="G13" s="104"/>
      <c r="H13" s="104"/>
      <c r="I13" s="104"/>
      <c r="J13" s="105"/>
    </row>
    <row r="14" spans="1:10" ht="31.5" customHeight="1" x14ac:dyDescent="0.3">
      <c r="A14" s="188" t="s">
        <v>12</v>
      </c>
      <c r="B14" s="188"/>
      <c r="C14" s="179" t="str">
        <f>CONCATENATE((IF(OR(F8="",F8="NA"),"",F8)),", ",(IF(OR(A15="",A15="NA"),"",A15)),".",(IF(OR(C15="",C15="NA"),"",C15)),", ",(IF(OR(F15="",F15="NA"),"",F15)),".",(IF(OR(H15="",H15="NA"),"",H15)),", ",(IF(OR(C16="",C16="NA"),"",C16)),", ",(IF(OR(H16="",H16="NA"),"",H16)),", ",(IF(OR(C17="",C17="NA"),"",C17)),", ",(IF(OR(C18="",C18="NA"),"",C18)),", ",(IF(OR(H17="",H17="NA"),"",H17)),".")</f>
        <v>Regency Palms Phase I,  II &amp; IV, Plot No.R/3A, Sector.14, Shankarnarayan Marg, Nerul, Navi Mumbai, Thane, Thane.</v>
      </c>
      <c r="D14" s="183"/>
      <c r="E14" s="183"/>
      <c r="F14" s="183"/>
      <c r="G14" s="183"/>
      <c r="H14" s="183"/>
      <c r="I14" s="183"/>
      <c r="J14" s="180"/>
    </row>
    <row r="15" spans="1:10" ht="15.75" customHeight="1" x14ac:dyDescent="0.3">
      <c r="A15" s="179" t="s">
        <v>181</v>
      </c>
      <c r="B15" s="180"/>
      <c r="C15" s="179" t="s">
        <v>182</v>
      </c>
      <c r="D15" s="183"/>
      <c r="E15" s="183"/>
      <c r="F15" s="181" t="s">
        <v>183</v>
      </c>
      <c r="G15" s="182"/>
      <c r="H15" s="179">
        <v>14</v>
      </c>
      <c r="I15" s="183"/>
      <c r="J15" s="180"/>
    </row>
    <row r="16" spans="1:10" ht="15.75" customHeight="1" x14ac:dyDescent="0.3">
      <c r="A16" s="179" t="s">
        <v>13</v>
      </c>
      <c r="B16" s="180"/>
      <c r="C16" s="163" t="s">
        <v>188</v>
      </c>
      <c r="D16" s="163"/>
      <c r="E16" s="163"/>
      <c r="F16" s="181" t="s">
        <v>140</v>
      </c>
      <c r="G16" s="182"/>
      <c r="H16" s="179" t="s">
        <v>184</v>
      </c>
      <c r="I16" s="183"/>
      <c r="J16" s="180"/>
    </row>
    <row r="17" spans="1:10" x14ac:dyDescent="0.3">
      <c r="A17" s="163" t="s">
        <v>15</v>
      </c>
      <c r="B17" s="163"/>
      <c r="C17" s="163" t="s">
        <v>185</v>
      </c>
      <c r="D17" s="163"/>
      <c r="E17" s="163"/>
      <c r="F17" s="181" t="s">
        <v>14</v>
      </c>
      <c r="G17" s="182"/>
      <c r="H17" s="211" t="s">
        <v>245</v>
      </c>
      <c r="I17" s="211"/>
      <c r="J17" s="211"/>
    </row>
    <row r="18" spans="1:10" x14ac:dyDescent="0.3">
      <c r="A18" s="163" t="s">
        <v>141</v>
      </c>
      <c r="B18" s="163"/>
      <c r="C18" s="179" t="s">
        <v>245</v>
      </c>
      <c r="D18" s="183"/>
      <c r="E18" s="180"/>
      <c r="F18" s="181" t="s">
        <v>16</v>
      </c>
      <c r="G18" s="182"/>
      <c r="H18" s="179">
        <v>400706</v>
      </c>
      <c r="I18" s="183"/>
      <c r="J18" s="180"/>
    </row>
    <row r="19" spans="1:10" ht="32.25" customHeight="1" x14ac:dyDescent="0.3">
      <c r="A19" s="163" t="s">
        <v>17</v>
      </c>
      <c r="B19" s="163"/>
      <c r="C19" s="187" t="s">
        <v>200</v>
      </c>
      <c r="D19" s="187"/>
      <c r="E19" s="187"/>
      <c r="F19" s="188" t="s">
        <v>18</v>
      </c>
      <c r="G19" s="188"/>
      <c r="H19" s="124" t="s">
        <v>186</v>
      </c>
      <c r="I19" s="124"/>
      <c r="J19" s="125"/>
    </row>
    <row r="20" spans="1:10" ht="15" customHeight="1" x14ac:dyDescent="0.3">
      <c r="A20" s="181" t="s">
        <v>153</v>
      </c>
      <c r="B20" s="189"/>
      <c r="C20" s="189"/>
      <c r="D20" s="189"/>
      <c r="E20" s="182"/>
      <c r="F20" s="193" t="s">
        <v>19</v>
      </c>
      <c r="G20" s="194"/>
      <c r="H20" s="194"/>
      <c r="I20" s="194"/>
      <c r="J20" s="195"/>
    </row>
    <row r="21" spans="1:10" ht="18.75" customHeight="1" x14ac:dyDescent="0.3">
      <c r="A21" s="190"/>
      <c r="B21" s="191"/>
      <c r="C21" s="191"/>
      <c r="D21" s="191"/>
      <c r="E21" s="192"/>
      <c r="F21" s="196"/>
      <c r="G21" s="197"/>
      <c r="H21" s="197"/>
      <c r="I21" s="197"/>
      <c r="J21" s="198"/>
    </row>
    <row r="22" spans="1:10" ht="15" customHeight="1" x14ac:dyDescent="0.3">
      <c r="A22" s="181" t="s">
        <v>20</v>
      </c>
      <c r="B22" s="189"/>
      <c r="C22" s="189"/>
      <c r="D22" s="189"/>
      <c r="E22" s="182"/>
      <c r="F22" s="181" t="s">
        <v>21</v>
      </c>
      <c r="G22" s="189"/>
      <c r="H22" s="189"/>
      <c r="I22" s="189"/>
      <c r="J22" s="182"/>
    </row>
    <row r="23" spans="1:10" x14ac:dyDescent="0.3">
      <c r="A23" s="190"/>
      <c r="B23" s="191"/>
      <c r="C23" s="191"/>
      <c r="D23" s="191"/>
      <c r="E23" s="192"/>
      <c r="F23" s="190"/>
      <c r="G23" s="191"/>
      <c r="H23" s="191"/>
      <c r="I23" s="191"/>
      <c r="J23" s="192"/>
    </row>
    <row r="24" spans="1:10" ht="15" customHeight="1" x14ac:dyDescent="0.3">
      <c r="A24" s="103" t="s">
        <v>22</v>
      </c>
      <c r="B24" s="104"/>
      <c r="C24" s="104"/>
      <c r="D24" s="104"/>
      <c r="E24" s="105"/>
      <c r="F24" s="184" t="s">
        <v>23</v>
      </c>
      <c r="G24" s="185"/>
      <c r="H24" s="185"/>
      <c r="I24" s="185"/>
      <c r="J24" s="186"/>
    </row>
    <row r="25" spans="1:10" x14ac:dyDescent="0.3">
      <c r="A25" s="103" t="s">
        <v>24</v>
      </c>
      <c r="B25" s="104"/>
      <c r="C25" s="104"/>
      <c r="D25" s="104"/>
      <c r="E25" s="105"/>
      <c r="F25" s="184" t="s">
        <v>25</v>
      </c>
      <c r="G25" s="185"/>
      <c r="H25" s="185"/>
      <c r="I25" s="185"/>
      <c r="J25" s="186"/>
    </row>
    <row r="26" spans="1:10" ht="15" customHeight="1" x14ac:dyDescent="0.3">
      <c r="A26" s="103" t="s">
        <v>26</v>
      </c>
      <c r="B26" s="104"/>
      <c r="C26" s="104"/>
      <c r="D26" s="104"/>
      <c r="E26" s="105"/>
      <c r="F26" s="184" t="s">
        <v>27</v>
      </c>
      <c r="G26" s="185"/>
      <c r="H26" s="185"/>
      <c r="I26" s="185"/>
      <c r="J26" s="186"/>
    </row>
    <row r="27" spans="1:10" x14ac:dyDescent="0.3">
      <c r="A27" s="103" t="s">
        <v>28</v>
      </c>
      <c r="B27" s="104"/>
      <c r="C27" s="104"/>
      <c r="D27" s="104"/>
      <c r="E27" s="105"/>
      <c r="F27" s="184" t="s">
        <v>29</v>
      </c>
      <c r="G27" s="185"/>
      <c r="H27" s="185"/>
      <c r="I27" s="185"/>
      <c r="J27" s="186"/>
    </row>
    <row r="28" spans="1:10" x14ac:dyDescent="0.3">
      <c r="A28" s="212" t="s">
        <v>30</v>
      </c>
      <c r="B28" s="213"/>
      <c r="C28" s="212" t="s">
        <v>31</v>
      </c>
      <c r="D28" s="213"/>
      <c r="E28" s="212" t="s">
        <v>32</v>
      </c>
      <c r="F28" s="213"/>
      <c r="G28" s="212" t="s">
        <v>34</v>
      </c>
      <c r="H28" s="213"/>
      <c r="I28" s="212" t="s">
        <v>33</v>
      </c>
      <c r="J28" s="213"/>
    </row>
    <row r="29" spans="1:10" x14ac:dyDescent="0.3">
      <c r="A29" s="214" t="s">
        <v>35</v>
      </c>
      <c r="B29" s="215"/>
      <c r="C29" s="214" t="s">
        <v>36</v>
      </c>
      <c r="D29" s="215"/>
      <c r="E29" s="214" t="s">
        <v>36</v>
      </c>
      <c r="F29" s="215"/>
      <c r="G29" s="214" t="s">
        <v>36</v>
      </c>
      <c r="H29" s="215"/>
      <c r="I29" s="214" t="s">
        <v>36</v>
      </c>
      <c r="J29" s="215"/>
    </row>
    <row r="30" spans="1:10" x14ac:dyDescent="0.3">
      <c r="A30" s="214" t="s">
        <v>37</v>
      </c>
      <c r="B30" s="215"/>
      <c r="C30" s="214" t="s">
        <v>189</v>
      </c>
      <c r="D30" s="215"/>
      <c r="E30" s="214" t="s">
        <v>13</v>
      </c>
      <c r="F30" s="215"/>
      <c r="G30" s="214" t="s">
        <v>13</v>
      </c>
      <c r="H30" s="215"/>
      <c r="I30" s="214" t="s">
        <v>187</v>
      </c>
      <c r="J30" s="215"/>
    </row>
    <row r="31" spans="1:10" x14ac:dyDescent="0.3">
      <c r="A31" s="103" t="s">
        <v>38</v>
      </c>
      <c r="B31" s="104"/>
      <c r="C31" s="104"/>
      <c r="D31" s="104"/>
      <c r="E31" s="104"/>
      <c r="F31" s="104"/>
      <c r="G31" s="104"/>
      <c r="H31" s="104"/>
      <c r="I31" s="104"/>
      <c r="J31" s="105"/>
    </row>
    <row r="32" spans="1:10" x14ac:dyDescent="0.3">
      <c r="A32" s="163" t="s">
        <v>39</v>
      </c>
      <c r="B32" s="163"/>
      <c r="C32" s="163"/>
      <c r="D32" s="163"/>
      <c r="E32" s="163"/>
      <c r="F32" s="163"/>
      <c r="G32" s="163"/>
      <c r="H32" s="163"/>
      <c r="I32" s="163"/>
      <c r="J32" s="163"/>
    </row>
    <row r="33" spans="1:10" x14ac:dyDescent="0.3">
      <c r="A33" s="163" t="s">
        <v>40</v>
      </c>
      <c r="B33" s="163"/>
      <c r="C33" s="232" t="s">
        <v>244</v>
      </c>
      <c r="D33" s="232"/>
      <c r="E33" s="232"/>
      <c r="F33" s="232"/>
      <c r="G33" s="232"/>
      <c r="H33" s="232"/>
      <c r="I33" s="232"/>
      <c r="J33" s="232"/>
    </row>
    <row r="34" spans="1:10" x14ac:dyDescent="0.3">
      <c r="A34" s="163" t="s">
        <v>243</v>
      </c>
      <c r="B34" s="163"/>
      <c r="C34" s="233" t="s">
        <v>242</v>
      </c>
      <c r="D34" s="233"/>
      <c r="E34" s="233"/>
      <c r="F34" s="233"/>
      <c r="G34" s="233"/>
      <c r="H34" s="233"/>
      <c r="I34" s="233"/>
      <c r="J34" s="233"/>
    </row>
    <row r="35" spans="1:10" x14ac:dyDescent="0.3">
      <c r="A35" s="217" t="s">
        <v>41</v>
      </c>
      <c r="B35" s="217"/>
      <c r="C35" s="217"/>
      <c r="D35" s="217"/>
      <c r="E35" s="217"/>
      <c r="F35" s="217"/>
      <c r="G35" s="217"/>
      <c r="H35" s="217"/>
      <c r="I35" s="217"/>
      <c r="J35" s="217"/>
    </row>
    <row r="36" spans="1:10" ht="15" customHeight="1" x14ac:dyDescent="0.3">
      <c r="A36" s="188" t="s">
        <v>42</v>
      </c>
      <c r="B36" s="188"/>
      <c r="C36" s="188"/>
      <c r="D36" s="188"/>
      <c r="E36" s="188"/>
      <c r="F36" s="216" t="s">
        <v>202</v>
      </c>
      <c r="G36" s="216"/>
      <c r="H36" s="216"/>
      <c r="I36" s="216"/>
      <c r="J36" s="216"/>
    </row>
    <row r="37" spans="1:10" ht="15" customHeight="1" x14ac:dyDescent="0.3">
      <c r="A37" s="188" t="s">
        <v>43</v>
      </c>
      <c r="B37" s="188"/>
      <c r="C37" s="188"/>
      <c r="D37" s="188"/>
      <c r="E37" s="188"/>
      <c r="F37" s="188" t="s">
        <v>44</v>
      </c>
      <c r="G37" s="188"/>
      <c r="H37" s="188"/>
      <c r="I37" s="188"/>
      <c r="J37" s="188"/>
    </row>
    <row r="38" spans="1:10" x14ac:dyDescent="0.3">
      <c r="A38" s="217" t="s">
        <v>45</v>
      </c>
      <c r="B38" s="217"/>
      <c r="C38" s="217"/>
      <c r="D38" s="217"/>
      <c r="E38" s="217"/>
      <c r="F38" s="217"/>
      <c r="G38" s="217"/>
      <c r="H38" s="217"/>
      <c r="I38" s="217"/>
      <c r="J38" s="217"/>
    </row>
    <row r="39" spans="1:10" x14ac:dyDescent="0.3">
      <c r="A39" s="163" t="s">
        <v>46</v>
      </c>
      <c r="B39" s="163"/>
      <c r="C39" s="163"/>
      <c r="D39" s="163"/>
      <c r="E39" s="163"/>
      <c r="F39" s="218">
        <v>16776.900000000001</v>
      </c>
      <c r="G39" s="218"/>
      <c r="H39" s="218"/>
      <c r="I39" s="218"/>
      <c r="J39" s="218"/>
    </row>
    <row r="40" spans="1:10" x14ac:dyDescent="0.3">
      <c r="A40" s="163" t="s">
        <v>47</v>
      </c>
      <c r="B40" s="163"/>
      <c r="C40" s="163"/>
      <c r="D40" s="163"/>
      <c r="E40" s="163"/>
      <c r="F40" s="164">
        <v>1.5</v>
      </c>
      <c r="G40" s="164"/>
      <c r="H40" s="164"/>
      <c r="I40" s="164"/>
      <c r="J40" s="164"/>
    </row>
    <row r="41" spans="1:10" x14ac:dyDescent="0.3">
      <c r="A41" s="163" t="s">
        <v>48</v>
      </c>
      <c r="B41" s="163"/>
      <c r="C41" s="163"/>
      <c r="D41" s="163"/>
      <c r="E41" s="163"/>
      <c r="F41" s="164">
        <v>0</v>
      </c>
      <c r="G41" s="164"/>
      <c r="H41" s="164"/>
      <c r="I41" s="164"/>
      <c r="J41" s="164"/>
    </row>
    <row r="42" spans="1:10" x14ac:dyDescent="0.3">
      <c r="A42" s="163" t="s">
        <v>49</v>
      </c>
      <c r="B42" s="163"/>
      <c r="C42" s="163"/>
      <c r="D42" s="163"/>
      <c r="E42" s="163"/>
      <c r="F42" s="164">
        <f>F40+F41</f>
        <v>1.5</v>
      </c>
      <c r="G42" s="164"/>
      <c r="H42" s="164"/>
      <c r="I42" s="164"/>
      <c r="J42" s="164"/>
    </row>
    <row r="43" spans="1:10" x14ac:dyDescent="0.3">
      <c r="A43" s="103" t="s">
        <v>50</v>
      </c>
      <c r="B43" s="104"/>
      <c r="C43" s="104"/>
      <c r="D43" s="104"/>
      <c r="E43" s="105"/>
      <c r="F43" s="165">
        <v>46157.716999999997</v>
      </c>
      <c r="G43" s="166"/>
      <c r="H43" s="166"/>
      <c r="I43" s="166"/>
      <c r="J43" s="167"/>
    </row>
    <row r="44" spans="1:10" x14ac:dyDescent="0.3">
      <c r="A44" s="103" t="s">
        <v>51</v>
      </c>
      <c r="B44" s="104"/>
      <c r="C44" s="104"/>
      <c r="D44" s="104"/>
      <c r="E44" s="105"/>
      <c r="F44" s="110" t="s">
        <v>282</v>
      </c>
      <c r="G44" s="111"/>
      <c r="H44" s="111"/>
      <c r="I44" s="111"/>
      <c r="J44" s="112"/>
    </row>
    <row r="45" spans="1:10" x14ac:dyDescent="0.3">
      <c r="A45" s="113" t="s">
        <v>52</v>
      </c>
      <c r="B45" s="114"/>
      <c r="C45" s="114"/>
      <c r="D45" s="114"/>
      <c r="E45" s="114"/>
      <c r="F45" s="114"/>
      <c r="G45" s="114"/>
      <c r="H45" s="114"/>
      <c r="I45" s="114"/>
      <c r="J45" s="115"/>
    </row>
    <row r="46" spans="1:10" x14ac:dyDescent="0.3">
      <c r="A46" s="179" t="s">
        <v>53</v>
      </c>
      <c r="B46" s="180"/>
      <c r="C46" s="246" t="s">
        <v>248</v>
      </c>
      <c r="D46" s="247"/>
      <c r="E46" s="247"/>
      <c r="F46" s="248"/>
      <c r="G46" s="19" t="s">
        <v>54</v>
      </c>
      <c r="H46" s="243">
        <v>44683</v>
      </c>
      <c r="I46" s="183"/>
      <c r="J46" s="180"/>
    </row>
    <row r="47" spans="1:10" ht="31.5" customHeight="1" x14ac:dyDescent="0.3">
      <c r="A47" s="179" t="s">
        <v>55</v>
      </c>
      <c r="B47" s="180"/>
      <c r="C47" s="246" t="str">
        <f>C46</f>
        <v>NRV/A-1349</v>
      </c>
      <c r="D47" s="247"/>
      <c r="E47" s="247"/>
      <c r="F47" s="248"/>
      <c r="G47" s="19" t="s">
        <v>54</v>
      </c>
      <c r="H47" s="243">
        <f>H46</f>
        <v>44683</v>
      </c>
      <c r="I47" s="244"/>
      <c r="J47" s="245"/>
    </row>
    <row r="48" spans="1:10" ht="80.55" customHeight="1" x14ac:dyDescent="0.3">
      <c r="A48" s="179" t="s">
        <v>56</v>
      </c>
      <c r="B48" s="180"/>
      <c r="C48" s="246" t="s">
        <v>249</v>
      </c>
      <c r="D48" s="127"/>
      <c r="E48" s="127"/>
      <c r="F48" s="128"/>
      <c r="G48" s="13" t="s">
        <v>54</v>
      </c>
      <c r="H48" s="126">
        <v>44683</v>
      </c>
      <c r="I48" s="127"/>
      <c r="J48" s="128"/>
    </row>
    <row r="49" spans="1:13" ht="48" customHeight="1" x14ac:dyDescent="0.3">
      <c r="A49" s="237" t="s">
        <v>57</v>
      </c>
      <c r="B49" s="236"/>
      <c r="C49" s="238" t="s">
        <v>297</v>
      </c>
      <c r="D49" s="239"/>
      <c r="E49" s="239"/>
      <c r="F49" s="240" t="s">
        <v>58</v>
      </c>
      <c r="G49" s="73" t="s">
        <v>54</v>
      </c>
      <c r="H49" s="234">
        <v>45708</v>
      </c>
      <c r="I49" s="235" t="s">
        <v>36</v>
      </c>
      <c r="J49" s="236"/>
      <c r="M49" s="12" t="s">
        <v>292</v>
      </c>
    </row>
    <row r="50" spans="1:13" ht="48" customHeight="1" x14ac:dyDescent="0.3">
      <c r="A50" s="163" t="s">
        <v>59</v>
      </c>
      <c r="B50" s="163"/>
      <c r="C50" s="163"/>
      <c r="D50" s="241">
        <f>H48</f>
        <v>44683</v>
      </c>
      <c r="E50" s="241"/>
      <c r="F50" s="103" t="s">
        <v>60</v>
      </c>
      <c r="G50" s="242"/>
      <c r="H50" s="123" t="s">
        <v>291</v>
      </c>
      <c r="I50" s="111"/>
      <c r="J50" s="112"/>
    </row>
    <row r="51" spans="1:13" x14ac:dyDescent="0.3">
      <c r="A51" s="116" t="s">
        <v>61</v>
      </c>
      <c r="B51" s="117"/>
      <c r="C51" s="117"/>
      <c r="D51" s="117"/>
      <c r="E51" s="117"/>
      <c r="F51" s="117"/>
      <c r="G51" s="117"/>
      <c r="H51" s="117"/>
      <c r="I51" s="117"/>
      <c r="J51" s="118"/>
    </row>
    <row r="52" spans="1:13" s="36" customFormat="1" ht="33" customHeight="1" x14ac:dyDescent="0.3">
      <c r="A52" s="110" t="s">
        <v>62</v>
      </c>
      <c r="B52" s="111"/>
      <c r="C52" s="112"/>
      <c r="D52" s="119">
        <f>F43</f>
        <v>46157.716999999997</v>
      </c>
      <c r="E52" s="120"/>
      <c r="F52" s="121" t="s">
        <v>63</v>
      </c>
      <c r="G52" s="122"/>
      <c r="H52" s="123" t="s">
        <v>281</v>
      </c>
      <c r="I52" s="124"/>
      <c r="J52" s="125"/>
    </row>
    <row r="53" spans="1:13" ht="32.549999999999997" customHeight="1" x14ac:dyDescent="0.3">
      <c r="A53" s="110" t="s">
        <v>64</v>
      </c>
      <c r="B53" s="111"/>
      <c r="C53" s="123" t="s">
        <v>298</v>
      </c>
      <c r="D53" s="111"/>
      <c r="E53" s="111"/>
      <c r="F53" s="111"/>
      <c r="G53" s="111"/>
      <c r="H53" s="111"/>
      <c r="I53" s="111"/>
      <c r="J53" s="112"/>
      <c r="L53" s="12" t="s">
        <v>301</v>
      </c>
    </row>
    <row r="54" spans="1:13" ht="33" customHeight="1" x14ac:dyDescent="0.3">
      <c r="A54" s="110" t="s">
        <v>205</v>
      </c>
      <c r="B54" s="111"/>
      <c r="C54" s="123" t="s">
        <v>298</v>
      </c>
      <c r="D54" s="111"/>
      <c r="E54" s="111"/>
      <c r="F54" s="111"/>
      <c r="G54" s="111"/>
      <c r="H54" s="111"/>
      <c r="I54" s="111"/>
      <c r="J54" s="112"/>
    </row>
    <row r="55" spans="1:13" ht="15.75" customHeight="1" x14ac:dyDescent="0.3">
      <c r="A55" s="103" t="s">
        <v>65</v>
      </c>
      <c r="B55" s="104"/>
      <c r="C55" s="104"/>
      <c r="D55" s="179" t="s">
        <v>66</v>
      </c>
      <c r="E55" s="183"/>
      <c r="F55" s="183"/>
      <c r="G55" s="183"/>
      <c r="H55" s="183"/>
      <c r="I55" s="183"/>
      <c r="J55" s="180"/>
    </row>
    <row r="56" spans="1:13" ht="16.2" thickBot="1" x14ac:dyDescent="0.35">
      <c r="A56" s="173" t="s">
        <v>203</v>
      </c>
      <c r="B56" s="174"/>
      <c r="C56" s="174"/>
      <c r="D56" s="174"/>
      <c r="E56" s="174"/>
      <c r="F56" s="174"/>
      <c r="G56" s="174"/>
      <c r="H56" s="174"/>
      <c r="I56" s="174"/>
      <c r="J56" s="175"/>
    </row>
    <row r="57" spans="1:13" customFormat="1" ht="15.75" customHeight="1" x14ac:dyDescent="0.3">
      <c r="A57" s="96" t="s">
        <v>217</v>
      </c>
      <c r="B57" s="96"/>
      <c r="C57" s="83" t="s">
        <v>299</v>
      </c>
      <c r="D57" s="83"/>
      <c r="E57" s="83"/>
      <c r="F57" s="83"/>
      <c r="G57" s="83"/>
      <c r="H57" s="83"/>
      <c r="I57" s="83"/>
      <c r="J57" s="83"/>
      <c r="K57" s="49" t="str">
        <f ca="1">(IF(C61=0,"Work not yet Started.",IF(D61=25%,"Piling work in process",IF(D61=50%,"Excavation work in process",IF(D61=100%,"Excavation work completed, ","0")))&amp;(IF(C62=0%,"",IF(C62=M63,"Footing work is process",IF(C62=M64,"Footing work Completed",IF(C62=M65,"1st Basement Completed",IF(C62=M66,"1st &amp; 2nd Basement Completed",IF(C62=M67,"1st to 3rd Basement Completed",IF(C62=M68,"1st to 4th Basement Completed",IF(C62=M69,"Plinth work is process",IF(C62=M70,"Plinth work completed","0")))))))))))&amp;(IF(C63&gt;0,", RCC upto "&amp;C63&amp;" Slab completed",""))&amp;(IF(C64&gt;0,", Brickwork upto "&amp;C64&amp;" Floor completed"," "))&amp;(IF(C65&gt;0,", Internal Plaster upto "&amp;C65&amp;" Floor completed"," "))&amp;(IF(C66&gt;0,", External Plaster upto "&amp;C66&amp;" Floor completed"," "))&amp;(IF(C67&gt;0,", Flooring upto "&amp;C67&amp;" Floor completed"," "))&amp;(IF(C68&gt;0,", Painting upto "&amp;C68&amp;" Floor completed"," "))&amp;(IF(C69&gt;0,", Finishing upto "&amp;C69&amp;" Floor completed"," ")))</f>
        <v>Excavation work completed, Plinth work completed, RCC upto 32 Slab completed, Brickwork upto 29 Floor completed, Internal Plaster upto 29 Floor completed, External Plaster upto 29 Floor completed, Flooring upto 29 Floor completed, Painting upto 29 Floor completed, Finishing upto 29 Floor completed</v>
      </c>
      <c r="L57" s="49"/>
      <c r="M57" s="50"/>
    </row>
    <row r="58" spans="1:13" customFormat="1" x14ac:dyDescent="0.3">
      <c r="A58" s="68" t="s">
        <v>136</v>
      </c>
      <c r="B58" s="68">
        <v>0</v>
      </c>
      <c r="C58" s="68" t="s">
        <v>138</v>
      </c>
      <c r="D58" s="68">
        <v>1</v>
      </c>
      <c r="E58" s="68" t="s">
        <v>137</v>
      </c>
      <c r="F58" s="80">
        <v>2</v>
      </c>
      <c r="G58" s="80"/>
      <c r="H58" s="68" t="s">
        <v>218</v>
      </c>
      <c r="I58" s="80">
        <f ca="1">--TRIM(RIGHT(SUBSTITUTE(LEFT(C57,_xlfn.AGGREGATE(16,6,FIND({0,1,2,3,4,5,6,7,8,9},C57,ROW(INDIRECT("1:"&amp;LEN(C57)))),1))," ",REPT(" ",LEN(C57))),LEN(C57)))</f>
        <v>29</v>
      </c>
      <c r="J58" s="80"/>
      <c r="K58" s="52" t="s">
        <v>219</v>
      </c>
      <c r="L58" s="52"/>
      <c r="M58" s="53"/>
    </row>
    <row r="59" spans="1:13" customFormat="1" x14ac:dyDescent="0.3">
      <c r="A59" s="82" t="s">
        <v>220</v>
      </c>
      <c r="B59" s="82"/>
      <c r="C59" s="83" t="str">
        <f>K58</f>
        <v>All work Completed. Provide OC.</v>
      </c>
      <c r="D59" s="83"/>
      <c r="E59" s="83"/>
      <c r="F59" s="83"/>
      <c r="G59" s="83"/>
      <c r="H59" s="83"/>
      <c r="I59" s="83"/>
      <c r="J59" s="83"/>
      <c r="K59" s="52" t="s">
        <v>221</v>
      </c>
      <c r="L59" s="52"/>
      <c r="M59" s="53"/>
    </row>
    <row r="60" spans="1:13" customFormat="1" x14ac:dyDescent="0.3">
      <c r="A60" s="79" t="s">
        <v>67</v>
      </c>
      <c r="B60" s="79"/>
      <c r="C60" s="72" t="s">
        <v>222</v>
      </c>
      <c r="D60" s="79" t="s">
        <v>223</v>
      </c>
      <c r="E60" s="79"/>
      <c r="F60" s="79" t="s">
        <v>224</v>
      </c>
      <c r="G60" s="79"/>
      <c r="H60" s="79" t="s">
        <v>225</v>
      </c>
      <c r="I60" s="79"/>
      <c r="J60" s="79"/>
      <c r="K60" s="54" t="s">
        <v>226</v>
      </c>
      <c r="L60" s="12"/>
      <c r="M60" s="55">
        <f ca="1">I58*25%</f>
        <v>7.25</v>
      </c>
    </row>
    <row r="61" spans="1:13" customFormat="1" x14ac:dyDescent="0.3">
      <c r="A61" s="79" t="s">
        <v>227</v>
      </c>
      <c r="B61" s="79"/>
      <c r="C61" s="66">
        <f ca="1">M62</f>
        <v>29</v>
      </c>
      <c r="D61" s="74">
        <f ca="1">((100/I58)*C61)/100</f>
        <v>1</v>
      </c>
      <c r="E61" s="74"/>
      <c r="F61" s="74" t="str">
        <f>(IF(C59=K58,"100%",IF(C59=K59,"100%",(((C62/I58*10)+(40/(D58+F58+I58)*C63)+(7.5/(I58)*C64)+(7.5/(I58)*C65)+(10/I58*C66)+(10/I58*C67)+(5/I58*C68)+(5/I58*C69)+(5/I58*C70))/100))))</f>
        <v>100%</v>
      </c>
      <c r="G61" s="74"/>
      <c r="H61" s="74">
        <f ca="1">((((C61/I58)*20)+((C62/I58)*25)+(30/(I58+F58+D58)*C63)+(5/I58*C64)+(5/I58*C65)+(5/I58*C66)+(5/I58*C67)+(0/I58*C68)+(0/I58*C69)+(5/I58*C70))/100)</f>
        <v>1</v>
      </c>
      <c r="I61" s="74"/>
      <c r="J61" s="74"/>
      <c r="K61" s="54" t="s">
        <v>144</v>
      </c>
      <c r="L61" s="56"/>
      <c r="M61" s="57">
        <f ca="1">I58*50%</f>
        <v>14.5</v>
      </c>
    </row>
    <row r="62" spans="1:13" customFormat="1" x14ac:dyDescent="0.3">
      <c r="A62" s="79" t="s">
        <v>68</v>
      </c>
      <c r="B62" s="79"/>
      <c r="C62" s="67">
        <f ca="1">M70</f>
        <v>29</v>
      </c>
      <c r="D62" s="74">
        <f ca="1">((100/I58)*C62)/100</f>
        <v>1</v>
      </c>
      <c r="E62" s="74"/>
      <c r="F62" s="74"/>
      <c r="G62" s="74"/>
      <c r="H62" s="74"/>
      <c r="I62" s="74"/>
      <c r="J62" s="74"/>
      <c r="K62" s="54" t="s">
        <v>145</v>
      </c>
      <c r="L62" s="56"/>
      <c r="M62" s="57">
        <f ca="1">I58</f>
        <v>29</v>
      </c>
    </row>
    <row r="63" spans="1:13" customFormat="1" x14ac:dyDescent="0.3">
      <c r="A63" s="79" t="s">
        <v>228</v>
      </c>
      <c r="B63" s="79"/>
      <c r="C63" s="67">
        <f>F58+30</f>
        <v>32</v>
      </c>
      <c r="D63" s="74">
        <f ca="1">((100/(D58+F58+I58))*C63)/100</f>
        <v>1</v>
      </c>
      <c r="E63" s="74"/>
      <c r="F63" s="74"/>
      <c r="G63" s="74"/>
      <c r="H63" s="74"/>
      <c r="I63" s="74"/>
      <c r="J63" s="74"/>
      <c r="K63" s="54" t="s">
        <v>146</v>
      </c>
      <c r="L63" s="56"/>
      <c r="M63" s="58">
        <f ca="1">(IF(B58=0,I58/4,(I58/(B58+4))))</f>
        <v>7.25</v>
      </c>
    </row>
    <row r="64" spans="1:13" customFormat="1" x14ac:dyDescent="0.3">
      <c r="A64" s="79" t="s">
        <v>229</v>
      </c>
      <c r="B64" s="79" t="s">
        <v>230</v>
      </c>
      <c r="C64" s="67">
        <f>C63-D58-F58</f>
        <v>29</v>
      </c>
      <c r="D64" s="74">
        <f ca="1">((100/I58)*C64)/100</f>
        <v>1</v>
      </c>
      <c r="E64" s="74"/>
      <c r="F64" s="74"/>
      <c r="G64" s="74"/>
      <c r="H64" s="74"/>
      <c r="I64" s="74"/>
      <c r="J64" s="74"/>
      <c r="K64" s="54" t="s">
        <v>147</v>
      </c>
      <c r="L64" s="56"/>
      <c r="M64" s="58">
        <f ca="1">(IF(B58=0,I58/4+M63,(I58/(B58+4)+M63)))</f>
        <v>14.5</v>
      </c>
    </row>
    <row r="65" spans="1:13" customFormat="1" x14ac:dyDescent="0.3">
      <c r="A65" s="79" t="s">
        <v>231</v>
      </c>
      <c r="B65" s="79" t="s">
        <v>230</v>
      </c>
      <c r="C65" s="67">
        <v>29</v>
      </c>
      <c r="D65" s="74">
        <f ca="1">((100/I58)*C65)/100</f>
        <v>1</v>
      </c>
      <c r="E65" s="74"/>
      <c r="F65" s="74"/>
      <c r="G65" s="74"/>
      <c r="H65" s="74"/>
      <c r="I65" s="74"/>
      <c r="J65" s="74"/>
      <c r="K65" s="54" t="s">
        <v>232</v>
      </c>
      <c r="L65" s="59"/>
      <c r="M65" s="58">
        <f>(IF(B58=0,0,(I58/(B58+4)+M64)))</f>
        <v>0</v>
      </c>
    </row>
    <row r="66" spans="1:13" customFormat="1" x14ac:dyDescent="0.3">
      <c r="A66" s="79" t="s">
        <v>233</v>
      </c>
      <c r="B66" s="79" t="s">
        <v>234</v>
      </c>
      <c r="C66" s="67">
        <v>29</v>
      </c>
      <c r="D66" s="74">
        <f ca="1">((100/(I58))*C66)/100</f>
        <v>1</v>
      </c>
      <c r="E66" s="74"/>
      <c r="F66" s="74"/>
      <c r="G66" s="74"/>
      <c r="H66" s="74"/>
      <c r="I66" s="74"/>
      <c r="J66" s="74"/>
      <c r="K66" s="54" t="s">
        <v>235</v>
      </c>
      <c r="L66" s="59"/>
      <c r="M66" s="58">
        <f>(IF(B58&gt;1,(I58/(B58+4)+M65),0))</f>
        <v>0</v>
      </c>
    </row>
    <row r="67" spans="1:13" customFormat="1" x14ac:dyDescent="0.3">
      <c r="A67" s="79" t="s">
        <v>236</v>
      </c>
      <c r="B67" s="79" t="s">
        <v>236</v>
      </c>
      <c r="C67" s="67">
        <v>29</v>
      </c>
      <c r="D67" s="74">
        <f ca="1">((100/I58)*C67)/100</f>
        <v>1</v>
      </c>
      <c r="E67" s="74"/>
      <c r="F67" s="74"/>
      <c r="G67" s="74"/>
      <c r="H67" s="74"/>
      <c r="I67" s="74"/>
      <c r="J67" s="74"/>
      <c r="K67" s="54" t="s">
        <v>237</v>
      </c>
      <c r="L67" s="60"/>
      <c r="M67" s="61">
        <f>(IF(B58&gt;2,(I58/(B58+4)+M66),0))</f>
        <v>0</v>
      </c>
    </row>
    <row r="68" spans="1:13" customFormat="1" x14ac:dyDescent="0.3">
      <c r="A68" s="79" t="s">
        <v>238</v>
      </c>
      <c r="B68" s="79"/>
      <c r="C68" s="67">
        <v>29</v>
      </c>
      <c r="D68" s="74">
        <f ca="1">((100/I58)*C68)/100</f>
        <v>1</v>
      </c>
      <c r="E68" s="74"/>
      <c r="F68" s="74"/>
      <c r="G68" s="74"/>
      <c r="H68" s="74"/>
      <c r="I68" s="74"/>
      <c r="J68" s="74"/>
      <c r="K68" s="54" t="s">
        <v>239</v>
      </c>
      <c r="M68" s="62">
        <f>(IF(B58&gt;3,(I58/(B58+4)+M67),0))</f>
        <v>0</v>
      </c>
    </row>
    <row r="69" spans="1:13" customFormat="1" x14ac:dyDescent="0.3">
      <c r="A69" s="79" t="s">
        <v>240</v>
      </c>
      <c r="B69" s="79" t="s">
        <v>240</v>
      </c>
      <c r="C69" s="67">
        <v>29</v>
      </c>
      <c r="D69" s="74">
        <f ca="1">((100/(I58))*C69)/100</f>
        <v>1</v>
      </c>
      <c r="E69" s="74"/>
      <c r="F69" s="74"/>
      <c r="G69" s="74"/>
      <c r="H69" s="74"/>
      <c r="I69" s="74"/>
      <c r="J69" s="74"/>
      <c r="K69" s="54" t="s">
        <v>148</v>
      </c>
      <c r="L69" s="56"/>
      <c r="M69" s="58">
        <f ca="1">(IF(B58=0,I58/4+M64,(I58/(B58+4)+M64+MAX(0,M65-M64)+MAX(0,M66-M65)+MAX(0,M67-M66)+MAX(0,M68-M67))))</f>
        <v>21.75</v>
      </c>
    </row>
    <row r="70" spans="1:13" customFormat="1" ht="16.2" thickBot="1" x14ac:dyDescent="0.35">
      <c r="A70" s="79" t="s">
        <v>241</v>
      </c>
      <c r="B70" s="79"/>
      <c r="C70" s="66">
        <v>29</v>
      </c>
      <c r="D70" s="74">
        <f ca="1">((100/(I58))*C70)/100</f>
        <v>1</v>
      </c>
      <c r="E70" s="74"/>
      <c r="F70" s="74"/>
      <c r="G70" s="74"/>
      <c r="H70" s="74"/>
      <c r="I70" s="74"/>
      <c r="J70" s="74"/>
      <c r="K70" s="63" t="s">
        <v>149</v>
      </c>
      <c r="L70" s="64"/>
      <c r="M70" s="65">
        <f ca="1">(IF(B58=0,I58/4+M69,(I58/(B58+4)+M69)))</f>
        <v>29</v>
      </c>
    </row>
    <row r="71" spans="1:13" customFormat="1" ht="15.75" customHeight="1" x14ac:dyDescent="0.3">
      <c r="A71" s="75" t="s">
        <v>217</v>
      </c>
      <c r="B71" s="76"/>
      <c r="C71" s="77" t="s">
        <v>300</v>
      </c>
      <c r="D71" s="77"/>
      <c r="E71" s="77"/>
      <c r="F71" s="77"/>
      <c r="G71" s="77"/>
      <c r="H71" s="77"/>
      <c r="I71" s="77"/>
      <c r="J71" s="78"/>
      <c r="K71" s="49" t="str">
        <f ca="1">(IF(C77=0,"Work not yet Started.",IF(D77=25%,"Piling work in process",IF(D77=50%,"Excavation work in process",IF(D77=100%,"Excavation work completed, ","0")))&amp;(IF(C78=0%,"",IF(C78=M79,"Footing work is process",IF(C78=M80,"Footing work Completed",IF(C78=M81,"1st Basement Completed",IF(C78=M82,"1st &amp; 2nd Basement Completed",IF(C78=M83,"1st to 3rd Basement Completed",IF(C78=M84,"1st to 4th Basement Completed",IF(C78=M85,"Plinth work is process",IF(C78=M86,"Plinth work completed","0")))))))))))&amp;(IF(C79&gt;0,", RCC upto "&amp;C79&amp;" Slab completed",""))&amp;(IF(C80&gt;0,", Brickwork upto "&amp;C80&amp;" Floor completed"," "))&amp;(IF(C81&gt;0,", Internal Plaster upto "&amp;C81&amp;" Floor completed"," "))&amp;(IF(C82&gt;0,", External Plaster upto "&amp;C82&amp;" Floor completed"," "))&amp;(IF(C83&gt;0,", Flooring upto "&amp;C83&amp;" Floor completed"," "))&amp;(IF(C84&gt;0,", Painting upto "&amp;C84&amp;" Floor completed"," "))&amp;(IF(C85&gt;0,", Finishing upto "&amp;C85&amp;" Floor completed"," ")))</f>
        <v>Excavation work completed, Plinth work completed, RCC upto 32 Slab completed, Brickwork upto 29 Floor completed, Internal Plaster upto 29 Floor completed, External Plaster upto 29 Floor completed, Flooring upto 29 Floor completed, Painting upto 29 Floor completed, Finishing upto 29 Floor completed</v>
      </c>
      <c r="L71" s="49"/>
      <c r="M71" s="50"/>
    </row>
    <row r="72" spans="1:13" customFormat="1" x14ac:dyDescent="0.3">
      <c r="A72" s="51" t="s">
        <v>136</v>
      </c>
      <c r="B72" s="68">
        <v>0</v>
      </c>
      <c r="C72" s="68" t="s">
        <v>138</v>
      </c>
      <c r="D72" s="68">
        <v>1</v>
      </c>
      <c r="E72" s="68" t="s">
        <v>137</v>
      </c>
      <c r="F72" s="80">
        <v>2</v>
      </c>
      <c r="G72" s="80"/>
      <c r="H72" s="68" t="s">
        <v>218</v>
      </c>
      <c r="I72" s="80">
        <f ca="1">--TRIM(RIGHT(SUBSTITUTE(LEFT(C71,_xlfn.AGGREGATE(16,6,FIND({0,1,2,3,4,5,6,7,8,9},C71,ROW(INDIRECT("1:"&amp;LEN(C71)))),1))," ",REPT(" ",LEN(C71))),LEN(C71)))</f>
        <v>29</v>
      </c>
      <c r="J72" s="81"/>
      <c r="K72" s="52" t="s">
        <v>219</v>
      </c>
      <c r="L72" s="52"/>
      <c r="M72" s="53"/>
    </row>
    <row r="73" spans="1:13" customFormat="1" ht="16.2" thickBot="1" x14ac:dyDescent="0.35">
      <c r="A73" s="257" t="s">
        <v>220</v>
      </c>
      <c r="B73" s="257"/>
      <c r="C73" s="258" t="str">
        <f>K73</f>
        <v>All work Completed. OC Received.</v>
      </c>
      <c r="D73" s="258"/>
      <c r="E73" s="258"/>
      <c r="F73" s="258"/>
      <c r="G73" s="258"/>
      <c r="H73" s="258"/>
      <c r="I73" s="258"/>
      <c r="J73" s="258"/>
      <c r="K73" s="52" t="s">
        <v>221</v>
      </c>
      <c r="L73" s="52"/>
      <c r="M73" s="53"/>
    </row>
    <row r="74" spans="1:13" customFormat="1" ht="15.6" customHeight="1" x14ac:dyDescent="0.3">
      <c r="A74" s="261" t="s">
        <v>224</v>
      </c>
      <c r="B74" s="262"/>
      <c r="C74" s="263">
        <v>1</v>
      </c>
      <c r="D74" s="263"/>
      <c r="E74" s="263"/>
      <c r="F74" s="264" t="s">
        <v>225</v>
      </c>
      <c r="G74" s="264"/>
      <c r="H74" s="264"/>
      <c r="I74" s="263">
        <v>1</v>
      </c>
      <c r="J74" s="265"/>
      <c r="K74" s="52"/>
      <c r="L74" s="52"/>
      <c r="M74" s="53"/>
    </row>
    <row r="75" spans="1:13" customFormat="1" ht="16.2" thickBot="1" x14ac:dyDescent="0.35">
      <c r="A75" s="266"/>
      <c r="B75" s="267"/>
      <c r="C75" s="268"/>
      <c r="D75" s="268"/>
      <c r="E75" s="268"/>
      <c r="F75" s="269"/>
      <c r="G75" s="269"/>
      <c r="H75" s="269"/>
      <c r="I75" s="269"/>
      <c r="J75" s="270"/>
      <c r="K75" s="52"/>
      <c r="L75" s="52"/>
      <c r="M75" s="53"/>
    </row>
    <row r="76" spans="1:13" customFormat="1" hidden="1" x14ac:dyDescent="0.3">
      <c r="A76" s="259" t="s">
        <v>67</v>
      </c>
      <c r="B76" s="259"/>
      <c r="C76" s="260" t="s">
        <v>222</v>
      </c>
      <c r="D76" s="259" t="s">
        <v>223</v>
      </c>
      <c r="E76" s="259"/>
      <c r="F76" s="259" t="s">
        <v>224</v>
      </c>
      <c r="G76" s="259"/>
      <c r="H76" s="259" t="s">
        <v>225</v>
      </c>
      <c r="I76" s="259"/>
      <c r="J76" s="259"/>
      <c r="K76" s="54" t="s">
        <v>226</v>
      </c>
      <c r="L76" s="12"/>
      <c r="M76" s="55">
        <f ca="1">I72*25%</f>
        <v>7.25</v>
      </c>
    </row>
    <row r="77" spans="1:13" customFormat="1" hidden="1" x14ac:dyDescent="0.3">
      <c r="A77" s="79" t="s">
        <v>227</v>
      </c>
      <c r="B77" s="79"/>
      <c r="C77" s="66">
        <f ca="1">M78</f>
        <v>29</v>
      </c>
      <c r="D77" s="74">
        <f ca="1">((100/I72)*C77)/100</f>
        <v>1</v>
      </c>
      <c r="E77" s="74"/>
      <c r="F77" s="74" t="str">
        <f>(IF(C73=K72,"100%",IF(C73=K73,"100%",(((C78/I72*10)+(40/(D72+F72+I72)*C79)+(7.5/(I72)*C80)+(7.5/(I72)*C81)+(10/I72*C82)+(10/I72*C83)+(5/I72*C84)+(5/I72*C85)+(5/I72*C86))/100))))</f>
        <v>100%</v>
      </c>
      <c r="G77" s="74"/>
      <c r="H77" s="74">
        <f ca="1">((((C77/I72)*20)+((C78/I72)*25)+(30/(I72+F72+D72)*C79)+(5/I72*C80)+(5/I72*C81)+(5/I72*C82)+(5/I72*C83)+(0/I72*C84)+(0/I72*C85)+(5/I72*C86))/100)</f>
        <v>1</v>
      </c>
      <c r="I77" s="74"/>
      <c r="J77" s="74"/>
      <c r="K77" s="54" t="s">
        <v>144</v>
      </c>
      <c r="L77" s="56"/>
      <c r="M77" s="57">
        <f ca="1">I72*50%</f>
        <v>14.5</v>
      </c>
    </row>
    <row r="78" spans="1:13" customFormat="1" hidden="1" x14ac:dyDescent="0.3">
      <c r="A78" s="79" t="s">
        <v>68</v>
      </c>
      <c r="B78" s="79"/>
      <c r="C78" s="67">
        <f ca="1">M86</f>
        <v>29</v>
      </c>
      <c r="D78" s="74">
        <f ca="1">((100/I72)*C78)/100</f>
        <v>1</v>
      </c>
      <c r="E78" s="74"/>
      <c r="F78" s="74"/>
      <c r="G78" s="74"/>
      <c r="H78" s="74"/>
      <c r="I78" s="74"/>
      <c r="J78" s="74"/>
      <c r="K78" s="54" t="s">
        <v>145</v>
      </c>
      <c r="L78" s="56"/>
      <c r="M78" s="57">
        <f ca="1">I72</f>
        <v>29</v>
      </c>
    </row>
    <row r="79" spans="1:13" customFormat="1" hidden="1" x14ac:dyDescent="0.3">
      <c r="A79" s="79" t="s">
        <v>228</v>
      </c>
      <c r="B79" s="79"/>
      <c r="C79" s="67">
        <f>F72+30</f>
        <v>32</v>
      </c>
      <c r="D79" s="74">
        <f ca="1">((100/(D72+F72+I72))*C79)/100</f>
        <v>1</v>
      </c>
      <c r="E79" s="74"/>
      <c r="F79" s="74"/>
      <c r="G79" s="74"/>
      <c r="H79" s="74"/>
      <c r="I79" s="74"/>
      <c r="J79" s="74"/>
      <c r="K79" s="54" t="s">
        <v>146</v>
      </c>
      <c r="L79" s="56"/>
      <c r="M79" s="58">
        <f ca="1">(IF(B72=0,I72/4,(I72/(B72+4))))</f>
        <v>7.25</v>
      </c>
    </row>
    <row r="80" spans="1:13" customFormat="1" hidden="1" x14ac:dyDescent="0.3">
      <c r="A80" s="79" t="s">
        <v>229</v>
      </c>
      <c r="B80" s="79" t="s">
        <v>230</v>
      </c>
      <c r="C80" s="67">
        <f>C79-D72-F72</f>
        <v>29</v>
      </c>
      <c r="D80" s="74">
        <f ca="1">((100/I72)*C80)/100</f>
        <v>1</v>
      </c>
      <c r="E80" s="74"/>
      <c r="F80" s="74"/>
      <c r="G80" s="74"/>
      <c r="H80" s="74"/>
      <c r="I80" s="74"/>
      <c r="J80" s="74"/>
      <c r="K80" s="54" t="s">
        <v>147</v>
      </c>
      <c r="L80" s="56"/>
      <c r="M80" s="58">
        <f ca="1">(IF(B72=0,I72/4+M79,(I72/(B72+4)+M79)))</f>
        <v>14.5</v>
      </c>
    </row>
    <row r="81" spans="1:13" customFormat="1" hidden="1" x14ac:dyDescent="0.3">
      <c r="A81" s="79" t="s">
        <v>231</v>
      </c>
      <c r="B81" s="79" t="s">
        <v>230</v>
      </c>
      <c r="C81" s="67">
        <v>29</v>
      </c>
      <c r="D81" s="74">
        <f ca="1">((100/I72)*C81)/100</f>
        <v>1</v>
      </c>
      <c r="E81" s="74"/>
      <c r="F81" s="74"/>
      <c r="G81" s="74"/>
      <c r="H81" s="74"/>
      <c r="I81" s="74"/>
      <c r="J81" s="74"/>
      <c r="K81" s="54" t="s">
        <v>232</v>
      </c>
      <c r="L81" s="59"/>
      <c r="M81" s="58">
        <f>(IF(B72=0,0,(I72/(B72+4)+M80)))</f>
        <v>0</v>
      </c>
    </row>
    <row r="82" spans="1:13" customFormat="1" hidden="1" x14ac:dyDescent="0.3">
      <c r="A82" s="79" t="s">
        <v>233</v>
      </c>
      <c r="B82" s="79" t="s">
        <v>234</v>
      </c>
      <c r="C82" s="67">
        <v>29</v>
      </c>
      <c r="D82" s="74">
        <f ca="1">((100/(I72))*C82)/100</f>
        <v>1</v>
      </c>
      <c r="E82" s="74"/>
      <c r="F82" s="74"/>
      <c r="G82" s="74"/>
      <c r="H82" s="74"/>
      <c r="I82" s="74"/>
      <c r="J82" s="74"/>
      <c r="K82" s="54" t="s">
        <v>235</v>
      </c>
      <c r="L82" s="59"/>
      <c r="M82" s="58">
        <f>(IF(B72&gt;1,(I72/(B72+4)+M81),0))</f>
        <v>0</v>
      </c>
    </row>
    <row r="83" spans="1:13" customFormat="1" hidden="1" x14ac:dyDescent="0.3">
      <c r="A83" s="79" t="s">
        <v>236</v>
      </c>
      <c r="B83" s="79" t="s">
        <v>236</v>
      </c>
      <c r="C83" s="67">
        <v>29</v>
      </c>
      <c r="D83" s="74">
        <f ca="1">((100/I72)*C83)/100</f>
        <v>1</v>
      </c>
      <c r="E83" s="74"/>
      <c r="F83" s="74"/>
      <c r="G83" s="74"/>
      <c r="H83" s="74"/>
      <c r="I83" s="74"/>
      <c r="J83" s="74"/>
      <c r="K83" s="54" t="s">
        <v>237</v>
      </c>
      <c r="L83" s="60"/>
      <c r="M83" s="61">
        <f>(IF(B72&gt;2,(I72/(B72+4)+M82),0))</f>
        <v>0</v>
      </c>
    </row>
    <row r="84" spans="1:13" customFormat="1" hidden="1" x14ac:dyDescent="0.3">
      <c r="A84" s="79" t="s">
        <v>238</v>
      </c>
      <c r="B84" s="79"/>
      <c r="C84" s="67">
        <v>29</v>
      </c>
      <c r="D84" s="74">
        <f ca="1">((100/I72)*C84)/100</f>
        <v>1</v>
      </c>
      <c r="E84" s="74"/>
      <c r="F84" s="74"/>
      <c r="G84" s="74"/>
      <c r="H84" s="74"/>
      <c r="I84" s="74"/>
      <c r="J84" s="74"/>
      <c r="K84" s="54" t="s">
        <v>239</v>
      </c>
      <c r="M84" s="62">
        <f>(IF(B72&gt;3,(I72/(B72+4)+M83),0))</f>
        <v>0</v>
      </c>
    </row>
    <row r="85" spans="1:13" customFormat="1" hidden="1" x14ac:dyDescent="0.3">
      <c r="A85" s="79" t="s">
        <v>240</v>
      </c>
      <c r="B85" s="79" t="s">
        <v>240</v>
      </c>
      <c r="C85" s="67">
        <v>29</v>
      </c>
      <c r="D85" s="74">
        <f ca="1">((100/(I72))*C85)/100</f>
        <v>1</v>
      </c>
      <c r="E85" s="74"/>
      <c r="F85" s="74"/>
      <c r="G85" s="74"/>
      <c r="H85" s="74"/>
      <c r="I85" s="74"/>
      <c r="J85" s="74"/>
      <c r="K85" s="54" t="s">
        <v>148</v>
      </c>
      <c r="L85" s="56"/>
      <c r="M85" s="58">
        <f ca="1">(IF(B72=0,I72/4+M80,(I72/(B72+4)+M80+MAX(0,M81-M80)+MAX(0,M82-M81)+MAX(0,M83-M82)+MAX(0,M84-M83))))</f>
        <v>21.75</v>
      </c>
    </row>
    <row r="86" spans="1:13" customFormat="1" ht="16.2" hidden="1" thickBot="1" x14ac:dyDescent="0.35">
      <c r="A86" s="79" t="s">
        <v>241</v>
      </c>
      <c r="B86" s="79"/>
      <c r="C86" s="66">
        <v>29</v>
      </c>
      <c r="D86" s="74">
        <f ca="1">((100/(I72))*C86)/100</f>
        <v>1</v>
      </c>
      <c r="E86" s="74"/>
      <c r="F86" s="74"/>
      <c r="G86" s="74"/>
      <c r="H86" s="74"/>
      <c r="I86" s="74"/>
      <c r="J86" s="74"/>
      <c r="K86" s="63" t="s">
        <v>149</v>
      </c>
      <c r="L86" s="64"/>
      <c r="M86" s="65">
        <f ca="1">(IF(B72=0,I72/4+M85,(I72/(B72+4)+M85)))</f>
        <v>29</v>
      </c>
    </row>
    <row r="87" spans="1:13" customFormat="1" ht="15.75" customHeight="1" x14ac:dyDescent="0.3">
      <c r="A87" s="96" t="s">
        <v>217</v>
      </c>
      <c r="B87" s="96"/>
      <c r="C87" s="83" t="s">
        <v>283</v>
      </c>
      <c r="D87" s="83"/>
      <c r="E87" s="83"/>
      <c r="F87" s="83"/>
      <c r="G87" s="83"/>
      <c r="H87" s="83"/>
      <c r="I87" s="83"/>
      <c r="J87" s="83"/>
      <c r="K87" s="49" t="str">
        <f ca="1">(IF(C91=0,"Work not yet Started.",IF(D91=25%,"Piling work in process",IF(D91=50%,"Excavation work in process",IF(D91=100%,"Excavation work completed, ","0")))&amp;(IF(C92=0%,"",IF(C92=M93,"Footing work is process",IF(C92=M94,"Footing work Completed",IF(C92=M95,"1st Basement Completed",IF(C92=M96,"1st &amp; 2nd Basement Completed",IF(C92=M97,"1st to 3rd Basement Completed",IF(C92=M98,"1st to 4th Basement Completed",IF(C92=M99,"Plinth work is process",IF(C92=M100,"Plinth work completed","0")))))))))))&amp;(IF(C93&gt;0,", RCC upto "&amp;C93&amp;" Slab completed",""))&amp;(IF(C94&gt;0,", Brickwork upto "&amp;C94&amp;" Floor completed"," "))&amp;(IF(C95&gt;0,", Internal Plaster upto "&amp;C95&amp;" Floor completed"," "))&amp;(IF(C96&gt;0,", External Plaster upto "&amp;C96&amp;" Floor completed"," "))&amp;(IF(C97&gt;0,", Flooring upto "&amp;C97&amp;" Floor completed"," "))&amp;(IF(C98&gt;0,", Painting upto "&amp;C98&amp;" Floor completed"," "))&amp;(IF(C99&gt;0,", Finishing upto "&amp;C99&amp;" Floor completed"," ")))</f>
        <v xml:space="preserve">Excavation work completed, Plinth work completed, RCC upto 36 Slab completed, Brickwork upto 33 Floor completed, Internal Plaster upto 29.7 Floor completed, External Plaster upto 28.05 Floor completed   </v>
      </c>
      <c r="L87" s="49"/>
      <c r="M87" s="50"/>
    </row>
    <row r="88" spans="1:13" customFormat="1" x14ac:dyDescent="0.3">
      <c r="A88" s="68" t="s">
        <v>136</v>
      </c>
      <c r="B88" s="68">
        <v>0</v>
      </c>
      <c r="C88" s="68" t="s">
        <v>138</v>
      </c>
      <c r="D88" s="68">
        <v>1</v>
      </c>
      <c r="E88" s="68" t="s">
        <v>137</v>
      </c>
      <c r="F88" s="80">
        <v>2</v>
      </c>
      <c r="G88" s="80"/>
      <c r="H88" s="68" t="s">
        <v>218</v>
      </c>
      <c r="I88" s="80">
        <f ca="1">--TRIM(RIGHT(SUBSTITUTE(LEFT(C87,_xlfn.AGGREGATE(16,6,FIND({0,1,2,3,4,5,6,7,8,9},C87,ROW(INDIRECT("1:"&amp;LEN(C87)))),1))," ",REPT(" ",LEN(C87))),LEN(C87)))</f>
        <v>34</v>
      </c>
      <c r="J88" s="80"/>
      <c r="K88" s="52" t="s">
        <v>219</v>
      </c>
      <c r="L88" s="52"/>
      <c r="M88" s="53"/>
    </row>
    <row r="89" spans="1:13" customFormat="1" ht="48" customHeight="1" x14ac:dyDescent="0.3">
      <c r="A89" s="82" t="s">
        <v>220</v>
      </c>
      <c r="B89" s="82"/>
      <c r="C89" s="83" t="str">
        <f ca="1">K87</f>
        <v xml:space="preserve">Excavation work completed, Plinth work completed, RCC upto 36 Slab completed, Brickwork upto 33 Floor completed, Internal Plaster upto 29.7 Floor completed, External Plaster upto 28.05 Floor completed   </v>
      </c>
      <c r="D89" s="83"/>
      <c r="E89" s="83"/>
      <c r="F89" s="83"/>
      <c r="G89" s="83"/>
      <c r="H89" s="83"/>
      <c r="I89" s="83"/>
      <c r="J89" s="83"/>
      <c r="K89" s="52" t="s">
        <v>221</v>
      </c>
      <c r="L89" s="52"/>
      <c r="M89" s="53"/>
    </row>
    <row r="90" spans="1:13" customFormat="1" x14ac:dyDescent="0.3">
      <c r="A90" s="79" t="s">
        <v>67</v>
      </c>
      <c r="B90" s="79"/>
      <c r="C90" s="72" t="s">
        <v>222</v>
      </c>
      <c r="D90" s="79" t="s">
        <v>223</v>
      </c>
      <c r="E90" s="79"/>
      <c r="F90" s="79" t="s">
        <v>224</v>
      </c>
      <c r="G90" s="79"/>
      <c r="H90" s="79" t="s">
        <v>225</v>
      </c>
      <c r="I90" s="79"/>
      <c r="J90" s="79"/>
      <c r="K90" s="54" t="s">
        <v>226</v>
      </c>
      <c r="L90" s="12"/>
      <c r="M90" s="55">
        <f ca="1">I88*25%</f>
        <v>8.5</v>
      </c>
    </row>
    <row r="91" spans="1:13" customFormat="1" x14ac:dyDescent="0.3">
      <c r="A91" s="79" t="s">
        <v>227</v>
      </c>
      <c r="B91" s="79"/>
      <c r="C91" s="66">
        <f ca="1">M92</f>
        <v>34</v>
      </c>
      <c r="D91" s="74">
        <f ca="1">((100/I88)*C91)/100</f>
        <v>1</v>
      </c>
      <c r="E91" s="74"/>
      <c r="F91" s="74">
        <f ca="1">(IF(C89=K88,"100%",IF(C89=K89,"100%",(((C92/I88*10)+(40/(D88+F88+I88)*C93)+(7.5/(I88)*C94)+(7.5/(I88)*C95)+(10/I88*C96)+(10/I88*C97)+(5/I88*C98)+(5/I88*C99)+(5/I88*C100))/100))))</f>
        <v>0.70999801271860097</v>
      </c>
      <c r="G91" s="74"/>
      <c r="H91" s="74">
        <f ca="1">((((C91/I88)*20)+((C92/I88)*25)+(30/(I88+F88+D88)*C93)+(5/I88*C94)+(5/I88*C95)+(5/I88*C96)+(5/I88*C97)+(0/I88*C98)+(0/I88*C99)+(5/I88*C100))/100)</f>
        <v>0.87534777424483323</v>
      </c>
      <c r="I91" s="74"/>
      <c r="J91" s="74"/>
      <c r="K91" s="54" t="s">
        <v>144</v>
      </c>
      <c r="L91" s="56"/>
      <c r="M91" s="57">
        <f ca="1">I88*50%</f>
        <v>17</v>
      </c>
    </row>
    <row r="92" spans="1:13" customFormat="1" x14ac:dyDescent="0.3">
      <c r="A92" s="79" t="s">
        <v>68</v>
      </c>
      <c r="B92" s="79"/>
      <c r="C92" s="67">
        <v>34</v>
      </c>
      <c r="D92" s="74">
        <f ca="1">((100/I88)*C92)/100</f>
        <v>1</v>
      </c>
      <c r="E92" s="74"/>
      <c r="F92" s="74"/>
      <c r="G92" s="74"/>
      <c r="H92" s="74"/>
      <c r="I92" s="74"/>
      <c r="J92" s="74"/>
      <c r="K92" s="54" t="s">
        <v>145</v>
      </c>
      <c r="L92" s="56"/>
      <c r="M92" s="57">
        <f ca="1">I88</f>
        <v>34</v>
      </c>
    </row>
    <row r="93" spans="1:13" customFormat="1" x14ac:dyDescent="0.3">
      <c r="A93" s="79" t="s">
        <v>228</v>
      </c>
      <c r="B93" s="79"/>
      <c r="C93" s="67">
        <f>D88+F88+33</f>
        <v>36</v>
      </c>
      <c r="D93" s="74">
        <f ca="1">((100/(D88+F88+I88))*C93)/100</f>
        <v>0.97297297297297292</v>
      </c>
      <c r="E93" s="74"/>
      <c r="F93" s="74"/>
      <c r="G93" s="74"/>
      <c r="H93" s="74"/>
      <c r="I93" s="74"/>
      <c r="J93" s="74"/>
      <c r="K93" s="54" t="s">
        <v>146</v>
      </c>
      <c r="L93" s="56"/>
      <c r="M93" s="58">
        <f ca="1">(IF(B88=0,I88/4,(I88/(B88+4))))</f>
        <v>8.5</v>
      </c>
    </row>
    <row r="94" spans="1:13" customFormat="1" x14ac:dyDescent="0.3">
      <c r="A94" s="79" t="s">
        <v>229</v>
      </c>
      <c r="B94" s="79" t="s">
        <v>230</v>
      </c>
      <c r="C94" s="67">
        <f>C93-D88-F88</f>
        <v>33</v>
      </c>
      <c r="D94" s="74">
        <f ca="1">((100/I88)*C94)/100</f>
        <v>0.97058823529411764</v>
      </c>
      <c r="E94" s="74"/>
      <c r="F94" s="74"/>
      <c r="G94" s="74"/>
      <c r="H94" s="74"/>
      <c r="I94" s="74"/>
      <c r="J94" s="74"/>
      <c r="K94" s="54" t="s">
        <v>147</v>
      </c>
      <c r="L94" s="56"/>
      <c r="M94" s="58">
        <f ca="1">(IF(B88=0,I88/4+M93,(I88/(B88+4)+M93)))</f>
        <v>17</v>
      </c>
    </row>
    <row r="95" spans="1:13" customFormat="1" x14ac:dyDescent="0.3">
      <c r="A95" s="79" t="s">
        <v>231</v>
      </c>
      <c r="B95" s="79" t="s">
        <v>230</v>
      </c>
      <c r="C95" s="67">
        <f>C94*0.9</f>
        <v>29.7</v>
      </c>
      <c r="D95" s="74">
        <f ca="1">((100/I88)*C95)/100</f>
        <v>0.87352941176470589</v>
      </c>
      <c r="E95" s="74"/>
      <c r="F95" s="74"/>
      <c r="G95" s="74"/>
      <c r="H95" s="74"/>
      <c r="I95" s="74"/>
      <c r="J95" s="74"/>
      <c r="K95" s="54" t="s">
        <v>232</v>
      </c>
      <c r="L95" s="59"/>
      <c r="M95" s="58">
        <f>(IF(B88=0,0,(I88/(B88+4)+M94)))</f>
        <v>0</v>
      </c>
    </row>
    <row r="96" spans="1:13" customFormat="1" x14ac:dyDescent="0.3">
      <c r="A96" s="79" t="s">
        <v>233</v>
      </c>
      <c r="B96" s="79" t="s">
        <v>234</v>
      </c>
      <c r="C96" s="67">
        <f>C94*0.85</f>
        <v>28.05</v>
      </c>
      <c r="D96" s="74">
        <f ca="1">((100/(I88))*C96)/100</f>
        <v>0.82500000000000018</v>
      </c>
      <c r="E96" s="74"/>
      <c r="F96" s="74"/>
      <c r="G96" s="74"/>
      <c r="H96" s="74"/>
      <c r="I96" s="74"/>
      <c r="J96" s="74"/>
      <c r="K96" s="54" t="s">
        <v>235</v>
      </c>
      <c r="L96" s="59"/>
      <c r="M96" s="58">
        <f>(IF(B88&gt;1,(I88/(B88+4)+M95),0))</f>
        <v>0</v>
      </c>
    </row>
    <row r="97" spans="1:13" customFormat="1" x14ac:dyDescent="0.3">
      <c r="A97" s="79" t="s">
        <v>236</v>
      </c>
      <c r="B97" s="79" t="s">
        <v>236</v>
      </c>
      <c r="C97" s="66">
        <v>0</v>
      </c>
      <c r="D97" s="74">
        <f ca="1">((100/I88)*C97)/100</f>
        <v>0</v>
      </c>
      <c r="E97" s="74"/>
      <c r="F97" s="74"/>
      <c r="G97" s="74"/>
      <c r="H97" s="74"/>
      <c r="I97" s="74"/>
      <c r="J97" s="74"/>
      <c r="K97" s="54" t="s">
        <v>237</v>
      </c>
      <c r="L97" s="60"/>
      <c r="M97" s="61">
        <f>(IF(B88&gt;2,(I88/(B88+4)+M96),0))</f>
        <v>0</v>
      </c>
    </row>
    <row r="98" spans="1:13" customFormat="1" x14ac:dyDescent="0.3">
      <c r="A98" s="79" t="s">
        <v>238</v>
      </c>
      <c r="B98" s="79"/>
      <c r="C98" s="66">
        <v>0</v>
      </c>
      <c r="D98" s="74">
        <f ca="1">((100/I88)*C98)/100</f>
        <v>0</v>
      </c>
      <c r="E98" s="74"/>
      <c r="F98" s="74"/>
      <c r="G98" s="74"/>
      <c r="H98" s="74"/>
      <c r="I98" s="74"/>
      <c r="J98" s="74"/>
      <c r="K98" s="54" t="s">
        <v>239</v>
      </c>
      <c r="M98" s="62">
        <f>(IF(B88&gt;3,(I88/(B88+4)+M97),0))</f>
        <v>0</v>
      </c>
    </row>
    <row r="99" spans="1:13" customFormat="1" x14ac:dyDescent="0.3">
      <c r="A99" s="79" t="s">
        <v>240</v>
      </c>
      <c r="B99" s="79" t="s">
        <v>240</v>
      </c>
      <c r="C99" s="66">
        <v>0</v>
      </c>
      <c r="D99" s="74">
        <f ca="1">((100/(I88))*C99)/100</f>
        <v>0</v>
      </c>
      <c r="E99" s="74"/>
      <c r="F99" s="74"/>
      <c r="G99" s="74"/>
      <c r="H99" s="74"/>
      <c r="I99" s="74"/>
      <c r="J99" s="74"/>
      <c r="K99" s="54" t="s">
        <v>148</v>
      </c>
      <c r="L99" s="56"/>
      <c r="M99" s="58">
        <f ca="1">(IF(B88=0,I88/4+M94,(I88/(B88+4)+M94+MAX(0,M95-M94)+MAX(0,M96-M95)+MAX(0,M97-M96)+MAX(0,M98-M97))))</f>
        <v>25.5</v>
      </c>
    </row>
    <row r="100" spans="1:13" customFormat="1" ht="16.2" thickBot="1" x14ac:dyDescent="0.35">
      <c r="A100" s="79" t="s">
        <v>241</v>
      </c>
      <c r="B100" s="79"/>
      <c r="C100" s="66">
        <v>0</v>
      </c>
      <c r="D100" s="74">
        <f ca="1">((100/(I88))*C100)/100</f>
        <v>0</v>
      </c>
      <c r="E100" s="74"/>
      <c r="F100" s="74"/>
      <c r="G100" s="74"/>
      <c r="H100" s="74"/>
      <c r="I100" s="74"/>
      <c r="J100" s="74"/>
      <c r="K100" s="63" t="s">
        <v>149</v>
      </c>
      <c r="L100" s="64"/>
      <c r="M100" s="65">
        <f ca="1">(IF(B88=0,I88/4+M99,(I88/(B88+4)+M99)))</f>
        <v>34</v>
      </c>
    </row>
    <row r="101" spans="1:13" customFormat="1" ht="15.75" customHeight="1" x14ac:dyDescent="0.3">
      <c r="A101" s="75" t="s">
        <v>217</v>
      </c>
      <c r="B101" s="76"/>
      <c r="C101" s="77" t="s">
        <v>284</v>
      </c>
      <c r="D101" s="77"/>
      <c r="E101" s="77"/>
      <c r="F101" s="77"/>
      <c r="G101" s="77"/>
      <c r="H101" s="77"/>
      <c r="I101" s="77"/>
      <c r="J101" s="78"/>
      <c r="K101" s="49" t="str">
        <f ca="1">(IF(C105=0,"Work not yet Started.",IF(D105=25%,"Piling work in process",IF(D105=50%,"Excavation work in process",IF(D105=100%,"Excavation work completed, ","0")))&amp;(IF(C106=0%,"",IF(C106=M107,"Footing work is process",IF(C106=M108,"Footing work Completed",IF(C106=M109,"1st Basement Completed",IF(C106=M110,"1st &amp; 2nd Basement Completed",IF(C106=M111,"1st to 3rd Basement Completed",IF(C106=M112,"1st to 4th Basement Completed",IF(C106=M113,"Plinth work is process",IF(C106=M114,"Plinth work completed","0")))))))))))&amp;(IF(C107&gt;0,", RCC upto "&amp;C107&amp;" Slab completed",""))&amp;(IF(C108&gt;0,", Brickwork upto "&amp;C108&amp;" Floor completed"," "))&amp;(IF(C109&gt;0,", Internal Plaster upto "&amp;C109&amp;" Floor completed"," "))&amp;(IF(C110&gt;0,", External Plaster upto "&amp;C110&amp;" Floor completed"," "))&amp;(IF(C111&gt;0,", Flooring upto "&amp;C111&amp;" Floor completed"," "))&amp;(IF(C112&gt;0,", Painting upto "&amp;C112&amp;" Floor completed"," "))&amp;(IF(C113&gt;0,", Finishing upto "&amp;C113&amp;" Floor completed"," ")))</f>
        <v xml:space="preserve">Excavation work completed, Plinth work completed, RCC upto 37 Slab completed, Brickwork upto 34 Floor completed, Internal Plaster upto 30.6 Floor completed, External Plaster upto 28.9 Floor completed   </v>
      </c>
      <c r="L101" s="49"/>
      <c r="M101" s="50"/>
    </row>
    <row r="102" spans="1:13" customFormat="1" x14ac:dyDescent="0.3">
      <c r="A102" s="51" t="s">
        <v>136</v>
      </c>
      <c r="B102" s="68">
        <v>0</v>
      </c>
      <c r="C102" s="68" t="s">
        <v>138</v>
      </c>
      <c r="D102" s="68">
        <v>1</v>
      </c>
      <c r="E102" s="68" t="s">
        <v>137</v>
      </c>
      <c r="F102" s="80">
        <v>2</v>
      </c>
      <c r="G102" s="80"/>
      <c r="H102" s="68" t="s">
        <v>218</v>
      </c>
      <c r="I102" s="80">
        <f ca="1">--TRIM(RIGHT(SUBSTITUTE(LEFT(C101,_xlfn.AGGREGATE(16,6,FIND({0,1,2,3,4,5,6,7,8,9},C101,ROW(INDIRECT("1:"&amp;LEN(C101)))),1))," ",REPT(" ",LEN(C101))),LEN(C101)))</f>
        <v>34</v>
      </c>
      <c r="J102" s="81"/>
      <c r="K102" s="52" t="s">
        <v>219</v>
      </c>
      <c r="L102" s="52"/>
      <c r="M102" s="53"/>
    </row>
    <row r="103" spans="1:13" customFormat="1" ht="49.5" customHeight="1" x14ac:dyDescent="0.3">
      <c r="A103" s="82" t="s">
        <v>220</v>
      </c>
      <c r="B103" s="82"/>
      <c r="C103" s="83" t="str">
        <f ca="1">K101</f>
        <v xml:space="preserve">Excavation work completed, Plinth work completed, RCC upto 37 Slab completed, Brickwork upto 34 Floor completed, Internal Plaster upto 30.6 Floor completed, External Plaster upto 28.9 Floor completed   </v>
      </c>
      <c r="D103" s="83"/>
      <c r="E103" s="83"/>
      <c r="F103" s="83"/>
      <c r="G103" s="83"/>
      <c r="H103" s="83"/>
      <c r="I103" s="83"/>
      <c r="J103" s="83"/>
      <c r="K103" s="52" t="s">
        <v>221</v>
      </c>
      <c r="L103" s="52"/>
      <c r="M103" s="53"/>
    </row>
    <row r="104" spans="1:13" customFormat="1" x14ac:dyDescent="0.3">
      <c r="A104" s="79" t="s">
        <v>67</v>
      </c>
      <c r="B104" s="79"/>
      <c r="C104" s="72" t="s">
        <v>222</v>
      </c>
      <c r="D104" s="79" t="s">
        <v>223</v>
      </c>
      <c r="E104" s="79"/>
      <c r="F104" s="79" t="s">
        <v>224</v>
      </c>
      <c r="G104" s="79"/>
      <c r="H104" s="79" t="s">
        <v>225</v>
      </c>
      <c r="I104" s="79"/>
      <c r="J104" s="79"/>
      <c r="K104" s="54" t="s">
        <v>226</v>
      </c>
      <c r="L104" s="12"/>
      <c r="M104" s="55">
        <f ca="1">I102*25%</f>
        <v>8.5</v>
      </c>
    </row>
    <row r="105" spans="1:13" customFormat="1" x14ac:dyDescent="0.3">
      <c r="A105" s="79" t="s">
        <v>227</v>
      </c>
      <c r="B105" s="79"/>
      <c r="C105" s="66">
        <f ca="1">M106</f>
        <v>34</v>
      </c>
      <c r="D105" s="74">
        <f ca="1">((100/I102)*C105)/100</f>
        <v>1</v>
      </c>
      <c r="E105" s="74"/>
      <c r="F105" s="74">
        <f ca="1">(IF(C103=K102,"100%",IF(C103=K103,"100%",(((C106/I102*10)+(40/(D102+F102+I102)*C107)+(7.5/(I102)*C108)+(7.5/(I102)*C109)+(10/I102*C110)+(10/I102*C111)+(5/I102*C112)+(5/I102*C113)+(5/I102*C114))/100))))</f>
        <v>0.72750000000000004</v>
      </c>
      <c r="G105" s="74"/>
      <c r="H105" s="74">
        <f ca="1">((((C105/I102)*20)+((C106/I102)*25)+(30/(I102+F102+D102)*C107)+(5/I102*C108)+(5/I102*C109)+(5/I102*C110)+(5/I102*C111)+(0/I102*C112)+(0/I102*C113)+(5/I102*C114))/100)</f>
        <v>0.88749999999999996</v>
      </c>
      <c r="I105" s="74"/>
      <c r="J105" s="74"/>
      <c r="K105" s="54" t="s">
        <v>144</v>
      </c>
      <c r="L105" s="56"/>
      <c r="M105" s="57">
        <f ca="1">I102*50%</f>
        <v>17</v>
      </c>
    </row>
    <row r="106" spans="1:13" customFormat="1" x14ac:dyDescent="0.3">
      <c r="A106" s="79" t="s">
        <v>68</v>
      </c>
      <c r="B106" s="79"/>
      <c r="C106" s="67">
        <v>34</v>
      </c>
      <c r="D106" s="74">
        <f ca="1">((100/I102)*C106)/100</f>
        <v>1</v>
      </c>
      <c r="E106" s="74"/>
      <c r="F106" s="74"/>
      <c r="G106" s="74"/>
      <c r="H106" s="74"/>
      <c r="I106" s="74"/>
      <c r="J106" s="74"/>
      <c r="K106" s="54" t="s">
        <v>145</v>
      </c>
      <c r="L106" s="56"/>
      <c r="M106" s="57">
        <f ca="1">I102</f>
        <v>34</v>
      </c>
    </row>
    <row r="107" spans="1:13" customFormat="1" x14ac:dyDescent="0.3">
      <c r="A107" s="79" t="s">
        <v>228</v>
      </c>
      <c r="B107" s="79"/>
      <c r="C107" s="67">
        <f>F102+35</f>
        <v>37</v>
      </c>
      <c r="D107" s="74">
        <f ca="1">((100/(D102+F102+I102))*C107)/100</f>
        <v>1</v>
      </c>
      <c r="E107" s="74"/>
      <c r="F107" s="74"/>
      <c r="G107" s="74"/>
      <c r="H107" s="74"/>
      <c r="I107" s="74"/>
      <c r="J107" s="74"/>
      <c r="K107" s="54" t="s">
        <v>146</v>
      </c>
      <c r="L107" s="56"/>
      <c r="M107" s="58">
        <f ca="1">(IF(B102=0,I102/4,(I102/(B102+4))))</f>
        <v>8.5</v>
      </c>
    </row>
    <row r="108" spans="1:13" customFormat="1" x14ac:dyDescent="0.3">
      <c r="A108" s="79" t="s">
        <v>229</v>
      </c>
      <c r="B108" s="79" t="s">
        <v>230</v>
      </c>
      <c r="C108" s="67">
        <f>C107-D102-F102</f>
        <v>34</v>
      </c>
      <c r="D108" s="74">
        <f ca="1">((100/I102)*C108)/100</f>
        <v>1</v>
      </c>
      <c r="E108" s="74"/>
      <c r="F108" s="74"/>
      <c r="G108" s="74"/>
      <c r="H108" s="74"/>
      <c r="I108" s="74"/>
      <c r="J108" s="74"/>
      <c r="K108" s="54" t="s">
        <v>147</v>
      </c>
      <c r="L108" s="56"/>
      <c r="M108" s="58">
        <f ca="1">(IF(B102=0,I102/4+M107,(I102/(B102+4)+M107)))</f>
        <v>17</v>
      </c>
    </row>
    <row r="109" spans="1:13" customFormat="1" x14ac:dyDescent="0.3">
      <c r="A109" s="79" t="s">
        <v>231</v>
      </c>
      <c r="B109" s="79" t="s">
        <v>230</v>
      </c>
      <c r="C109" s="67">
        <f>C108*0.9</f>
        <v>30.6</v>
      </c>
      <c r="D109" s="74">
        <f ca="1">((100/I102)*C109)/100</f>
        <v>0.90000000000000013</v>
      </c>
      <c r="E109" s="74"/>
      <c r="F109" s="74"/>
      <c r="G109" s="74"/>
      <c r="H109" s="74"/>
      <c r="I109" s="74"/>
      <c r="J109" s="74"/>
      <c r="K109" s="54" t="s">
        <v>232</v>
      </c>
      <c r="L109" s="59"/>
      <c r="M109" s="58">
        <f>(IF(B102=0,0,(I102/(B102+4)+M108)))</f>
        <v>0</v>
      </c>
    </row>
    <row r="110" spans="1:13" customFormat="1" x14ac:dyDescent="0.3">
      <c r="A110" s="79" t="s">
        <v>233</v>
      </c>
      <c r="B110" s="79" t="s">
        <v>234</v>
      </c>
      <c r="C110" s="67">
        <f>C108*0.85</f>
        <v>28.9</v>
      </c>
      <c r="D110" s="74">
        <f ca="1">((100/(I102))*C110)/100</f>
        <v>0.85</v>
      </c>
      <c r="E110" s="74"/>
      <c r="F110" s="74"/>
      <c r="G110" s="74"/>
      <c r="H110" s="74"/>
      <c r="I110" s="74"/>
      <c r="J110" s="74"/>
      <c r="K110" s="54" t="s">
        <v>235</v>
      </c>
      <c r="L110" s="59"/>
      <c r="M110" s="58">
        <f>(IF(B102&gt;1,(I102/(B102+4)+M109),0))</f>
        <v>0</v>
      </c>
    </row>
    <row r="111" spans="1:13" customFormat="1" x14ac:dyDescent="0.3">
      <c r="A111" s="79" t="s">
        <v>236</v>
      </c>
      <c r="B111" s="79" t="s">
        <v>236</v>
      </c>
      <c r="C111" s="66">
        <v>0</v>
      </c>
      <c r="D111" s="74">
        <f ca="1">((100/I102)*C111)/100</f>
        <v>0</v>
      </c>
      <c r="E111" s="74"/>
      <c r="F111" s="74"/>
      <c r="G111" s="74"/>
      <c r="H111" s="74"/>
      <c r="I111" s="74"/>
      <c r="J111" s="74"/>
      <c r="K111" s="54" t="s">
        <v>237</v>
      </c>
      <c r="L111" s="60"/>
      <c r="M111" s="61">
        <f>(IF(B102&gt;2,(I102/(B102+4)+M110),0))</f>
        <v>0</v>
      </c>
    </row>
    <row r="112" spans="1:13" customFormat="1" x14ac:dyDescent="0.3">
      <c r="A112" s="79" t="s">
        <v>238</v>
      </c>
      <c r="B112" s="79"/>
      <c r="C112" s="66">
        <v>0</v>
      </c>
      <c r="D112" s="74">
        <f ca="1">((100/I102)*C112)/100</f>
        <v>0</v>
      </c>
      <c r="E112" s="74"/>
      <c r="F112" s="74"/>
      <c r="G112" s="74"/>
      <c r="H112" s="74"/>
      <c r="I112" s="74"/>
      <c r="J112" s="74"/>
      <c r="K112" s="54" t="s">
        <v>239</v>
      </c>
      <c r="M112" s="62">
        <f>(IF(B102&gt;3,(I102/(B102+4)+M111),0))</f>
        <v>0</v>
      </c>
    </row>
    <row r="113" spans="1:13" customFormat="1" x14ac:dyDescent="0.3">
      <c r="A113" s="79" t="s">
        <v>240</v>
      </c>
      <c r="B113" s="79" t="s">
        <v>240</v>
      </c>
      <c r="C113" s="66">
        <v>0</v>
      </c>
      <c r="D113" s="74">
        <f ca="1">((100/(I102))*C113)/100</f>
        <v>0</v>
      </c>
      <c r="E113" s="74"/>
      <c r="F113" s="74"/>
      <c r="G113" s="74"/>
      <c r="H113" s="74"/>
      <c r="I113" s="74"/>
      <c r="J113" s="74"/>
      <c r="K113" s="54" t="s">
        <v>148</v>
      </c>
      <c r="L113" s="56"/>
      <c r="M113" s="58">
        <f ca="1">(IF(B102=0,I102/4+M108,(I102/(B102+4)+M108+MAX(0,M109-M108)+MAX(0,M110-M109)+MAX(0,M111-M110)+MAX(0,M112-M111))))</f>
        <v>25.5</v>
      </c>
    </row>
    <row r="114" spans="1:13" customFormat="1" ht="16.2" thickBot="1" x14ac:dyDescent="0.35">
      <c r="A114" s="79" t="s">
        <v>241</v>
      </c>
      <c r="B114" s="79"/>
      <c r="C114" s="66">
        <v>0</v>
      </c>
      <c r="D114" s="74">
        <f ca="1">((100/(I102))*C114)/100</f>
        <v>0</v>
      </c>
      <c r="E114" s="74"/>
      <c r="F114" s="74"/>
      <c r="G114" s="74"/>
      <c r="H114" s="74"/>
      <c r="I114" s="74"/>
      <c r="J114" s="74"/>
      <c r="K114" s="63" t="s">
        <v>149</v>
      </c>
      <c r="L114" s="64"/>
      <c r="M114" s="65">
        <f ca="1">(IF(B102=0,I102/4+M113,(I102/(B102+4)+M113)))</f>
        <v>34</v>
      </c>
    </row>
    <row r="115" spans="1:13" x14ac:dyDescent="0.3">
      <c r="A115" s="176" t="s">
        <v>204</v>
      </c>
      <c r="B115" s="177"/>
      <c r="C115" s="177"/>
      <c r="D115" s="177"/>
      <c r="E115" s="177"/>
      <c r="F115" s="177"/>
      <c r="G115" s="177"/>
      <c r="H115" s="177"/>
      <c r="I115" s="177"/>
      <c r="J115" s="178"/>
    </row>
    <row r="116" spans="1:13" x14ac:dyDescent="0.3">
      <c r="A116" s="103" t="s">
        <v>73</v>
      </c>
      <c r="B116" s="104"/>
      <c r="C116" s="104"/>
      <c r="D116" s="104"/>
      <c r="E116" s="104"/>
      <c r="F116" s="104"/>
      <c r="G116" s="104"/>
      <c r="H116" s="104"/>
      <c r="I116" s="104"/>
      <c r="J116" s="105"/>
    </row>
    <row r="117" spans="1:13" ht="15" customHeight="1" x14ac:dyDescent="0.3">
      <c r="A117" s="168" t="s">
        <v>142</v>
      </c>
      <c r="B117" s="169"/>
      <c r="C117" s="170" t="s">
        <v>143</v>
      </c>
      <c r="D117" s="171"/>
      <c r="E117" s="171"/>
      <c r="F117" s="171"/>
      <c r="G117" s="171"/>
      <c r="H117" s="171"/>
      <c r="I117" s="171"/>
      <c r="J117" s="172"/>
    </row>
    <row r="118" spans="1:13" x14ac:dyDescent="0.3">
      <c r="A118" s="113" t="s">
        <v>74</v>
      </c>
      <c r="B118" s="114"/>
      <c r="C118" s="114"/>
      <c r="D118" s="114"/>
      <c r="E118" s="114"/>
      <c r="F118" s="114"/>
      <c r="G118" s="114"/>
      <c r="H118" s="114"/>
      <c r="I118" s="114"/>
      <c r="J118" s="115"/>
    </row>
    <row r="119" spans="1:13" ht="31.95" customHeight="1" x14ac:dyDescent="0.3">
      <c r="A119" s="123" t="s">
        <v>293</v>
      </c>
      <c r="B119" s="111"/>
      <c r="C119" s="111"/>
      <c r="D119" s="111"/>
      <c r="E119" s="111"/>
      <c r="F119" s="112"/>
      <c r="G119" s="160">
        <v>25000</v>
      </c>
      <c r="H119" s="161"/>
      <c r="I119" s="161"/>
      <c r="J119" s="162"/>
      <c r="K119" s="12" t="s">
        <v>296</v>
      </c>
    </row>
    <row r="120" spans="1:13" ht="31.05" customHeight="1" x14ac:dyDescent="0.3">
      <c r="A120" s="123" t="s">
        <v>294</v>
      </c>
      <c r="B120" s="111"/>
      <c r="C120" s="111"/>
      <c r="D120" s="111"/>
      <c r="E120" s="111"/>
      <c r="F120" s="112"/>
      <c r="G120" s="160">
        <v>23000</v>
      </c>
      <c r="H120" s="161"/>
      <c r="I120" s="161"/>
      <c r="J120" s="162"/>
    </row>
    <row r="121" spans="1:13" x14ac:dyDescent="0.3">
      <c r="A121" s="110" t="s">
        <v>201</v>
      </c>
      <c r="B121" s="111"/>
      <c r="C121" s="111"/>
      <c r="D121" s="111"/>
      <c r="E121" s="111"/>
      <c r="F121" s="112"/>
      <c r="G121" s="157">
        <v>30000</v>
      </c>
      <c r="H121" s="158"/>
      <c r="I121" s="158"/>
      <c r="J121" s="159"/>
    </row>
    <row r="122" spans="1:13" x14ac:dyDescent="0.3">
      <c r="A122" s="110" t="s">
        <v>150</v>
      </c>
      <c r="B122" s="111"/>
      <c r="C122" s="111"/>
      <c r="D122" s="111"/>
      <c r="E122" s="111"/>
      <c r="F122" s="112"/>
      <c r="G122" s="157">
        <v>35000</v>
      </c>
      <c r="H122" s="158"/>
      <c r="I122" s="158"/>
      <c r="J122" s="159"/>
    </row>
    <row r="123" spans="1:13" x14ac:dyDescent="0.3">
      <c r="A123" s="110" t="s">
        <v>75</v>
      </c>
      <c r="B123" s="111"/>
      <c r="C123" s="111"/>
      <c r="D123" s="111"/>
      <c r="E123" s="111"/>
      <c r="F123" s="112"/>
      <c r="G123" s="153">
        <v>800000</v>
      </c>
      <c r="H123" s="154"/>
      <c r="I123" s="154"/>
      <c r="J123" s="155"/>
    </row>
    <row r="124" spans="1:13" s="14" customFormat="1" ht="14.55" customHeight="1" x14ac:dyDescent="0.3">
      <c r="A124" s="113" t="s">
        <v>76</v>
      </c>
      <c r="B124" s="114"/>
      <c r="C124" s="114"/>
      <c r="D124" s="114"/>
      <c r="E124" s="114"/>
      <c r="F124" s="115"/>
      <c r="G124" s="156">
        <f>G119*0.8</f>
        <v>20000</v>
      </c>
      <c r="H124" s="127"/>
      <c r="I124" s="127"/>
      <c r="J124" s="128"/>
    </row>
    <row r="125" spans="1:13" s="1" customFormat="1" ht="15.75" customHeight="1" x14ac:dyDescent="0.3">
      <c r="A125" s="139" t="s">
        <v>151</v>
      </c>
      <c r="B125" s="140"/>
      <c r="C125" s="140"/>
      <c r="D125" s="140"/>
      <c r="E125" s="140"/>
      <c r="F125" s="140"/>
      <c r="G125" s="140"/>
      <c r="H125" s="140"/>
      <c r="I125" s="140"/>
      <c r="J125" s="152"/>
    </row>
    <row r="126" spans="1:13" s="1" customFormat="1" ht="15.75" customHeight="1" x14ac:dyDescent="0.3">
      <c r="A126" s="137" t="s">
        <v>77</v>
      </c>
      <c r="B126" s="137"/>
      <c r="C126" s="10" t="s">
        <v>176</v>
      </c>
      <c r="D126" s="138" t="s">
        <v>78</v>
      </c>
      <c r="E126" s="138"/>
      <c r="F126" s="138"/>
      <c r="G126" s="137" t="s">
        <v>79</v>
      </c>
      <c r="H126" s="137"/>
      <c r="I126" s="137"/>
      <c r="J126" s="137"/>
    </row>
    <row r="127" spans="1:13" s="1" customFormat="1" x14ac:dyDescent="0.3">
      <c r="A127" s="147" t="s">
        <v>277</v>
      </c>
      <c r="B127" s="147"/>
      <c r="C127" s="35">
        <f>COUNT(D192:E199)</f>
        <v>8</v>
      </c>
      <c r="D127" s="148">
        <f>SUM(D192:E199)</f>
        <v>6372.1803599999994</v>
      </c>
      <c r="E127" s="148"/>
      <c r="F127" s="148"/>
      <c r="G127" s="149">
        <f>SUM(G192:G199)</f>
        <v>10195.488576000002</v>
      </c>
      <c r="H127" s="149"/>
      <c r="I127" s="149"/>
      <c r="J127" s="149"/>
    </row>
    <row r="128" spans="1:13" s="1" customFormat="1" x14ac:dyDescent="0.3">
      <c r="A128" s="147" t="s">
        <v>278</v>
      </c>
      <c r="B128" s="147"/>
      <c r="C128" s="35">
        <f>COUNT(D209:E218)</f>
        <v>10</v>
      </c>
      <c r="D128" s="148">
        <f>SUM(D209:E218)</f>
        <v>13732.495920000001</v>
      </c>
      <c r="E128" s="148"/>
      <c r="F128" s="148"/>
      <c r="G128" s="149">
        <f>SUM(G209:G218)</f>
        <v>21971.993472000006</v>
      </c>
      <c r="H128" s="149"/>
      <c r="I128" s="149"/>
      <c r="J128" s="149"/>
    </row>
    <row r="129" spans="1:10" s="1" customFormat="1" x14ac:dyDescent="0.3">
      <c r="A129" s="150" t="s">
        <v>81</v>
      </c>
      <c r="B129" s="150"/>
      <c r="C129" s="37">
        <f>SUM(C127:C128)</f>
        <v>18</v>
      </c>
      <c r="D129" s="151">
        <f>SUM(D127:F128)</f>
        <v>20104.67628</v>
      </c>
      <c r="E129" s="151"/>
      <c r="F129" s="151"/>
      <c r="G129" s="137">
        <f>SUM(G127:J128)</f>
        <v>32167.482048000005</v>
      </c>
      <c r="H129" s="137"/>
      <c r="I129" s="137"/>
      <c r="J129" s="137"/>
    </row>
    <row r="130" spans="1:10" s="1" customFormat="1" x14ac:dyDescent="0.3">
      <c r="A130" s="150" t="s">
        <v>135</v>
      </c>
      <c r="B130" s="150"/>
      <c r="C130" s="150"/>
      <c r="D130" s="150"/>
      <c r="E130" s="150"/>
      <c r="F130" s="150"/>
      <c r="G130" s="150"/>
      <c r="H130" s="150"/>
      <c r="I130" s="150"/>
      <c r="J130" s="150"/>
    </row>
    <row r="131" spans="1:10" s="1" customFormat="1" x14ac:dyDescent="0.3">
      <c r="A131" s="137" t="s">
        <v>77</v>
      </c>
      <c r="B131" s="137"/>
      <c r="C131" s="10" t="s">
        <v>199</v>
      </c>
      <c r="D131" s="138" t="s">
        <v>78</v>
      </c>
      <c r="E131" s="138"/>
      <c r="F131" s="138"/>
      <c r="G131" s="137" t="s">
        <v>79</v>
      </c>
      <c r="H131" s="137"/>
      <c r="I131" s="137"/>
      <c r="J131" s="137"/>
    </row>
    <row r="132" spans="1:10" s="1" customFormat="1" x14ac:dyDescent="0.3">
      <c r="A132" s="129" t="s">
        <v>190</v>
      </c>
      <c r="B132" s="130"/>
      <c r="C132" s="11">
        <f>COUNT(D145:E146)*12+COUNT(D148:E149)*4+COUNT(D151:E152)+COUNT(D154)+COUNT(D157:E158)*6+COUNT(D160:E161)*2+COUNT(D163:E164)</f>
        <v>53</v>
      </c>
      <c r="D132" s="131">
        <f>SUM(D145:E146)*12+SUM(D148:E149)*4+SUM(D151:E152)+SUM(D154)+SUM(D157:E158)*6+SUM(D160:E161)*2+SUM(D163:E164)</f>
        <v>159074.88446303998</v>
      </c>
      <c r="E132" s="132"/>
      <c r="F132" s="133"/>
      <c r="G132" s="134">
        <f>SUM(G145:G146)*12+SUM(G148:G149)*4+SUM(G151:G152)+SUM(G154)+SUM(G157:G158)*6+SUM(G160:G161)*2+SUM(G163:G164)</f>
        <v>238612.32669456</v>
      </c>
      <c r="H132" s="135"/>
      <c r="I132" s="135"/>
      <c r="J132" s="136"/>
    </row>
    <row r="133" spans="1:10" s="1" customFormat="1" x14ac:dyDescent="0.3">
      <c r="A133" s="129" t="s">
        <v>193</v>
      </c>
      <c r="B133" s="130"/>
      <c r="C133" s="11">
        <f>COUNT(D173:E174)*13+COUNT(D176:E177)*4+COUNT(D179:E180)+COUNT(D182:E183)*6+COUNT(D185:E186)*2+COUNT(D188)</f>
        <v>53</v>
      </c>
      <c r="D133" s="131">
        <f>SUM(D173:E174)*13+SUM(D176:E177)*4+SUM(D179:E180)+SUM(D182:E183)*6+SUM(D185:E186)*2+SUM(D188)</f>
        <v>162354.84281761677</v>
      </c>
      <c r="E133" s="132"/>
      <c r="F133" s="133"/>
      <c r="G133" s="134">
        <f>SUM(G173:G174)*13+SUM(G176:G177)*4+SUM(G179:G180)+SUM(G182:G183)*6+SUM(G185:G186)*2+SUM(G188)</f>
        <v>243532.26422642515</v>
      </c>
      <c r="H133" s="135"/>
      <c r="I133" s="135"/>
      <c r="J133" s="136"/>
    </row>
    <row r="134" spans="1:10" s="1" customFormat="1" x14ac:dyDescent="0.3">
      <c r="A134" s="129" t="s">
        <v>250</v>
      </c>
      <c r="B134" s="130"/>
      <c r="C134" s="11">
        <f>COUNT(D203)*34</f>
        <v>34</v>
      </c>
      <c r="D134" s="131">
        <f>SUM(D203)*34</f>
        <v>113948.93324879998</v>
      </c>
      <c r="E134" s="132"/>
      <c r="F134" s="133"/>
      <c r="G134" s="134">
        <f>SUM(G203)*34</f>
        <v>170923.39987319996</v>
      </c>
      <c r="H134" s="135"/>
      <c r="I134" s="135"/>
      <c r="J134" s="136"/>
    </row>
    <row r="135" spans="1:10" s="1" customFormat="1" x14ac:dyDescent="0.3">
      <c r="A135" s="129" t="s">
        <v>253</v>
      </c>
      <c r="B135" s="130"/>
      <c r="C135" s="11">
        <f>COUNT(D223:E224)*34</f>
        <v>68</v>
      </c>
      <c r="D135" s="131">
        <f>SUM(D223:E224)*34</f>
        <v>92515.073040000003</v>
      </c>
      <c r="E135" s="132"/>
      <c r="F135" s="133"/>
      <c r="G135" s="134">
        <f>SUM(G223:G224)*34</f>
        <v>138772.60956000001</v>
      </c>
      <c r="H135" s="135"/>
      <c r="I135" s="135"/>
      <c r="J135" s="136"/>
    </row>
    <row r="136" spans="1:10" s="1" customFormat="1" x14ac:dyDescent="0.3">
      <c r="A136" s="139" t="s">
        <v>81</v>
      </c>
      <c r="B136" s="140"/>
      <c r="C136" s="10">
        <f>SUM(C132:C135)</f>
        <v>208</v>
      </c>
      <c r="D136" s="141">
        <f>SUM(D132:F135)</f>
        <v>527893.73356945673</v>
      </c>
      <c r="E136" s="142"/>
      <c r="F136" s="143"/>
      <c r="G136" s="144">
        <f>SUM(G132:J135)</f>
        <v>791840.6003541851</v>
      </c>
      <c r="H136" s="145"/>
      <c r="I136" s="145"/>
      <c r="J136" s="146"/>
    </row>
    <row r="137" spans="1:10" s="14" customFormat="1" x14ac:dyDescent="0.3">
      <c r="A137" s="205" t="s">
        <v>82</v>
      </c>
      <c r="B137" s="206"/>
      <c r="C137" s="206"/>
      <c r="D137" s="206"/>
      <c r="E137" s="206"/>
      <c r="F137" s="206"/>
      <c r="G137" s="206"/>
      <c r="H137" s="206"/>
      <c r="I137" s="206"/>
      <c r="J137" s="207"/>
    </row>
    <row r="138" spans="1:10" x14ac:dyDescent="0.3">
      <c r="A138" s="205" t="s">
        <v>83</v>
      </c>
      <c r="B138" s="206"/>
      <c r="C138" s="206"/>
      <c r="D138" s="206"/>
      <c r="E138" s="206"/>
      <c r="F138" s="206"/>
      <c r="G138" s="206"/>
      <c r="H138" s="206"/>
      <c r="I138" s="206"/>
      <c r="J138" s="207"/>
    </row>
    <row r="139" spans="1:10" ht="41.4" x14ac:dyDescent="0.3">
      <c r="A139" s="230" t="s">
        <v>152</v>
      </c>
      <c r="B139" s="231"/>
      <c r="C139" s="2" t="s">
        <v>84</v>
      </c>
      <c r="D139" s="230" t="s">
        <v>85</v>
      </c>
      <c r="E139" s="231"/>
      <c r="F139" s="15" t="s">
        <v>86</v>
      </c>
      <c r="G139" s="2" t="s">
        <v>87</v>
      </c>
      <c r="H139" s="2" t="s">
        <v>88</v>
      </c>
      <c r="I139" s="230" t="s">
        <v>89</v>
      </c>
      <c r="J139" s="231"/>
    </row>
    <row r="140" spans="1:10" s="3" customFormat="1" x14ac:dyDescent="0.3">
      <c r="A140" s="106" t="s">
        <v>190</v>
      </c>
      <c r="B140" s="107"/>
      <c r="C140" s="107"/>
      <c r="D140" s="107"/>
      <c r="E140" s="107"/>
      <c r="F140" s="107"/>
      <c r="G140" s="107"/>
      <c r="H140" s="107"/>
      <c r="I140" s="107"/>
      <c r="J140" s="108"/>
    </row>
    <row r="141" spans="1:10" s="3" customFormat="1" x14ac:dyDescent="0.3">
      <c r="A141" s="106" t="s">
        <v>259</v>
      </c>
      <c r="B141" s="107"/>
      <c r="C141" s="107"/>
      <c r="D141" s="107"/>
      <c r="E141" s="107"/>
      <c r="F141" s="107"/>
      <c r="G141" s="107"/>
      <c r="H141" s="107"/>
      <c r="I141" s="107"/>
      <c r="J141" s="108"/>
    </row>
    <row r="142" spans="1:10" s="3" customFormat="1" x14ac:dyDescent="0.3">
      <c r="A142" s="106" t="s">
        <v>256</v>
      </c>
      <c r="B142" s="107"/>
      <c r="C142" s="107"/>
      <c r="D142" s="107"/>
      <c r="E142" s="107"/>
      <c r="F142" s="107"/>
      <c r="G142" s="107"/>
      <c r="H142" s="107"/>
      <c r="I142" s="107"/>
      <c r="J142" s="108"/>
    </row>
    <row r="143" spans="1:10" s="3" customFormat="1" x14ac:dyDescent="0.3">
      <c r="A143" s="106" t="s">
        <v>194</v>
      </c>
      <c r="B143" s="107"/>
      <c r="C143" s="107"/>
      <c r="D143" s="107"/>
      <c r="E143" s="107"/>
      <c r="F143" s="107"/>
      <c r="G143" s="107"/>
      <c r="H143" s="107"/>
      <c r="I143" s="107"/>
      <c r="J143" s="108"/>
    </row>
    <row r="144" spans="1:10" s="3" customFormat="1" x14ac:dyDescent="0.3">
      <c r="A144" s="106" t="s">
        <v>260</v>
      </c>
      <c r="B144" s="107"/>
      <c r="C144" s="107"/>
      <c r="D144" s="107"/>
      <c r="E144" s="107"/>
      <c r="F144" s="107"/>
      <c r="G144" s="107"/>
      <c r="H144" s="107"/>
      <c r="I144" s="107"/>
      <c r="J144" s="108"/>
    </row>
    <row r="145" spans="1:17" s="3" customFormat="1" ht="15.75" customHeight="1" x14ac:dyDescent="0.3">
      <c r="A145" s="97">
        <v>1</v>
      </c>
      <c r="B145" s="98"/>
      <c r="C145" s="4" t="s">
        <v>196</v>
      </c>
      <c r="D145" s="97">
        <f>(4.3*3.35+3.85*1.38+3.55*4.25+3.575*5.12+5.24*11.15+2.445*2.43+5.56*1.38+2.53*0.6+2.38*1.37+2.53*1.83+2.53*1.83+3.65*4.83+1.6*2.2+1.955*2.23+1.8*4.58+3.83*6.2+0.97+1.38+3.65*5.57+2.53*2+2.53*1.83+(3.55*1.655+5.64*2+5.24*1.5+3.65*1.6+3.78*1.5))*10.764</f>
        <v>2858.7337973999997</v>
      </c>
      <c r="E145" s="98"/>
      <c r="F145" s="4">
        <v>0</v>
      </c>
      <c r="G145" s="4">
        <f>D145*1.5</f>
        <v>4288.1006960999994</v>
      </c>
      <c r="H145" s="84" t="str">
        <f>A144</f>
        <v>1st to 3rd, 5th to 7th, 9th to 11th, 13th to 15th Floor</v>
      </c>
      <c r="I145" s="85"/>
      <c r="J145" s="86"/>
      <c r="L145" s="3">
        <f>100000000/G145</f>
        <v>23320.347885241914</v>
      </c>
    </row>
    <row r="146" spans="1:17" s="3" customFormat="1" x14ac:dyDescent="0.3">
      <c r="A146" s="97">
        <v>2</v>
      </c>
      <c r="B146" s="98"/>
      <c r="C146" s="4" t="s">
        <v>196</v>
      </c>
      <c r="D146" s="97">
        <f>(4.3*3.35+3.85*1.38+3.55*4.25+3.575*5.12+5.24*11.15+2.445*2.43+5.56*1.38+2.53*0.6+2.38*1.37+2.53*1.83+2.53*1.83+3.65*4.83+1.6*2.2+1.955*2.23+1.8*4.58+3.83*6.2+0.97+1.38+3.65*5.57+2.53*2+2.53*1.83+(3.55*1.655+5.64*2+5.24*1.5+3.65*1.6+3.78*1.5))*10.764</f>
        <v>2858.7337973999997</v>
      </c>
      <c r="E146" s="98"/>
      <c r="F146" s="4">
        <v>0</v>
      </c>
      <c r="G146" s="4">
        <f>D146*1.5</f>
        <v>4288.1006960999994</v>
      </c>
      <c r="H146" s="87"/>
      <c r="I146" s="88"/>
      <c r="J146" s="89"/>
    </row>
    <row r="147" spans="1:17" s="3" customFormat="1" x14ac:dyDescent="0.3">
      <c r="A147" s="106" t="s">
        <v>268</v>
      </c>
      <c r="B147" s="107"/>
      <c r="C147" s="107"/>
      <c r="D147" s="107"/>
      <c r="E147" s="107"/>
      <c r="F147" s="107"/>
      <c r="G147" s="107"/>
      <c r="H147" s="107"/>
      <c r="I147" s="107"/>
      <c r="J147" s="108"/>
    </row>
    <row r="148" spans="1:17" s="3" customFormat="1" ht="18" customHeight="1" x14ac:dyDescent="0.3">
      <c r="A148" s="97">
        <v>1</v>
      </c>
      <c r="B148" s="98"/>
      <c r="C148" s="4" t="s">
        <v>196</v>
      </c>
      <c r="D148" s="97">
        <f>(4.3*3.35+3.85*1.38+3.55*4.25+3.575*5.12+5.24*11.15+2.445*2.43+5.56*1.38+2.53*0.6+2.38*1.37+2.53*1.83+2.53*1.83+3.65*4.83+1.6*2.2+1.955*2.23+1.8*4.58+3.83*6.2+0.97+1.38+3.65*5.57+2.53*2+2.53*1.83+(3.55*1.655+5.64*2+5.24*1.5+3.65*1.6+3.78*1.5))*10.764</f>
        <v>2858.7337973999997</v>
      </c>
      <c r="E148" s="98"/>
      <c r="F148" s="4">
        <v>0</v>
      </c>
      <c r="G148" s="4">
        <f t="shared" ref="G148:G149" si="0">D148*1.5</f>
        <v>4288.1006960999994</v>
      </c>
      <c r="H148" s="84" t="str">
        <f>A147</f>
        <v>4th, 8th, 12th &amp; 16th Floor (Refuge Area at Mid landing)</v>
      </c>
      <c r="I148" s="85" t="str">
        <f>A147</f>
        <v>4th, 8th, 12th &amp; 16th Floor (Refuge Area at Mid landing)</v>
      </c>
      <c r="J148" s="86"/>
    </row>
    <row r="149" spans="1:17" s="3" customFormat="1" ht="18" customHeight="1" x14ac:dyDescent="0.3">
      <c r="A149" s="97">
        <v>2</v>
      </c>
      <c r="B149" s="98"/>
      <c r="C149" s="4" t="s">
        <v>196</v>
      </c>
      <c r="D149" s="97">
        <f>(4.3*3.35+3.85*1.38+3.55*4.25+3.575*5.12+5.24*11.15+2.445*2.43+5.56*1.38+2.53*0.6+2.38*1.37+2.53*1.83+2.53*1.83+3.65*4.83+1.6*2.2+1.955*2.23+1.8*4.58+3.83*6.2+0.97+1.38+3.65*5.57+2.53*2+2.53*1.83+(3.55*1.655+5.64*2+5.24*1.5+3.65*1.6+3.78*1.5))*10.764</f>
        <v>2858.7337973999997</v>
      </c>
      <c r="E149" s="98"/>
      <c r="F149" s="4">
        <v>0</v>
      </c>
      <c r="G149" s="4">
        <f t="shared" si="0"/>
        <v>4288.1006960999994</v>
      </c>
      <c r="H149" s="87" t="s">
        <v>90</v>
      </c>
      <c r="I149" s="88"/>
      <c r="J149" s="89"/>
    </row>
    <row r="150" spans="1:17" s="3" customFormat="1" x14ac:dyDescent="0.3">
      <c r="A150" s="106" t="s">
        <v>263</v>
      </c>
      <c r="B150" s="107"/>
      <c r="C150" s="107"/>
      <c r="D150" s="107"/>
      <c r="E150" s="107"/>
      <c r="F150" s="107"/>
      <c r="G150" s="107"/>
      <c r="H150" s="107"/>
      <c r="I150" s="107"/>
      <c r="J150" s="108"/>
    </row>
    <row r="151" spans="1:17" s="3" customFormat="1" ht="15.75" customHeight="1" x14ac:dyDescent="0.3">
      <c r="A151" s="97">
        <v>1</v>
      </c>
      <c r="B151" s="98"/>
      <c r="C151" s="4" t="s">
        <v>196</v>
      </c>
      <c r="D151" s="97">
        <f>(4.3*3.35+3.85*1.38+3.55*4.25+3.575*5.12+5.24*11.15+2.445*2.43+5.56*1.38+2.53*0.6+2.38*1.37+2.53*1.83+2.53*1.83+3.65*4.83+1.6*2.2+1.955*2.23+1.8*4.58+3.83*6.2+0.97+1.38+3.65*5.57+2.53*2+2.53*1.83+(3.55*1.655+5.64*2+5.24*1.5+3.65*1.6+3.78*1.5))*10.764</f>
        <v>2858.7337973999997</v>
      </c>
      <c r="E151" s="98"/>
      <c r="F151" s="4">
        <v>0</v>
      </c>
      <c r="G151" s="4">
        <f t="shared" ref="G151:G152" si="1">D151*1.5</f>
        <v>4288.1006960999994</v>
      </c>
      <c r="H151" s="84" t="str">
        <f>A150</f>
        <v>17th Floor</v>
      </c>
      <c r="I151" s="85" t="s">
        <v>198</v>
      </c>
      <c r="J151" s="86"/>
    </row>
    <row r="152" spans="1:17" s="3" customFormat="1" ht="31.5" customHeight="1" x14ac:dyDescent="0.3">
      <c r="A152" s="97">
        <v>2</v>
      </c>
      <c r="B152" s="98"/>
      <c r="C152" s="4" t="s">
        <v>264</v>
      </c>
      <c r="D152" s="97">
        <f>(4.3*3.35+3.85*1.38+3.55*4.25+3.575*5.12+5.24*11.15+2.445*2.43+5.56*1.38+2.53*0.6+2.38*1.37+2.53*1.83+2.53*1.83+3.65*4.83+1.6*2.2+1.955*2.23+1.8*4.58+3.83*6.2+0.97+1.38+3.65*5.57+2.53*2+2.53*1.83+(3.55*1.655+5.64*2+5.24*1.5+3.65*1.6+3.78*1.5)+(4.3*3.35+3.85*1.38+3.55*4.25+3.575*5.12+5.24*11.15+5.56*1.38+2.53*0.6+2.38*1.37+2.53*1.83+2.53*1.83+3.65*4.83+1.6*2.2+1.955*2.23+1.8*4.58+3.83*6.2+0.97+1.38+3.65*5.57+2.53*2+2.53*1.83+(3.55*1.655+5.64*2+5.24*1.5+3.65*1.6+3.78*1.5)))*10.764</f>
        <v>5653.5149033999996</v>
      </c>
      <c r="E152" s="98"/>
      <c r="F152" s="4">
        <v>0</v>
      </c>
      <c r="G152" s="4">
        <f t="shared" si="1"/>
        <v>8480.2723550999999</v>
      </c>
      <c r="H152" s="87" t="s">
        <v>90</v>
      </c>
      <c r="I152" s="88"/>
      <c r="J152" s="89"/>
    </row>
    <row r="153" spans="1:17" s="3" customFormat="1" ht="18.75" customHeight="1" x14ac:dyDescent="0.3">
      <c r="A153" s="106" t="s">
        <v>265</v>
      </c>
      <c r="B153" s="107"/>
      <c r="C153" s="107"/>
      <c r="D153" s="107"/>
      <c r="E153" s="107"/>
      <c r="F153" s="107"/>
      <c r="G153" s="107"/>
      <c r="H153" s="107"/>
      <c r="I153" s="107"/>
      <c r="J153" s="108"/>
    </row>
    <row r="154" spans="1:17" s="3" customFormat="1" x14ac:dyDescent="0.3">
      <c r="A154" s="97">
        <v>1</v>
      </c>
      <c r="B154" s="98"/>
      <c r="C154" s="4" t="s">
        <v>196</v>
      </c>
      <c r="D154" s="97">
        <f>(4.3*3.35+3.85*1.38+3.55*4.25+3.575*5.12+5.24*11.15+2.445*2.43+5.56*1.38+2.53*0.6+2.38*1.37+2.53*1.83+2.53*1.83+3.65*4.83+1.6*2.2+1.955*2.23+1.8*4.58+3.83*6.2+0.97+1.38+3.65*5.57+2.53*2+2.53*1.83+(3.55*1.655+5.64*2+5.24*1.5+3.65*1.6+3.78*1.5))*10.764</f>
        <v>2858.7337973999997</v>
      </c>
      <c r="E154" s="98"/>
      <c r="F154" s="4">
        <v>0</v>
      </c>
      <c r="G154" s="4">
        <f t="shared" ref="G154" si="2">D154*1.5</f>
        <v>4288.1006960999994</v>
      </c>
      <c r="H154" s="4" t="s">
        <v>90</v>
      </c>
      <c r="I154" s="84" t="s">
        <v>198</v>
      </c>
      <c r="J154" s="86"/>
    </row>
    <row r="155" spans="1:17" s="3" customFormat="1" x14ac:dyDescent="0.3">
      <c r="A155" s="97">
        <v>2</v>
      </c>
      <c r="B155" s="98"/>
      <c r="C155" s="97" t="s">
        <v>266</v>
      </c>
      <c r="D155" s="249"/>
      <c r="E155" s="249"/>
      <c r="F155" s="249"/>
      <c r="G155" s="249"/>
      <c r="H155" s="98"/>
      <c r="I155" s="87"/>
      <c r="J155" s="89"/>
    </row>
    <row r="156" spans="1:17" s="3" customFormat="1" x14ac:dyDescent="0.3">
      <c r="A156" s="106" t="s">
        <v>267</v>
      </c>
      <c r="B156" s="107"/>
      <c r="C156" s="107"/>
      <c r="D156" s="107"/>
      <c r="E156" s="107"/>
      <c r="F156" s="107"/>
      <c r="G156" s="107"/>
      <c r="H156" s="107"/>
      <c r="I156" s="107"/>
      <c r="J156" s="108"/>
    </row>
    <row r="157" spans="1:17" s="3" customFormat="1" ht="15.75" customHeight="1" x14ac:dyDescent="0.3">
      <c r="A157" s="97">
        <v>1</v>
      </c>
      <c r="B157" s="98"/>
      <c r="C157" s="4" t="s">
        <v>196</v>
      </c>
      <c r="D157" s="97">
        <f>(4.3*3.35+3.85*1.38+3.55*4.25+3.575*5.12+5.24*11.15+2.445*2.43+5.56*1.38+2.53*0.6+2.38*1.37+2.53*1.83+2.53*1.83+3.65*4.83+1.6*2.2+1.955*2.23+1.8*4.58+3.83*6.2+0.97+1.38+3.65*5.57+2.53*2+2.53*1.83+(3.55*1.655+5.64*2+5.24*1.5+3.65*1.6+3.78*1.5))*10.764</f>
        <v>2858.7337973999997</v>
      </c>
      <c r="E157" s="98"/>
      <c r="F157" s="4">
        <v>0</v>
      </c>
      <c r="G157" s="4">
        <f>D157*1.5</f>
        <v>4288.1006960999994</v>
      </c>
      <c r="H157" s="84" t="str">
        <f>A156</f>
        <v>19th, 21st, 22nd, 23rd, 25th &amp; 26th Floor</v>
      </c>
      <c r="I157" s="85" t="str">
        <f>A156</f>
        <v>19th, 21st, 22nd, 23rd, 25th &amp; 26th Floor</v>
      </c>
      <c r="J157" s="86"/>
      <c r="L157" s="3">
        <f>100000000/G157</f>
        <v>23320.347885241914</v>
      </c>
    </row>
    <row r="158" spans="1:17" s="3" customFormat="1" x14ac:dyDescent="0.3">
      <c r="A158" s="97">
        <v>2</v>
      </c>
      <c r="B158" s="98"/>
      <c r="C158" s="4" t="s">
        <v>196</v>
      </c>
      <c r="D158" s="97">
        <f>(4.3*3.35+3.85*1.38+3.55*4.25+3.575*5.12+5.24*11.15+2.445*2.43+5.56*1.38+2.53*0.6+2.38*1.37+2.53*1.83+2.53*1.83+3.65*4.83+1.6*2.2+1.955*2.23+1.8*4.58+3.83*6.2+0.97+1.38+3.65*5.57+2.53*2+2.53*1.83+(3.55*1.655+5.64*2+5.24*1.5+3.65*1.6+3.78*1.5))*10.764</f>
        <v>2858.7337973999997</v>
      </c>
      <c r="E158" s="98"/>
      <c r="F158" s="4">
        <v>0</v>
      </c>
      <c r="G158" s="4">
        <f>D158*1.5</f>
        <v>4288.1006960999994</v>
      </c>
      <c r="H158" s="87" t="s">
        <v>90</v>
      </c>
      <c r="I158" s="88"/>
      <c r="J158" s="89"/>
      <c r="Q158" s="71">
        <f>D157+D158</f>
        <v>5717.4675947999995</v>
      </c>
    </row>
    <row r="159" spans="1:17" s="3" customFormat="1" x14ac:dyDescent="0.3">
      <c r="A159" s="106" t="s">
        <v>269</v>
      </c>
      <c r="B159" s="107"/>
      <c r="C159" s="107"/>
      <c r="D159" s="107"/>
      <c r="E159" s="107"/>
      <c r="F159" s="107"/>
      <c r="G159" s="107"/>
      <c r="H159" s="107"/>
      <c r="I159" s="107"/>
      <c r="J159" s="108"/>
      <c r="Q159" s="71">
        <f>Q158+Q158</f>
        <v>11434.935189599999</v>
      </c>
    </row>
    <row r="160" spans="1:17" s="3" customFormat="1" ht="18" customHeight="1" x14ac:dyDescent="0.3">
      <c r="A160" s="97">
        <v>1</v>
      </c>
      <c r="B160" s="98"/>
      <c r="C160" s="4" t="s">
        <v>196</v>
      </c>
      <c r="D160" s="97">
        <f>(4.3*3.35+3.85*1.38+3.55*4.25+3.575*5.12+5.24*11.15+2.445*2.43+5.56*1.38+2.53*0.6+2.38*1.37+2.53*1.83+2.53*1.83+3.65*4.83+1.6*2.2+1.955*2.23+1.8*4.58+3.83*6.2+0.97+1.38+3.65*5.57+2.53*2+2.53*1.83+(3.55*1.655+5.64*2+5.24*1.5+3.65*1.6+3.78*1.5))*10.764</f>
        <v>2858.7337973999997</v>
      </c>
      <c r="E160" s="98"/>
      <c r="F160" s="4">
        <v>0</v>
      </c>
      <c r="G160" s="4">
        <f t="shared" ref="G160:G161" si="3">D160*1.5</f>
        <v>4288.1006960999994</v>
      </c>
      <c r="H160" s="84" t="str">
        <f>A159</f>
        <v>20th &amp; 24th Floor (Refuge Area at Mid landing)</v>
      </c>
      <c r="I160" s="85"/>
      <c r="J160" s="86"/>
    </row>
    <row r="161" spans="1:10" s="3" customFormat="1" ht="18" customHeight="1" x14ac:dyDescent="0.3">
      <c r="A161" s="97">
        <v>2</v>
      </c>
      <c r="B161" s="98"/>
      <c r="C161" s="4" t="s">
        <v>196</v>
      </c>
      <c r="D161" s="97">
        <f>(4.3*3.35+3.85*1.38+3.55*4.25+3.575*5.12+5.24*11.15+2.445*2.43+5.56*1.38+2.53*0.6+2.38*1.37+2.53*1.83+2.53*1.83+3.65*4.83+1.6*2.2+1.955*2.23+1.8*4.58+3.83*6.2+0.97+1.38+3.65*5.57+2.53*2+2.53*1.83+(3.55*1.655+5.64*2+5.24*1.5+3.65*1.6+3.78*1.5))*10.764</f>
        <v>2858.7337973999997</v>
      </c>
      <c r="E161" s="98"/>
      <c r="F161" s="4">
        <v>0</v>
      </c>
      <c r="G161" s="4">
        <f t="shared" si="3"/>
        <v>4288.1006960999994</v>
      </c>
      <c r="H161" s="87"/>
      <c r="I161" s="88"/>
      <c r="J161" s="89"/>
    </row>
    <row r="162" spans="1:10" s="3" customFormat="1" x14ac:dyDescent="0.3">
      <c r="A162" s="95" t="s">
        <v>271</v>
      </c>
      <c r="B162" s="95"/>
      <c r="C162" s="95"/>
      <c r="D162" s="95"/>
      <c r="E162" s="95"/>
      <c r="F162" s="95"/>
      <c r="G162" s="95"/>
      <c r="H162" s="95"/>
      <c r="I162" s="95"/>
      <c r="J162" s="95"/>
    </row>
    <row r="163" spans="1:10" s="70" customFormat="1" ht="37.5" customHeight="1" x14ac:dyDescent="0.3">
      <c r="A163" s="90">
        <v>1</v>
      </c>
      <c r="B163" s="90"/>
      <c r="C163" s="69" t="s">
        <v>273</v>
      </c>
      <c r="D163" s="90">
        <f>(5.898*4.67+2.633*2.01+3.575*3.33+2.2*2.25+3.85*1.38+3.7*3+3.7*2.7+5.24*3.7+5.24*2+5.24*6.32+5.64*1.85+9.5*1.38+2.38*2.37+2.38*2.66+1.53*2.31+1.68*1+6.1*4.83+6.1*6.2+4.06*2.3+1.53*2.22+2.38*2.13+(7.83*1.5+7.83*1.5)+(5.898*2+0.5*1.38*1.3+9.24*1.38+3.7*1.87+3.7*3.88+5.24*5.85+4.06*1.38+2.38*2.37+2.38*2.66+1.53*2.31+1.68*1+6.1*4.83+6.1*6.2+4.06*2.3+1.53*2.22+2.38*2.13)+(7.68*1.5+7.83*1.5))*10.764</f>
        <v>5348.6201901599998</v>
      </c>
      <c r="E163" s="90"/>
      <c r="F163" s="4">
        <f>(2.395*3.4+6.335*3.04)*10.764</f>
        <v>294.94866960000002</v>
      </c>
      <c r="G163" s="4">
        <f>D163*1.5</f>
        <v>8022.9302852399996</v>
      </c>
      <c r="H163" s="90" t="str">
        <f>A162</f>
        <v>27th Floor (Pent House)</v>
      </c>
      <c r="I163" s="90"/>
      <c r="J163" s="90"/>
    </row>
    <row r="164" spans="1:10" s="3" customFormat="1" ht="33" customHeight="1" x14ac:dyDescent="0.3">
      <c r="A164" s="90">
        <v>2</v>
      </c>
      <c r="B164" s="90"/>
      <c r="C164" s="69" t="s">
        <v>274</v>
      </c>
      <c r="D164" s="90">
        <f>(5.898*4.67+2.633*2.01+3.575*3.33+2.2*2.25+3.85*1.38+3.7*3+3.7*2.7+5.24*3.7+5.24*2+5.24*6.32+5.64*1.85+9.5*1.38+2.38*2.37+2.38*2.66+1.53*2.31+1.68*1+6.1*4.83+6.1*6.2+4.06*2.3+1.53*2.22+2.38*2.13+(7.83*1.5+7.83*1.5)+(7.649*2+0.5*1.35*1.4+3.637*1.38+2.346*1.95+2.445*1.23+5.64*6.37+2.53*3+2.53*1.2+8.119*1.38+5.24*2.35+5.24*3.5+2.38*1.18+2.38*1.2+2.38*2.5+2.5*3.46+2.5*2.75+5.13*6.36+7.83*1.5))*10.764</f>
        <v>5136.0594994800003</v>
      </c>
      <c r="E164" s="90"/>
      <c r="F164" s="4">
        <f>(2.395*3.4+6.335*3.04+7.63*6.22)*10.764</f>
        <v>805.79303999999991</v>
      </c>
      <c r="G164" s="4">
        <f>D164*1.5</f>
        <v>7704.0892492200001</v>
      </c>
      <c r="H164" s="90"/>
      <c r="I164" s="90"/>
      <c r="J164" s="90"/>
    </row>
    <row r="165" spans="1:10" s="3" customFormat="1" x14ac:dyDescent="0.3">
      <c r="A165" s="95" t="s">
        <v>272</v>
      </c>
      <c r="B165" s="95"/>
      <c r="C165" s="95"/>
      <c r="D165" s="95"/>
      <c r="E165" s="95"/>
      <c r="F165" s="95"/>
      <c r="G165" s="95"/>
      <c r="H165" s="95"/>
      <c r="I165" s="95"/>
      <c r="J165" s="95"/>
    </row>
    <row r="166" spans="1:10" s="70" customFormat="1" x14ac:dyDescent="0.3">
      <c r="A166" s="90">
        <v>1</v>
      </c>
      <c r="B166" s="90"/>
      <c r="C166" s="94" t="s">
        <v>275</v>
      </c>
      <c r="D166" s="94"/>
      <c r="E166" s="94"/>
      <c r="F166" s="94"/>
      <c r="G166" s="94"/>
      <c r="H166" s="94"/>
      <c r="I166" s="94" t="str">
        <f>A165</f>
        <v>28th Floor (Pent House)</v>
      </c>
      <c r="J166" s="94"/>
    </row>
    <row r="167" spans="1:10" s="3" customFormat="1" ht="15.75" customHeight="1" x14ac:dyDescent="0.3">
      <c r="A167" s="90">
        <v>2</v>
      </c>
      <c r="B167" s="90"/>
      <c r="C167" s="94" t="s">
        <v>275</v>
      </c>
      <c r="D167" s="94"/>
      <c r="E167" s="94"/>
      <c r="F167" s="94"/>
      <c r="G167" s="94"/>
      <c r="H167" s="94"/>
      <c r="I167" s="94"/>
      <c r="J167" s="94"/>
    </row>
    <row r="168" spans="1:10" s="3" customFormat="1" x14ac:dyDescent="0.3">
      <c r="A168" s="95" t="s">
        <v>193</v>
      </c>
      <c r="B168" s="95"/>
      <c r="C168" s="95"/>
      <c r="D168" s="95"/>
      <c r="E168" s="95"/>
      <c r="F168" s="95"/>
      <c r="G168" s="95"/>
      <c r="H168" s="95"/>
      <c r="I168" s="95"/>
      <c r="J168" s="95"/>
    </row>
    <row r="169" spans="1:10" s="3" customFormat="1" x14ac:dyDescent="0.3">
      <c r="A169" s="95" t="s">
        <v>255</v>
      </c>
      <c r="B169" s="95"/>
      <c r="C169" s="95"/>
      <c r="D169" s="95"/>
      <c r="E169" s="95"/>
      <c r="F169" s="95"/>
      <c r="G169" s="95"/>
      <c r="H169" s="95"/>
      <c r="I169" s="95"/>
      <c r="J169" s="95"/>
    </row>
    <row r="170" spans="1:10" s="3" customFormat="1" x14ac:dyDescent="0.3">
      <c r="A170" s="95" t="s">
        <v>256</v>
      </c>
      <c r="B170" s="95"/>
      <c r="C170" s="95"/>
      <c r="D170" s="95"/>
      <c r="E170" s="95"/>
      <c r="F170" s="95"/>
      <c r="G170" s="95"/>
      <c r="H170" s="95"/>
      <c r="I170" s="95"/>
      <c r="J170" s="95"/>
    </row>
    <row r="171" spans="1:10" s="3" customFormat="1" x14ac:dyDescent="0.3">
      <c r="A171" s="95" t="s">
        <v>194</v>
      </c>
      <c r="B171" s="95"/>
      <c r="C171" s="95"/>
      <c r="D171" s="95"/>
      <c r="E171" s="95"/>
      <c r="F171" s="95"/>
      <c r="G171" s="95"/>
      <c r="H171" s="95"/>
      <c r="I171" s="95"/>
      <c r="J171" s="95"/>
    </row>
    <row r="172" spans="1:10" s="3" customFormat="1" x14ac:dyDescent="0.3">
      <c r="A172" s="106" t="s">
        <v>270</v>
      </c>
      <c r="B172" s="107"/>
      <c r="C172" s="107"/>
      <c r="D172" s="107"/>
      <c r="E172" s="107"/>
      <c r="F172" s="107"/>
      <c r="G172" s="107"/>
      <c r="H172" s="107"/>
      <c r="I172" s="107"/>
      <c r="J172" s="108"/>
    </row>
    <row r="173" spans="1:10" s="3" customFormat="1" ht="15.75" customHeight="1" x14ac:dyDescent="0.3">
      <c r="A173" s="97">
        <v>1</v>
      </c>
      <c r="B173" s="98"/>
      <c r="C173" s="4" t="s">
        <v>196</v>
      </c>
      <c r="D173" s="97">
        <f>(4.3*3.35+3.85*1.38+3.55*4.25+3.575*5.12+5.24*11.15+2.445*2.43+5.56*1.38+2.53*0.6+2.38*1.37+2.53*1.83+2.53*1.83+3.65*4.83+1.6*2.2+1.955*2.23+1.8*4.58+3.83*6.2+0.97+1.38+3.65*5.57+2.53*2+2.53*1.83+(3.55*1.655+5.64*2+5.24*1.5+3.65*1.6+3.78*1.5))*10.764</f>
        <v>2858.7337973999997</v>
      </c>
      <c r="E173" s="98"/>
      <c r="F173" s="4">
        <v>0</v>
      </c>
      <c r="G173" s="4">
        <f>D173*1.5</f>
        <v>4288.1006960999994</v>
      </c>
      <c r="H173" s="84" t="str">
        <f>A172</f>
        <v>1st to 3rd, 5th to 7th, 9th to 11th, 13th to 15th &amp; 17th Floor</v>
      </c>
      <c r="I173" s="85" t="str">
        <f>A172</f>
        <v>1st to 3rd, 5th to 7th, 9th to 11th, 13th to 15th &amp; 17th Floor</v>
      </c>
      <c r="J173" s="86"/>
    </row>
    <row r="174" spans="1:10" s="3" customFormat="1" x14ac:dyDescent="0.3">
      <c r="A174" s="97">
        <v>2</v>
      </c>
      <c r="B174" s="98"/>
      <c r="C174" s="4" t="s">
        <v>196</v>
      </c>
      <c r="D174" s="97">
        <f>(4.3*3.35+3.85*1.38+3.55*4.25+3.575*5.12+5.24*11.15+2.445*2.43+5.56*1.38+2.53*0.6+2.38*1.37+2.53*1.83+2.53*1.83+3.65*4.83+1.6*2.2+1.955*2.23+1.8*4.58+3.83*6.2+0.97+1.38+3.65*5.57+2.53*2+2.53*1.83+(3.55*1.655+5.64*2+5.24*1.5+3.65*1.6+3.78*1.5))*10.764</f>
        <v>2858.7337973999997</v>
      </c>
      <c r="E174" s="98"/>
      <c r="F174" s="4">
        <v>0</v>
      </c>
      <c r="G174" s="4">
        <f>D174*1.5</f>
        <v>4288.1006960999994</v>
      </c>
      <c r="H174" s="87" t="s">
        <v>90</v>
      </c>
      <c r="I174" s="88"/>
      <c r="J174" s="89"/>
    </row>
    <row r="175" spans="1:10" s="3" customFormat="1" x14ac:dyDescent="0.3">
      <c r="A175" s="106" t="s">
        <v>262</v>
      </c>
      <c r="B175" s="107"/>
      <c r="C175" s="107"/>
      <c r="D175" s="107"/>
      <c r="E175" s="107"/>
      <c r="F175" s="107"/>
      <c r="G175" s="107"/>
      <c r="H175" s="107"/>
      <c r="I175" s="107"/>
      <c r="J175" s="108"/>
    </row>
    <row r="176" spans="1:10" s="3" customFormat="1" ht="18" customHeight="1" x14ac:dyDescent="0.3">
      <c r="A176" s="97">
        <v>1</v>
      </c>
      <c r="B176" s="98"/>
      <c r="C176" s="4" t="s">
        <v>196</v>
      </c>
      <c r="D176" s="97">
        <f>(4.3*3.35+3.85*1.38+3.55*4.25+3.575*5.12+5.24*11.15+2.445*2.43+5.56*1.38+2.53*0.6+2.38*1.37+2.53*1.83+2.53*1.83+3.65*4.83+1.6*2.2+1.955*2.23+1.8*4.58+3.83*6.2+0.97+1.38+3.65*5.57+2.53*2+2.53*1.83+(3.55*1.655+5.64*2+5.24*1.5+3.65*1.6+3.78*1.5))*10.764</f>
        <v>2858.7337973999997</v>
      </c>
      <c r="E176" s="98"/>
      <c r="F176" s="4">
        <v>0</v>
      </c>
      <c r="G176" s="4">
        <f t="shared" ref="G176:G177" si="4">D176*1.5</f>
        <v>4288.1006960999994</v>
      </c>
      <c r="H176" s="84" t="str">
        <f>A175</f>
        <v>4th, 8th, 12th &amp; 16th Floor</v>
      </c>
      <c r="I176" s="85" t="str">
        <f>A175</f>
        <v>4th, 8th, 12th &amp; 16th Floor</v>
      </c>
      <c r="J176" s="86"/>
    </row>
    <row r="177" spans="1:15" s="3" customFormat="1" ht="18" customHeight="1" x14ac:dyDescent="0.3">
      <c r="A177" s="97">
        <v>2</v>
      </c>
      <c r="B177" s="98"/>
      <c r="C177" s="4" t="s">
        <v>196</v>
      </c>
      <c r="D177" s="97">
        <f>(4.3*3.35+3.85*1.38+3.55*4.25+3.575*5.12+5.24*11.15+2.445*2.43+5.56*1.38+2.53*0.6+2.38*1.37+2.53*1.83+2.53*1.83+3.65*4.83+1.6*2.2+1.955*2.23+1.8*4.58+3.83*6.2+0.97+1.38+3.65*5.57+2.53*2+2.53*1.83+(3.55*1.655+5.64*2+5.24*1.5+3.65*1.6+3.78*1.5))*10.764</f>
        <v>2858.7337973999997</v>
      </c>
      <c r="E177" s="98"/>
      <c r="F177" s="4">
        <v>0</v>
      </c>
      <c r="G177" s="4">
        <f t="shared" si="4"/>
        <v>4288.1006960999994</v>
      </c>
      <c r="H177" s="87" t="s">
        <v>90</v>
      </c>
      <c r="I177" s="88"/>
      <c r="J177" s="89"/>
    </row>
    <row r="178" spans="1:15" s="3" customFormat="1" x14ac:dyDescent="0.3">
      <c r="A178" s="106" t="s">
        <v>265</v>
      </c>
      <c r="B178" s="107"/>
      <c r="C178" s="107"/>
      <c r="D178" s="107"/>
      <c r="E178" s="107"/>
      <c r="F178" s="107"/>
      <c r="G178" s="107"/>
      <c r="H178" s="107"/>
      <c r="I178" s="107"/>
      <c r="J178" s="108"/>
    </row>
    <row r="179" spans="1:15" s="3" customFormat="1" ht="18" customHeight="1" x14ac:dyDescent="0.3">
      <c r="A179" s="97">
        <v>1</v>
      </c>
      <c r="B179" s="98"/>
      <c r="C179" s="4" t="s">
        <v>196</v>
      </c>
      <c r="D179" s="97">
        <f>(4.3*3.35+3.85*1.38+3.55*4.25+3.575*5.12+5.24*11.15+2.445*2.43+5.56*1.38+2.53*0.6+2.38*1.37+2.53*1.83+2.53*1.83+3.65*4.83+1.6*2.2+1.955*2.23+1.8*4.58+3.83*6.2+0.97+1.38+3.65*5.57+2.53*2+2.53*1.83+(3.55*1.655+5.64*2+5.24*1.5+3.65*1.6+3.78*1.5))*10.764</f>
        <v>2858.7337973999997</v>
      </c>
      <c r="E179" s="98"/>
      <c r="F179" s="4">
        <v>0</v>
      </c>
      <c r="G179" s="4">
        <f t="shared" ref="G179:G180" si="5">D179*1.5</f>
        <v>4288.1006960999994</v>
      </c>
      <c r="H179" s="84" t="str">
        <f>A178</f>
        <v>18th Floor</v>
      </c>
      <c r="I179" s="85" t="str">
        <f>A178</f>
        <v>18th Floor</v>
      </c>
      <c r="J179" s="86"/>
    </row>
    <row r="180" spans="1:15" s="3" customFormat="1" ht="18" customHeight="1" x14ac:dyDescent="0.3">
      <c r="A180" s="97">
        <v>2</v>
      </c>
      <c r="B180" s="98"/>
      <c r="C180" s="4" t="s">
        <v>196</v>
      </c>
      <c r="D180" s="97">
        <f>(4.3*3.35+3.85*1.38+3.55*4.25+3.575*5.12+5.24*11.15+2.445*2.43+5.56*1.38+2.53*0.6+2.38*1.37+2.53*1.83+2.53*1.83+3.65*4.83+1.6*2.2+1.955*2.23+1.8*4.58+3.83*6.2+0.97+1.38+3.65*5.57+2.53*2+2.53*1.83+(3.55*1.655+5.64*2+5.24*1.5+3.65*1.6+3.78*1.5))*10.764</f>
        <v>2858.7337973999997</v>
      </c>
      <c r="E180" s="98"/>
      <c r="F180" s="4">
        <v>0</v>
      </c>
      <c r="G180" s="4">
        <f t="shared" si="5"/>
        <v>4288.1006960999994</v>
      </c>
      <c r="H180" s="87" t="s">
        <v>90</v>
      </c>
      <c r="I180" s="88"/>
      <c r="J180" s="89"/>
    </row>
    <row r="181" spans="1:15" s="3" customFormat="1" x14ac:dyDescent="0.3">
      <c r="A181" s="106" t="s">
        <v>267</v>
      </c>
      <c r="B181" s="107"/>
      <c r="C181" s="107"/>
      <c r="D181" s="107"/>
      <c r="E181" s="107"/>
      <c r="F181" s="107"/>
      <c r="G181" s="107"/>
      <c r="H181" s="107"/>
      <c r="I181" s="107"/>
      <c r="J181" s="108"/>
    </row>
    <row r="182" spans="1:15" s="3" customFormat="1" ht="15.75" customHeight="1" x14ac:dyDescent="0.3">
      <c r="A182" s="97">
        <v>1</v>
      </c>
      <c r="B182" s="98"/>
      <c r="C182" s="4" t="s">
        <v>196</v>
      </c>
      <c r="D182" s="97">
        <f>(4.3*3.35+3.85*1.38+3.55*4.25+3.575*5.12+5.24*11.15+2.445*2.43+5.56*1.38+2.53*0.6+2.38*1.37+2.53*1.83+2.53*1.83+3.65*4.83+1.6*2.2+1.955*2.23+1.8*4.58+3.83*6.2+0.97+1.38+3.65*5.57+2.53*2+2.53*1.83+(3.55*1.655+5.64*2+5.24*1.5+3.65*1.6+3.78*1.5))*10.764</f>
        <v>2858.7337973999997</v>
      </c>
      <c r="E182" s="98"/>
      <c r="F182" s="4">
        <v>0</v>
      </c>
      <c r="G182" s="4">
        <f>D182*1.5</f>
        <v>4288.1006960999994</v>
      </c>
      <c r="H182" s="84" t="str">
        <f>A181</f>
        <v>19th, 21st, 22nd, 23rd, 25th &amp; 26th Floor</v>
      </c>
      <c r="I182" s="85" t="str">
        <f>A181</f>
        <v>19th, 21st, 22nd, 23rd, 25th &amp; 26th Floor</v>
      </c>
      <c r="J182" s="86"/>
      <c r="L182" s="3">
        <f>100000000/G182</f>
        <v>23320.347885241914</v>
      </c>
      <c r="O182" s="3">
        <f>2*26</f>
        <v>52</v>
      </c>
    </row>
    <row r="183" spans="1:15" s="3" customFormat="1" x14ac:dyDescent="0.3">
      <c r="A183" s="97">
        <v>2</v>
      </c>
      <c r="B183" s="98"/>
      <c r="C183" s="4" t="s">
        <v>196</v>
      </c>
      <c r="D183" s="97">
        <f>(4.3*3.35+3.85*1.38+3.55*4.25+3.575*5.12+5.24*11.15+2.445*2.43+5.56*1.38+2.53*0.6+2.38*1.37+2.53*1.83+2.53*1.83+3.65*4.83+1.6*2.2+1.955*2.23+1.8*4.58+3.83*6.2+0.97+1.38+3.65*5.57+2.53*2+2.53*1.83+(3.55*1.655+5.64*2+5.24*1.5+3.65*1.6+3.78*1.5))*10.764</f>
        <v>2858.7337973999997</v>
      </c>
      <c r="E183" s="98"/>
      <c r="F183" s="4">
        <v>0</v>
      </c>
      <c r="G183" s="4">
        <f>D183*1.5</f>
        <v>4288.1006960999994</v>
      </c>
      <c r="H183" s="87" t="s">
        <v>90</v>
      </c>
      <c r="I183" s="88"/>
      <c r="J183" s="89"/>
    </row>
    <row r="184" spans="1:15" s="3" customFormat="1" x14ac:dyDescent="0.3">
      <c r="A184" s="106" t="s">
        <v>269</v>
      </c>
      <c r="B184" s="107"/>
      <c r="C184" s="107"/>
      <c r="D184" s="107"/>
      <c r="E184" s="107"/>
      <c r="F184" s="107"/>
      <c r="G184" s="107"/>
      <c r="H184" s="107"/>
      <c r="I184" s="107"/>
      <c r="J184" s="108"/>
    </row>
    <row r="185" spans="1:15" s="3" customFormat="1" ht="18" customHeight="1" x14ac:dyDescent="0.3">
      <c r="A185" s="97">
        <v>1</v>
      </c>
      <c r="B185" s="98"/>
      <c r="C185" s="4" t="s">
        <v>196</v>
      </c>
      <c r="D185" s="97">
        <f>(4.3*3.35+3.85*1.38+3.55*4.25+3.575*5.12+5.24*11.15+2.445*2.43+5.56*1.38+2.53*0.6+2.38*1.37+2.53*1.83+2.53*1.83+3.65*4.83+1.6*2.2+1.955*2.23+1.8*4.58+3.83*6.2+0.97+1.38+3.65*5.57+2.53*2+2.53*1.83+(3.55*1.655+5.64*2+5.24*1.5+3.65*1.6+3.78*1.5))*10.764</f>
        <v>2858.7337973999997</v>
      </c>
      <c r="E185" s="98"/>
      <c r="F185" s="4">
        <v>0</v>
      </c>
      <c r="G185" s="4">
        <f t="shared" ref="G185:G186" si="6">D185*1.5</f>
        <v>4288.1006960999994</v>
      </c>
      <c r="H185" s="84" t="str">
        <f>A184</f>
        <v>20th &amp; 24th Floor (Refuge Area at Mid landing)</v>
      </c>
      <c r="I185" s="85"/>
      <c r="J185" s="86"/>
    </row>
    <row r="186" spans="1:15" s="3" customFormat="1" ht="18" customHeight="1" x14ac:dyDescent="0.3">
      <c r="A186" s="97">
        <v>2</v>
      </c>
      <c r="B186" s="98"/>
      <c r="C186" s="4" t="s">
        <v>196</v>
      </c>
      <c r="D186" s="97">
        <f>(4.3*3.35+3.85*1.38+3.55*4.25+3.575*5.12+5.24*11.15+2.445*2.43+5.56*1.38+2.53*0.6+2.38*1.37+2.53*1.83+2.53*1.83+3.65*4.83+1.6*2.2+1.955*2.23+1.8*4.58+3.83*6.2+0.97+1.38+3.65*5.57+2.53*2+2.53*1.83+(3.55*1.655+5.64*2+5.24*1.5+3.65*1.6+3.78*1.5))*10.764</f>
        <v>2858.7337973999997</v>
      </c>
      <c r="E186" s="98"/>
      <c r="F186" s="4">
        <v>0</v>
      </c>
      <c r="G186" s="4">
        <f t="shared" si="6"/>
        <v>4288.1006960999994</v>
      </c>
      <c r="H186" s="87"/>
      <c r="I186" s="88"/>
      <c r="J186" s="89"/>
    </row>
    <row r="187" spans="1:15" s="3" customFormat="1" x14ac:dyDescent="0.3">
      <c r="A187" s="106" t="s">
        <v>305</v>
      </c>
      <c r="B187" s="107"/>
      <c r="C187" s="107"/>
      <c r="D187" s="107"/>
      <c r="E187" s="107"/>
      <c r="F187" s="107"/>
      <c r="G187" s="107"/>
      <c r="H187" s="107"/>
      <c r="I187" s="107"/>
      <c r="J187" s="108"/>
    </row>
    <row r="188" spans="1:15" s="3" customFormat="1" ht="35.25" customHeight="1" x14ac:dyDescent="0.3">
      <c r="A188" s="97">
        <v>1</v>
      </c>
      <c r="B188" s="98"/>
      <c r="C188" s="4" t="s">
        <v>304</v>
      </c>
      <c r="D188" s="97">
        <f>(17.556*6.68+2.495*4.33+5*3.4+5.24*5.85+2.43*2.515+2.429*2.515+3.95*4.83+3.68*2.215+3.68*2.465+7.83*1.35+6.1*6.2+7.83*1.35+1.53*2.2+2.38*2.13+4.06*2.3+5.24*6.32*5.64*1.85+2.445*1.23+2.495*4.71+3.7*3+1.5*1.5+3.7*2.7+5.24*3.7+5.24*2+2.38*2.37+2.38*2.66+1.68*1+1.53*2.31+6.1*4.83+7.83*1.5+6.1*6.2+7.8*6.2+4.06*2.3+1.53*2.22+2.38*2.13+5.24*6.32+10.434+(6.1*4.83+6.1*6.2+7.68*1.5+7.83*1.5+1.68*1+1.53*2.31+2.38*2.65+2.38*2.37+4.06*1.38+4.06*2.3+1.53*2.22+2.38*2.13+9.24*1.38+5.24*5.85+3.7*1.87+3.7*3.88+0.5*1.38*1.3+0.5*1.38*1.3+7.82*2+2*2.188+8.119*1.38+2.346*1.95+2.44*1.23+5.64*6.37+2.53*3+2.53*1.5+2.5*2.75+5.13*6.36+2.5*3.46+7.83*1.5+2.38*2.5+2.38*1.2))*10.764</f>
        <v>13700.685352816799</v>
      </c>
      <c r="E188" s="98"/>
      <c r="F188" s="4">
        <f>(2.395*3.4+6.335*3.04+2.395*3.4+6.335*3.04+7.63*6.22)*10.764</f>
        <v>1100.7417095999999</v>
      </c>
      <c r="G188" s="4">
        <f>D188*1.5</f>
        <v>20551.028029225199</v>
      </c>
      <c r="H188" s="97" t="str">
        <f>A187</f>
        <v>27th + 28th Floor (Duplex Pent House)</v>
      </c>
      <c r="I188" s="249"/>
      <c r="J188" s="98"/>
    </row>
    <row r="189" spans="1:15" s="3" customFormat="1" x14ac:dyDescent="0.3">
      <c r="A189" s="106" t="s">
        <v>250</v>
      </c>
      <c r="B189" s="107"/>
      <c r="C189" s="107"/>
      <c r="D189" s="107"/>
      <c r="E189" s="107"/>
      <c r="F189" s="107"/>
      <c r="G189" s="107"/>
      <c r="H189" s="107"/>
      <c r="I189" s="107"/>
      <c r="J189" s="108"/>
    </row>
    <row r="190" spans="1:15" s="3" customFormat="1" x14ac:dyDescent="0.3">
      <c r="A190" s="106" t="s">
        <v>251</v>
      </c>
      <c r="B190" s="107"/>
      <c r="C190" s="107"/>
      <c r="D190" s="107"/>
      <c r="E190" s="107"/>
      <c r="F190" s="107"/>
      <c r="G190" s="107"/>
      <c r="H190" s="107"/>
      <c r="I190" s="107"/>
      <c r="J190" s="108"/>
    </row>
    <row r="191" spans="1:15" s="3" customFormat="1" x14ac:dyDescent="0.3">
      <c r="A191" s="106" t="s">
        <v>191</v>
      </c>
      <c r="B191" s="107"/>
      <c r="C191" s="107"/>
      <c r="D191" s="107"/>
      <c r="E191" s="107"/>
      <c r="F191" s="107"/>
      <c r="G191" s="107"/>
      <c r="H191" s="107"/>
      <c r="I191" s="107"/>
      <c r="J191" s="108"/>
    </row>
    <row r="192" spans="1:15" s="3" customFormat="1" ht="31.5" customHeight="1" x14ac:dyDescent="0.3">
      <c r="A192" s="97">
        <v>11</v>
      </c>
      <c r="B192" s="98"/>
      <c r="C192" s="4" t="s">
        <v>252</v>
      </c>
      <c r="D192" s="97">
        <f t="shared" ref="D192:D193" si="7">(3.65*13.9+1.6*3.65+3.475*1+3.85*17.2)*10.764</f>
        <v>1359.17028</v>
      </c>
      <c r="E192" s="98"/>
      <c r="F192" s="4">
        <v>0</v>
      </c>
      <c r="G192" s="4">
        <f t="shared" ref="G192:G193" si="8">D192*1.6</f>
        <v>2174.6724480000003</v>
      </c>
      <c r="H192" s="84" t="str">
        <f>A191</f>
        <v>Ground Floor is For  Parking &amp; commercial</v>
      </c>
      <c r="I192" s="85"/>
      <c r="J192" s="86"/>
    </row>
    <row r="193" spans="1:10" s="3" customFormat="1" ht="31.2" x14ac:dyDescent="0.3">
      <c r="A193" s="97">
        <v>12</v>
      </c>
      <c r="B193" s="98"/>
      <c r="C193" s="4" t="s">
        <v>252</v>
      </c>
      <c r="D193" s="97">
        <f t="shared" si="7"/>
        <v>1359.17028</v>
      </c>
      <c r="E193" s="98"/>
      <c r="F193" s="4">
        <v>0</v>
      </c>
      <c r="G193" s="4">
        <f t="shared" si="8"/>
        <v>2174.6724480000003</v>
      </c>
      <c r="H193" s="91"/>
      <c r="I193" s="92"/>
      <c r="J193" s="93"/>
    </row>
    <row r="194" spans="1:10" s="3" customFormat="1" x14ac:dyDescent="0.3">
      <c r="A194" s="97">
        <v>13</v>
      </c>
      <c r="B194" s="98"/>
      <c r="C194" s="4" t="s">
        <v>192</v>
      </c>
      <c r="D194" s="97">
        <f>(3.65*13.9+1.6*3.65)*10.764</f>
        <v>608.97329999999999</v>
      </c>
      <c r="E194" s="98"/>
      <c r="F194" s="4">
        <v>0</v>
      </c>
      <c r="G194" s="4">
        <f t="shared" ref="G194:G198" si="9">D194*1.6</f>
        <v>974.35728000000006</v>
      </c>
      <c r="H194" s="91"/>
      <c r="I194" s="92"/>
      <c r="J194" s="93"/>
    </row>
    <row r="195" spans="1:10" s="3" customFormat="1" x14ac:dyDescent="0.3">
      <c r="A195" s="97">
        <v>14</v>
      </c>
      <c r="B195" s="98"/>
      <c r="C195" s="4" t="s">
        <v>192</v>
      </c>
      <c r="D195" s="97">
        <f t="shared" ref="D195:D199" si="10">(3.65*13.9+1.6*3.65)*10.764</f>
        <v>608.97329999999999</v>
      </c>
      <c r="E195" s="98"/>
      <c r="F195" s="4">
        <v>0</v>
      </c>
      <c r="G195" s="4">
        <f t="shared" si="9"/>
        <v>974.35728000000006</v>
      </c>
      <c r="H195" s="91"/>
      <c r="I195" s="92"/>
      <c r="J195" s="93"/>
    </row>
    <row r="196" spans="1:10" s="3" customFormat="1" x14ac:dyDescent="0.3">
      <c r="A196" s="97">
        <v>15</v>
      </c>
      <c r="B196" s="98"/>
      <c r="C196" s="4" t="s">
        <v>192</v>
      </c>
      <c r="D196" s="97">
        <f t="shared" si="10"/>
        <v>608.97329999999999</v>
      </c>
      <c r="E196" s="98"/>
      <c r="F196" s="4">
        <v>0</v>
      </c>
      <c r="G196" s="4">
        <f t="shared" si="9"/>
        <v>974.35728000000006</v>
      </c>
      <c r="H196" s="91"/>
      <c r="I196" s="92"/>
      <c r="J196" s="93"/>
    </row>
    <row r="197" spans="1:10" s="3" customFormat="1" x14ac:dyDescent="0.3">
      <c r="A197" s="97">
        <v>16</v>
      </c>
      <c r="B197" s="98"/>
      <c r="C197" s="4" t="s">
        <v>192</v>
      </c>
      <c r="D197" s="97">
        <f t="shared" si="10"/>
        <v>608.97329999999999</v>
      </c>
      <c r="E197" s="98"/>
      <c r="F197" s="4">
        <v>0</v>
      </c>
      <c r="G197" s="4">
        <f t="shared" si="9"/>
        <v>974.35728000000006</v>
      </c>
      <c r="H197" s="91"/>
      <c r="I197" s="92"/>
      <c r="J197" s="93"/>
    </row>
    <row r="198" spans="1:10" s="3" customFormat="1" x14ac:dyDescent="0.3">
      <c r="A198" s="97">
        <v>17</v>
      </c>
      <c r="B198" s="98"/>
      <c r="C198" s="4" t="s">
        <v>192</v>
      </c>
      <c r="D198" s="97">
        <f t="shared" si="10"/>
        <v>608.97329999999999</v>
      </c>
      <c r="E198" s="98"/>
      <c r="F198" s="4">
        <v>0</v>
      </c>
      <c r="G198" s="4">
        <f t="shared" si="9"/>
        <v>974.35728000000006</v>
      </c>
      <c r="H198" s="91"/>
      <c r="I198" s="92"/>
      <c r="J198" s="93"/>
    </row>
    <row r="199" spans="1:10" s="3" customFormat="1" x14ac:dyDescent="0.3">
      <c r="A199" s="97">
        <v>18</v>
      </c>
      <c r="B199" s="98"/>
      <c r="C199" s="4" t="s">
        <v>192</v>
      </c>
      <c r="D199" s="97">
        <f t="shared" si="10"/>
        <v>608.97329999999999</v>
      </c>
      <c r="E199" s="98"/>
      <c r="F199" s="4">
        <v>0</v>
      </c>
      <c r="G199" s="4">
        <f t="shared" ref="G199" si="11">D199*1.6</f>
        <v>974.35728000000006</v>
      </c>
      <c r="H199" s="87"/>
      <c r="I199" s="88"/>
      <c r="J199" s="89"/>
    </row>
    <row r="200" spans="1:10" s="3" customFormat="1" x14ac:dyDescent="0.3">
      <c r="A200" s="95" t="s">
        <v>254</v>
      </c>
      <c r="B200" s="95"/>
      <c r="C200" s="95"/>
      <c r="D200" s="95"/>
      <c r="E200" s="95"/>
      <c r="F200" s="95"/>
      <c r="G200" s="95"/>
      <c r="H200" s="95"/>
      <c r="I200" s="95"/>
      <c r="J200" s="95"/>
    </row>
    <row r="201" spans="1:10" s="3" customFormat="1" x14ac:dyDescent="0.3">
      <c r="A201" s="95" t="s">
        <v>257</v>
      </c>
      <c r="B201" s="95"/>
      <c r="C201" s="95"/>
      <c r="D201" s="95"/>
      <c r="E201" s="95"/>
      <c r="F201" s="95"/>
      <c r="G201" s="95"/>
      <c r="H201" s="95"/>
      <c r="I201" s="95"/>
      <c r="J201" s="95"/>
    </row>
    <row r="202" spans="1:10" s="3" customFormat="1" ht="36" customHeight="1" x14ac:dyDescent="0.3">
      <c r="A202" s="95" t="s">
        <v>280</v>
      </c>
      <c r="B202" s="95"/>
      <c r="C202" s="95"/>
      <c r="D202" s="95"/>
      <c r="E202" s="95"/>
      <c r="F202" s="95"/>
      <c r="G202" s="95"/>
      <c r="H202" s="95"/>
      <c r="I202" s="95"/>
      <c r="J202" s="95"/>
    </row>
    <row r="203" spans="1:10" s="3" customFormat="1" ht="81" customHeight="1" x14ac:dyDescent="0.3">
      <c r="A203" s="90">
        <v>1</v>
      </c>
      <c r="B203" s="90"/>
      <c r="C203" s="4" t="s">
        <v>196</v>
      </c>
      <c r="D203" s="90">
        <f>(5.325*11.95+4.7*3.5+3.38*4.84+3.095*1.9+1.795*2.79+5.13*3.65+1.78*1.9+2.75*1.9+5.13*3.5+5.43*2.95+1.15*2.25+5.13*3.65+1.8*1.95+2.58*1.95+1.95*3.05+2.35*3.05+4.37*5.75+4.75*1.15+1.27*1.25+2.12*2.9+1.2*1.8+(3.48*2.01+1.845*1.35+5.58*1.1+4.65*1.7+3.55*1.55+4.47*1.7+5.475*1.95+5.58*1.15+4.82*1.15))*10.764</f>
        <v>3351.4392131999994</v>
      </c>
      <c r="E203" s="90"/>
      <c r="F203" s="4">
        <v>0</v>
      </c>
      <c r="G203" s="4">
        <f t="shared" ref="G203" si="12">D203*1.5</f>
        <v>5027.158819799999</v>
      </c>
      <c r="H203" s="90" t="str">
        <f>A202</f>
        <v xml:space="preserve">1st to 3rd, 5th, 6th, 7th, 9th, 10th, 11th, 13th, 14th, 15th, 17th, 18th, 19th, 21st, 22nd, 23rd, 25th, 26th, 27th, 29th, 30th, 31st to 33rd &amp; 34th Floor </v>
      </c>
      <c r="I203" s="90"/>
      <c r="J203" s="90"/>
    </row>
    <row r="204" spans="1:10" s="3" customFormat="1" x14ac:dyDescent="0.3">
      <c r="A204" s="106" t="s">
        <v>279</v>
      </c>
      <c r="B204" s="107"/>
      <c r="C204" s="107"/>
      <c r="D204" s="107"/>
      <c r="E204" s="107"/>
      <c r="F204" s="107"/>
      <c r="G204" s="107"/>
      <c r="H204" s="107"/>
      <c r="I204" s="107"/>
      <c r="J204" s="108"/>
    </row>
    <row r="205" spans="1:10" s="3" customFormat="1" ht="50.25" customHeight="1" x14ac:dyDescent="0.3">
      <c r="A205" s="97">
        <v>1</v>
      </c>
      <c r="B205" s="98"/>
      <c r="C205" s="4" t="s">
        <v>196</v>
      </c>
      <c r="D205" s="97">
        <f>(5.325*11.95+4.7*3.5+3.38*4.84+3.095*1.9+1.795*2.79+5.13*3.65+1.78*1.9+2.75*1.9+5.13*3.5+5.43*2.95+1.15*2.25+5.13*3.65+1.8*1.95+2.58*1.95+1.95*3.05+2.35*3.05+4.37*5.75+4.75*1.15+1.27*1.25+2.12*2.9+1.2*1.8+(3.48*2.01+1.845*1.35+5.58*1.1+4.65*1.7+3.55*1.55+4.47*1.7+5.475*1.95+5.58*1.15+4.82*1.15))*10.764</f>
        <v>3351.4392131999994</v>
      </c>
      <c r="E205" s="98"/>
      <c r="F205" s="4">
        <v>0</v>
      </c>
      <c r="G205" s="4">
        <f t="shared" ref="G205" si="13">D205*1.5</f>
        <v>5027.158819799999</v>
      </c>
      <c r="H205" s="97" t="str">
        <f>A204</f>
        <v>4th, 8th, 12th, 16th, 20th, 24th, 28th &amp; 32nd Floor (Refuge at midlanding)</v>
      </c>
      <c r="I205" s="249"/>
      <c r="J205" s="98"/>
    </row>
    <row r="206" spans="1:10" s="3" customFormat="1" x14ac:dyDescent="0.3">
      <c r="A206" s="106" t="s">
        <v>253</v>
      </c>
      <c r="B206" s="107"/>
      <c r="C206" s="107"/>
      <c r="D206" s="107"/>
      <c r="E206" s="107"/>
      <c r="F206" s="107"/>
      <c r="G206" s="107"/>
      <c r="H206" s="107"/>
      <c r="I206" s="107"/>
      <c r="J206" s="108"/>
    </row>
    <row r="207" spans="1:10" s="3" customFormat="1" x14ac:dyDescent="0.3">
      <c r="A207" s="106" t="s">
        <v>251</v>
      </c>
      <c r="B207" s="107"/>
      <c r="C207" s="107"/>
      <c r="D207" s="107"/>
      <c r="E207" s="107"/>
      <c r="F207" s="107"/>
      <c r="G207" s="107"/>
      <c r="H207" s="107"/>
      <c r="I207" s="107"/>
      <c r="J207" s="108"/>
    </row>
    <row r="208" spans="1:10" s="3" customFormat="1" x14ac:dyDescent="0.3">
      <c r="A208" s="106" t="s">
        <v>191</v>
      </c>
      <c r="B208" s="107"/>
      <c r="C208" s="107"/>
      <c r="D208" s="107"/>
      <c r="E208" s="107"/>
      <c r="F208" s="107"/>
      <c r="G208" s="107"/>
      <c r="H208" s="107"/>
      <c r="I208" s="107"/>
      <c r="J208" s="108"/>
    </row>
    <row r="209" spans="1:10" s="3" customFormat="1" ht="31.5" customHeight="1" x14ac:dyDescent="0.3">
      <c r="A209" s="97">
        <v>1</v>
      </c>
      <c r="B209" s="98"/>
      <c r="C209" s="4" t="s">
        <v>252</v>
      </c>
      <c r="D209" s="97">
        <f>(4.16*13.9+1.6*4.1+3.414*1+4.16*17.2)*10.764</f>
        <v>1499.9633999999999</v>
      </c>
      <c r="E209" s="98"/>
      <c r="F209" s="4">
        <v>0</v>
      </c>
      <c r="G209" s="4">
        <f>D209*1.6</f>
        <v>2399.9414400000001</v>
      </c>
      <c r="H209" s="84" t="str">
        <f>A208</f>
        <v>Ground Floor is For  Parking &amp; commercial</v>
      </c>
      <c r="I209" s="85"/>
      <c r="J209" s="86"/>
    </row>
    <row r="210" spans="1:10" s="3" customFormat="1" ht="31.2" x14ac:dyDescent="0.3">
      <c r="A210" s="97">
        <v>2</v>
      </c>
      <c r="B210" s="98"/>
      <c r="C210" s="4" t="s">
        <v>252</v>
      </c>
      <c r="D210" s="97">
        <f>(3.65*13.9+1.6*3.65+3.475*1+3.85*17.2)*10.764</f>
        <v>1359.17028</v>
      </c>
      <c r="E210" s="98"/>
      <c r="F210" s="4">
        <v>0</v>
      </c>
      <c r="G210" s="4">
        <f t="shared" ref="G210:G218" si="14">D210*1.6</f>
        <v>2174.6724480000003</v>
      </c>
      <c r="H210" s="91"/>
      <c r="I210" s="92"/>
      <c r="J210" s="93"/>
    </row>
    <row r="211" spans="1:10" s="3" customFormat="1" ht="31.2" x14ac:dyDescent="0.3">
      <c r="A211" s="97">
        <v>3</v>
      </c>
      <c r="B211" s="98"/>
      <c r="C211" s="4" t="s">
        <v>252</v>
      </c>
      <c r="D211" s="97">
        <f t="shared" ref="D211:D218" si="15">(3.65*13.9+1.6*3.65+3.475*1+3.85*17.2)*10.764</f>
        <v>1359.17028</v>
      </c>
      <c r="E211" s="98"/>
      <c r="F211" s="4">
        <v>0</v>
      </c>
      <c r="G211" s="4">
        <f t="shared" si="14"/>
        <v>2174.6724480000003</v>
      </c>
      <c r="H211" s="91"/>
      <c r="I211" s="92"/>
      <c r="J211" s="93"/>
    </row>
    <row r="212" spans="1:10" s="3" customFormat="1" ht="31.2" x14ac:dyDescent="0.3">
      <c r="A212" s="97">
        <v>4</v>
      </c>
      <c r="B212" s="98"/>
      <c r="C212" s="4" t="s">
        <v>252</v>
      </c>
      <c r="D212" s="97">
        <f t="shared" si="15"/>
        <v>1359.17028</v>
      </c>
      <c r="E212" s="98"/>
      <c r="F212" s="4">
        <v>0</v>
      </c>
      <c r="G212" s="4">
        <f t="shared" si="14"/>
        <v>2174.6724480000003</v>
      </c>
      <c r="H212" s="91"/>
      <c r="I212" s="92"/>
      <c r="J212" s="93"/>
    </row>
    <row r="213" spans="1:10" s="3" customFormat="1" ht="31.2" x14ac:dyDescent="0.3">
      <c r="A213" s="97">
        <v>5</v>
      </c>
      <c r="B213" s="98"/>
      <c r="C213" s="4" t="s">
        <v>252</v>
      </c>
      <c r="D213" s="97">
        <f t="shared" si="15"/>
        <v>1359.17028</v>
      </c>
      <c r="E213" s="98"/>
      <c r="F213" s="4">
        <v>0</v>
      </c>
      <c r="G213" s="4">
        <f t="shared" si="14"/>
        <v>2174.6724480000003</v>
      </c>
      <c r="H213" s="91"/>
      <c r="I213" s="92"/>
      <c r="J213" s="93"/>
    </row>
    <row r="214" spans="1:10" s="3" customFormat="1" ht="31.2" x14ac:dyDescent="0.3">
      <c r="A214" s="97">
        <v>6</v>
      </c>
      <c r="B214" s="98"/>
      <c r="C214" s="4" t="s">
        <v>252</v>
      </c>
      <c r="D214" s="97">
        <f t="shared" si="15"/>
        <v>1359.17028</v>
      </c>
      <c r="E214" s="98"/>
      <c r="F214" s="4">
        <v>0</v>
      </c>
      <c r="G214" s="4">
        <f t="shared" si="14"/>
        <v>2174.6724480000003</v>
      </c>
      <c r="H214" s="91"/>
      <c r="I214" s="92"/>
      <c r="J214" s="93"/>
    </row>
    <row r="215" spans="1:10" s="3" customFormat="1" ht="31.2" x14ac:dyDescent="0.3">
      <c r="A215" s="97">
        <v>7</v>
      </c>
      <c r="B215" s="98"/>
      <c r="C215" s="4" t="s">
        <v>252</v>
      </c>
      <c r="D215" s="97">
        <f t="shared" si="15"/>
        <v>1359.17028</v>
      </c>
      <c r="E215" s="98"/>
      <c r="F215" s="4">
        <v>0</v>
      </c>
      <c r="G215" s="4">
        <f t="shared" si="14"/>
        <v>2174.6724480000003</v>
      </c>
      <c r="H215" s="91"/>
      <c r="I215" s="92"/>
      <c r="J215" s="93"/>
    </row>
    <row r="216" spans="1:10" s="3" customFormat="1" ht="31.2" x14ac:dyDescent="0.3">
      <c r="A216" s="97">
        <v>8</v>
      </c>
      <c r="B216" s="98"/>
      <c r="C216" s="4" t="s">
        <v>252</v>
      </c>
      <c r="D216" s="97">
        <f t="shared" si="15"/>
        <v>1359.17028</v>
      </c>
      <c r="E216" s="98"/>
      <c r="F216" s="4">
        <v>0</v>
      </c>
      <c r="G216" s="4">
        <f t="shared" si="14"/>
        <v>2174.6724480000003</v>
      </c>
      <c r="H216" s="91"/>
      <c r="I216" s="92"/>
      <c r="J216" s="93"/>
    </row>
    <row r="217" spans="1:10" s="3" customFormat="1" ht="31.2" x14ac:dyDescent="0.3">
      <c r="A217" s="97">
        <v>9</v>
      </c>
      <c r="B217" s="98"/>
      <c r="C217" s="4" t="s">
        <v>252</v>
      </c>
      <c r="D217" s="97">
        <f t="shared" si="15"/>
        <v>1359.17028</v>
      </c>
      <c r="E217" s="98"/>
      <c r="F217" s="4">
        <v>0</v>
      </c>
      <c r="G217" s="4">
        <f t="shared" si="14"/>
        <v>2174.6724480000003</v>
      </c>
      <c r="H217" s="91"/>
      <c r="I217" s="92"/>
      <c r="J217" s="93"/>
    </row>
    <row r="218" spans="1:10" s="3" customFormat="1" ht="31.2" x14ac:dyDescent="0.3">
      <c r="A218" s="97">
        <v>10</v>
      </c>
      <c r="B218" s="98"/>
      <c r="C218" s="4" t="s">
        <v>252</v>
      </c>
      <c r="D218" s="97">
        <f t="shared" si="15"/>
        <v>1359.17028</v>
      </c>
      <c r="E218" s="98"/>
      <c r="F218" s="4">
        <v>0</v>
      </c>
      <c r="G218" s="4">
        <f t="shared" si="14"/>
        <v>2174.6724480000003</v>
      </c>
      <c r="H218" s="87"/>
      <c r="I218" s="88"/>
      <c r="J218" s="89"/>
    </row>
    <row r="219" spans="1:10" s="3" customFormat="1" x14ac:dyDescent="0.3">
      <c r="A219" s="106" t="s">
        <v>254</v>
      </c>
      <c r="B219" s="107"/>
      <c r="C219" s="107"/>
      <c r="D219" s="107"/>
      <c r="E219" s="107"/>
      <c r="F219" s="107"/>
      <c r="G219" s="107"/>
      <c r="H219" s="107"/>
      <c r="I219" s="107"/>
      <c r="J219" s="108"/>
    </row>
    <row r="220" spans="1:10" s="3" customFormat="1" x14ac:dyDescent="0.3">
      <c r="A220" s="106" t="s">
        <v>257</v>
      </c>
      <c r="B220" s="107"/>
      <c r="C220" s="107"/>
      <c r="D220" s="107"/>
      <c r="E220" s="107"/>
      <c r="F220" s="107"/>
      <c r="G220" s="107"/>
      <c r="H220" s="107"/>
      <c r="I220" s="107"/>
      <c r="J220" s="108"/>
    </row>
    <row r="221" spans="1:10" s="3" customFormat="1" x14ac:dyDescent="0.3">
      <c r="A221" s="106" t="s">
        <v>258</v>
      </c>
      <c r="B221" s="107"/>
      <c r="C221" s="107"/>
      <c r="D221" s="107"/>
      <c r="E221" s="107"/>
      <c r="F221" s="107"/>
      <c r="G221" s="107"/>
      <c r="H221" s="107"/>
      <c r="I221" s="107"/>
      <c r="J221" s="108"/>
    </row>
    <row r="222" spans="1:10" s="3" customFormat="1" ht="33" customHeight="1" x14ac:dyDescent="0.3">
      <c r="A222" s="95" t="s">
        <v>280</v>
      </c>
      <c r="B222" s="95"/>
      <c r="C222" s="95"/>
      <c r="D222" s="95"/>
      <c r="E222" s="95"/>
      <c r="F222" s="95"/>
      <c r="G222" s="95"/>
      <c r="H222" s="95"/>
      <c r="I222" s="95"/>
      <c r="J222" s="95"/>
    </row>
    <row r="223" spans="1:10" s="3" customFormat="1" ht="39.75" customHeight="1" x14ac:dyDescent="0.3">
      <c r="A223" s="90">
        <v>1</v>
      </c>
      <c r="B223" s="90"/>
      <c r="C223" s="4" t="s">
        <v>276</v>
      </c>
      <c r="D223" s="90">
        <f>(4.55*6.9+2.75*3.65+3.15*3.15+3.35*3.65+3.95*3.65+2.6*1.5+4.1*3.7+1.05*1.7+1.05*1.7+1.5*1.05+(4.55*1.3+2.75*1.3+3.35*1.3+4.25*1.3+3.7*1.3))*10.764</f>
        <v>1360.5157799999999</v>
      </c>
      <c r="E223" s="90"/>
      <c r="F223" s="4">
        <v>0</v>
      </c>
      <c r="G223" s="4">
        <f t="shared" ref="G223" si="16">D223*1.5</f>
        <v>2040.77367</v>
      </c>
      <c r="H223" s="90" t="str">
        <f>A222</f>
        <v xml:space="preserve">1st to 3rd, 5th, 6th, 7th, 9th, 10th, 11th, 13th, 14th, 15th, 17th, 18th, 19th, 21st, 22nd, 23rd, 25th, 26th, 27th, 29th, 30th, 31st to 33rd &amp; 34th Floor </v>
      </c>
      <c r="I223" s="90"/>
      <c r="J223" s="90"/>
    </row>
    <row r="224" spans="1:10" s="3" customFormat="1" ht="35.25" customHeight="1" x14ac:dyDescent="0.3">
      <c r="A224" s="90">
        <v>2</v>
      </c>
      <c r="B224" s="90"/>
      <c r="C224" s="4" t="s">
        <v>276</v>
      </c>
      <c r="D224" s="90">
        <f>(4.55*6.9+2.75*3.65+3.15*3.15+3.35*3.65+3.95*3.65+2.6*1.5+4.1*3.7+1.05*1.7+1.05*1.7+1.5*1.05+(4.55*1.3+2.75*1.3+3.35*1.3+4.25*1.3+3.7*1.3))*10.764</f>
        <v>1360.5157799999999</v>
      </c>
      <c r="E224" s="90"/>
      <c r="F224" s="4">
        <v>0</v>
      </c>
      <c r="G224" s="4">
        <f t="shared" ref="G224" si="17">D224*1.5</f>
        <v>2040.77367</v>
      </c>
      <c r="H224" s="90"/>
      <c r="I224" s="90"/>
      <c r="J224" s="90"/>
    </row>
    <row r="225" spans="1:12" s="3" customFormat="1" ht="15.75" customHeight="1" x14ac:dyDescent="0.3">
      <c r="A225" s="95" t="s">
        <v>285</v>
      </c>
      <c r="B225" s="95"/>
      <c r="C225" s="95"/>
      <c r="D225" s="95"/>
      <c r="E225" s="95"/>
      <c r="F225" s="95"/>
      <c r="G225" s="95"/>
      <c r="H225" s="95"/>
      <c r="I225" s="95"/>
      <c r="J225" s="95"/>
    </row>
    <row r="226" spans="1:12" s="3" customFormat="1" ht="23.25" customHeight="1" x14ac:dyDescent="0.3">
      <c r="A226" s="90">
        <v>1</v>
      </c>
      <c r="B226" s="90"/>
      <c r="C226" s="4" t="s">
        <v>276</v>
      </c>
      <c r="D226" s="90">
        <f>(4.55*6.9+2.75*3.65+3.15*3.15+3.35*3.65+3.95*3.65+2.6*1.5+4.1*3.7+1.05*1.7+1.05*1.7+1.5*1.05+(4.55*1.3+2.75*1.3+3.35*1.3+4.25*1.3+3.7*1.3))*10.764</f>
        <v>1360.5157799999999</v>
      </c>
      <c r="E226" s="90"/>
      <c r="F226" s="4">
        <v>0</v>
      </c>
      <c r="G226" s="4">
        <f t="shared" ref="G226:G227" si="18">D226*1.5</f>
        <v>2040.77367</v>
      </c>
      <c r="H226" s="90" t="str">
        <f>A225</f>
        <v>4th, 8th, 12th, 16th, 20th, 24th, 28th, 32nd  Floor (Refuge at midlanding)</v>
      </c>
      <c r="I226" s="90" t="str">
        <f>A225</f>
        <v>4th, 8th, 12th, 16th, 20th, 24th, 28th, 32nd  Floor (Refuge at midlanding)</v>
      </c>
      <c r="J226" s="90"/>
    </row>
    <row r="227" spans="1:12" s="3" customFormat="1" ht="22.5" customHeight="1" x14ac:dyDescent="0.3">
      <c r="A227" s="90">
        <v>2</v>
      </c>
      <c r="B227" s="90"/>
      <c r="C227" s="4" t="s">
        <v>276</v>
      </c>
      <c r="D227" s="90">
        <f>(4.55*6.9+2.75*3.65+3.15*3.15+3.35*3.65+3.95*3.65+2.6*1.5+4.1*3.7+1.05*1.7+1.05*1.7+1.5*1.05+(4.55*1.3+2.75*1.3+3.35*1.3+4.25*1.3+3.7*1.3))*10.764</f>
        <v>1360.5157799999999</v>
      </c>
      <c r="E227" s="90"/>
      <c r="F227" s="4">
        <v>0</v>
      </c>
      <c r="G227" s="4">
        <f t="shared" si="18"/>
        <v>2040.77367</v>
      </c>
      <c r="H227" s="90" t="s">
        <v>90</v>
      </c>
      <c r="I227" s="90"/>
      <c r="J227" s="90"/>
    </row>
    <row r="228" spans="1:12" ht="15" customHeight="1" x14ac:dyDescent="0.3">
      <c r="A228" s="109" t="s">
        <v>100</v>
      </c>
      <c r="B228" s="109"/>
      <c r="C228" s="109"/>
      <c r="D228" s="109"/>
      <c r="E228" s="109"/>
      <c r="F228" s="109"/>
      <c r="G228" s="109"/>
      <c r="H228" s="109"/>
      <c r="I228" s="109"/>
      <c r="J228" s="109"/>
      <c r="L228" s="12" t="s">
        <v>306</v>
      </c>
    </row>
    <row r="229" spans="1:12" ht="190.2" customHeight="1" x14ac:dyDescent="0.3">
      <c r="A229" s="99" t="s">
        <v>295</v>
      </c>
      <c r="B229" s="99"/>
      <c r="C229" s="99"/>
      <c r="D229" s="99"/>
      <c r="E229" s="99"/>
      <c r="F229" s="99"/>
      <c r="G229" s="99"/>
      <c r="H229" s="99"/>
      <c r="I229" s="99"/>
      <c r="J229" s="99"/>
    </row>
    <row r="230" spans="1:12" x14ac:dyDescent="0.3">
      <c r="A230" s="100" t="s">
        <v>91</v>
      </c>
      <c r="B230" s="101"/>
      <c r="C230" s="101"/>
      <c r="D230" s="101"/>
      <c r="E230" s="101"/>
      <c r="F230" s="101"/>
      <c r="G230" s="101"/>
      <c r="H230" s="101"/>
      <c r="I230" s="101"/>
      <c r="J230" s="102"/>
    </row>
    <row r="231" spans="1:12" x14ac:dyDescent="0.3">
      <c r="A231" s="103" t="s">
        <v>92</v>
      </c>
      <c r="B231" s="104"/>
      <c r="C231" s="104"/>
      <c r="D231" s="104"/>
      <c r="E231" s="104"/>
      <c r="F231" s="104"/>
      <c r="G231" s="104"/>
      <c r="H231" s="104"/>
      <c r="I231" s="104"/>
      <c r="J231" s="105"/>
    </row>
    <row r="232" spans="1:12" x14ac:dyDescent="0.3">
      <c r="A232" s="100" t="s">
        <v>93</v>
      </c>
      <c r="B232" s="101"/>
      <c r="C232" s="101"/>
      <c r="D232" s="101"/>
      <c r="E232" s="101"/>
      <c r="F232" s="101"/>
      <c r="G232" s="101"/>
      <c r="H232" s="101"/>
      <c r="I232" s="101"/>
      <c r="J232" s="102"/>
    </row>
    <row r="233" spans="1:12" ht="15" customHeight="1" x14ac:dyDescent="0.3">
      <c r="A233" s="103" t="s">
        <v>94</v>
      </c>
      <c r="B233" s="104"/>
      <c r="C233" s="104"/>
      <c r="D233" s="104"/>
      <c r="E233" s="104"/>
      <c r="F233" s="104"/>
      <c r="G233" s="104"/>
      <c r="H233" s="104"/>
      <c r="I233" s="104"/>
      <c r="J233" s="105"/>
    </row>
    <row r="234" spans="1:12" x14ac:dyDescent="0.3">
      <c r="A234" s="103" t="s">
        <v>95</v>
      </c>
      <c r="B234" s="104"/>
      <c r="C234" s="104"/>
      <c r="D234" s="104"/>
      <c r="E234" s="104"/>
      <c r="F234" s="104"/>
      <c r="G234" s="104"/>
      <c r="H234" s="104"/>
      <c r="I234" s="104"/>
      <c r="J234" s="105"/>
    </row>
    <row r="235" spans="1:12" x14ac:dyDescent="0.3">
      <c r="A235" s="103" t="s">
        <v>96</v>
      </c>
      <c r="B235" s="104"/>
      <c r="C235" s="104"/>
      <c r="D235" s="104"/>
      <c r="E235" s="104"/>
      <c r="F235" s="104"/>
      <c r="G235" s="104"/>
      <c r="H235" s="104"/>
      <c r="I235" s="104"/>
      <c r="J235" s="105"/>
    </row>
    <row r="236" spans="1:12" x14ac:dyDescent="0.3">
      <c r="A236" s="179" t="s">
        <v>97</v>
      </c>
      <c r="B236" s="183"/>
      <c r="C236" s="183"/>
      <c r="D236" s="183"/>
      <c r="E236" s="183"/>
      <c r="F236" s="183"/>
      <c r="G236" s="183"/>
      <c r="H236" s="183"/>
      <c r="I236" s="183"/>
      <c r="J236" s="180"/>
    </row>
    <row r="237" spans="1:12" x14ac:dyDescent="0.3">
      <c r="A237" s="228" t="s">
        <v>174</v>
      </c>
      <c r="B237" s="228"/>
      <c r="C237" s="229" t="s">
        <v>290</v>
      </c>
      <c r="D237" s="229"/>
      <c r="E237" s="228" t="s">
        <v>175</v>
      </c>
      <c r="F237" s="228"/>
      <c r="G237" s="228"/>
      <c r="H237" s="229" t="s">
        <v>303</v>
      </c>
      <c r="I237" s="229"/>
      <c r="J237" s="229"/>
    </row>
    <row r="238" spans="1:12" x14ac:dyDescent="0.3">
      <c r="A238" s="219" t="s">
        <v>177</v>
      </c>
      <c r="B238" s="220"/>
      <c r="C238" s="220"/>
      <c r="D238" s="220"/>
      <c r="E238" s="220"/>
      <c r="F238" s="220"/>
      <c r="G238" s="220"/>
      <c r="H238" s="220"/>
      <c r="I238" s="220"/>
      <c r="J238" s="221"/>
    </row>
    <row r="239" spans="1:12" x14ac:dyDescent="0.3">
      <c r="A239" s="222"/>
      <c r="B239" s="223"/>
      <c r="C239" s="223"/>
      <c r="D239" s="223"/>
      <c r="E239" s="223"/>
      <c r="F239" s="223"/>
      <c r="G239" s="223"/>
      <c r="H239" s="223"/>
      <c r="I239" s="223"/>
      <c r="J239" s="224"/>
    </row>
    <row r="240" spans="1:12" x14ac:dyDescent="0.3">
      <c r="A240" s="222"/>
      <c r="B240" s="223"/>
      <c r="C240" s="223"/>
      <c r="D240" s="223"/>
      <c r="E240" s="223"/>
      <c r="F240" s="223"/>
      <c r="G240" s="223"/>
      <c r="H240" s="223"/>
      <c r="I240" s="223"/>
      <c r="J240" s="224"/>
    </row>
    <row r="241" spans="1:10" x14ac:dyDescent="0.3">
      <c r="A241" s="225"/>
      <c r="B241" s="226"/>
      <c r="C241" s="226"/>
      <c r="D241" s="226"/>
      <c r="E241" s="226"/>
      <c r="F241" s="226"/>
      <c r="G241" s="226"/>
      <c r="H241" s="226"/>
      <c r="I241" s="226"/>
      <c r="J241" s="227"/>
    </row>
    <row r="242" spans="1:10" x14ac:dyDescent="0.3">
      <c r="A242" s="16" t="s">
        <v>98</v>
      </c>
      <c r="B242" s="17"/>
      <c r="C242" s="17"/>
      <c r="D242" s="16" t="str">
        <f>F8</f>
        <v>Regency Palms Phase I,  II &amp; IV</v>
      </c>
      <c r="G242" s="17"/>
      <c r="H242" s="17"/>
      <c r="I242" s="17"/>
      <c r="J242" s="17"/>
    </row>
    <row r="243" spans="1:10" x14ac:dyDescent="0.3">
      <c r="A243" s="17"/>
      <c r="B243" s="17"/>
      <c r="C243" s="17"/>
      <c r="D243" s="17"/>
      <c r="E243" s="17"/>
      <c r="F243" s="17"/>
      <c r="G243" s="17"/>
      <c r="H243" s="17"/>
      <c r="I243" s="17"/>
      <c r="J243" s="17"/>
    </row>
    <row r="244" spans="1:10" x14ac:dyDescent="0.3">
      <c r="A244" s="17"/>
      <c r="B244" s="17"/>
      <c r="C244" s="17"/>
      <c r="D244" s="17"/>
      <c r="E244" s="17"/>
      <c r="F244" s="17"/>
      <c r="G244" s="17"/>
      <c r="H244" s="17"/>
      <c r="I244" s="17"/>
      <c r="J244" s="17"/>
    </row>
    <row r="286" spans="1:10" x14ac:dyDescent="0.3">
      <c r="A286" s="16" t="s">
        <v>286</v>
      </c>
      <c r="B286" s="17"/>
      <c r="C286" s="17"/>
      <c r="D286" s="16"/>
      <c r="G286" s="17"/>
      <c r="H286" s="17"/>
      <c r="I286" s="17"/>
      <c r="J286" s="17"/>
    </row>
    <row r="287" spans="1:10" x14ac:dyDescent="0.3">
      <c r="A287" s="17"/>
      <c r="B287" s="17"/>
      <c r="C287" s="17"/>
      <c r="D287" s="17"/>
      <c r="E287" s="17"/>
      <c r="F287" s="17"/>
      <c r="G287" s="17"/>
      <c r="H287" s="17"/>
      <c r="I287" s="17"/>
      <c r="J287" s="17"/>
    </row>
    <row r="288" spans="1:10" x14ac:dyDescent="0.3">
      <c r="A288" s="17"/>
      <c r="B288" s="17"/>
      <c r="C288" s="17"/>
      <c r="D288" s="17"/>
      <c r="E288" s="17"/>
      <c r="F288" s="17"/>
      <c r="G288" s="17"/>
      <c r="H288" s="17"/>
      <c r="I288" s="17"/>
      <c r="J288" s="17"/>
    </row>
    <row r="330" spans="1:1" x14ac:dyDescent="0.3">
      <c r="A330" s="18" t="s">
        <v>99</v>
      </c>
    </row>
  </sheetData>
  <mergeCells count="485">
    <mergeCell ref="A74:B75"/>
    <mergeCell ref="C74:E75"/>
    <mergeCell ref="F74:H75"/>
    <mergeCell ref="I74:J75"/>
    <mergeCell ref="A120:F120"/>
    <mergeCell ref="G120:J120"/>
    <mergeCell ref="A77:B77"/>
    <mergeCell ref="D77:E77"/>
    <mergeCell ref="F77:G86"/>
    <mergeCell ref="H77:J86"/>
    <mergeCell ref="A78:B78"/>
    <mergeCell ref="D78:E78"/>
    <mergeCell ref="A79:B79"/>
    <mergeCell ref="D79:E79"/>
    <mergeCell ref="A80:B80"/>
    <mergeCell ref="D80:E80"/>
    <mergeCell ref="A81:B81"/>
    <mergeCell ref="D81:E81"/>
    <mergeCell ref="A82:B82"/>
    <mergeCell ref="D82:E82"/>
    <mergeCell ref="A83:B83"/>
    <mergeCell ref="D83:E83"/>
    <mergeCell ref="A84:B84"/>
    <mergeCell ref="D84:E84"/>
    <mergeCell ref="A85:B85"/>
    <mergeCell ref="D85:E85"/>
    <mergeCell ref="A86:B86"/>
    <mergeCell ref="D86:E86"/>
    <mergeCell ref="A71:B71"/>
    <mergeCell ref="C71:J71"/>
    <mergeCell ref="F72:G72"/>
    <mergeCell ref="I72:J72"/>
    <mergeCell ref="A73:B73"/>
    <mergeCell ref="C73:J73"/>
    <mergeCell ref="A76:B76"/>
    <mergeCell ref="D76:E76"/>
    <mergeCell ref="F76:G76"/>
    <mergeCell ref="H76:J76"/>
    <mergeCell ref="A180:B180"/>
    <mergeCell ref="D180:E180"/>
    <mergeCell ref="A168:J168"/>
    <mergeCell ref="A169:J169"/>
    <mergeCell ref="D176:E176"/>
    <mergeCell ref="A177:B177"/>
    <mergeCell ref="D177:E177"/>
    <mergeCell ref="A188:B188"/>
    <mergeCell ref="D188:E188"/>
    <mergeCell ref="A176:B176"/>
    <mergeCell ref="H188:J188"/>
    <mergeCell ref="A185:B185"/>
    <mergeCell ref="D185:E185"/>
    <mergeCell ref="A186:B186"/>
    <mergeCell ref="D186:E186"/>
    <mergeCell ref="A187:J187"/>
    <mergeCell ref="H185:J186"/>
    <mergeCell ref="H182:J183"/>
    <mergeCell ref="H179:J180"/>
    <mergeCell ref="H176:J177"/>
    <mergeCell ref="H173:J174"/>
    <mergeCell ref="A184:J184"/>
    <mergeCell ref="A219:J219"/>
    <mergeCell ref="A220:J220"/>
    <mergeCell ref="A221:J221"/>
    <mergeCell ref="A153:J153"/>
    <mergeCell ref="A154:B154"/>
    <mergeCell ref="D154:E154"/>
    <mergeCell ref="I154:J155"/>
    <mergeCell ref="C155:H155"/>
    <mergeCell ref="A172:J172"/>
    <mergeCell ref="A175:J175"/>
    <mergeCell ref="A178:J178"/>
    <mergeCell ref="A179:B179"/>
    <mergeCell ref="D179:E179"/>
    <mergeCell ref="A156:J156"/>
    <mergeCell ref="A159:J159"/>
    <mergeCell ref="A215:B215"/>
    <mergeCell ref="D215:E215"/>
    <mergeCell ref="A161:B161"/>
    <mergeCell ref="D161:E161"/>
    <mergeCell ref="A181:J181"/>
    <mergeCell ref="A182:B182"/>
    <mergeCell ref="D182:E182"/>
    <mergeCell ref="A183:B183"/>
    <mergeCell ref="D183:E183"/>
    <mergeCell ref="A216:B216"/>
    <mergeCell ref="D216:E216"/>
    <mergeCell ref="A217:B217"/>
    <mergeCell ref="D217:E217"/>
    <mergeCell ref="A218:B218"/>
    <mergeCell ref="D218:E218"/>
    <mergeCell ref="A210:B210"/>
    <mergeCell ref="D210:E210"/>
    <mergeCell ref="A211:B211"/>
    <mergeCell ref="D211:E211"/>
    <mergeCell ref="A212:B212"/>
    <mergeCell ref="D212:E212"/>
    <mergeCell ref="A213:B213"/>
    <mergeCell ref="D213:E213"/>
    <mergeCell ref="A214:B214"/>
    <mergeCell ref="D214:E214"/>
    <mergeCell ref="A206:J206"/>
    <mergeCell ref="A207:J207"/>
    <mergeCell ref="A208:J208"/>
    <mergeCell ref="A209:B209"/>
    <mergeCell ref="D209:E209"/>
    <mergeCell ref="A200:J200"/>
    <mergeCell ref="H203:J203"/>
    <mergeCell ref="A205:B205"/>
    <mergeCell ref="D205:E205"/>
    <mergeCell ref="H205:J205"/>
    <mergeCell ref="A201:J201"/>
    <mergeCell ref="A202:J202"/>
    <mergeCell ref="D196:E196"/>
    <mergeCell ref="A197:B197"/>
    <mergeCell ref="D197:E197"/>
    <mergeCell ref="A192:B192"/>
    <mergeCell ref="H192:J199"/>
    <mergeCell ref="A198:B198"/>
    <mergeCell ref="D198:E198"/>
    <mergeCell ref="A199:B199"/>
    <mergeCell ref="D199:E199"/>
    <mergeCell ref="A67:B67"/>
    <mergeCell ref="D67:E67"/>
    <mergeCell ref="A68:B68"/>
    <mergeCell ref="D68:E68"/>
    <mergeCell ref="A69:B69"/>
    <mergeCell ref="D69:E69"/>
    <mergeCell ref="A70:B70"/>
    <mergeCell ref="D70:E70"/>
    <mergeCell ref="A62:B62"/>
    <mergeCell ref="D62:E62"/>
    <mergeCell ref="A63:B63"/>
    <mergeCell ref="D63:E63"/>
    <mergeCell ref="D65:E65"/>
    <mergeCell ref="A66:B66"/>
    <mergeCell ref="D66:E66"/>
    <mergeCell ref="A54:B54"/>
    <mergeCell ref="C54:J54"/>
    <mergeCell ref="A53:B53"/>
    <mergeCell ref="A55:C55"/>
    <mergeCell ref="D55:J55"/>
    <mergeCell ref="C33:J33"/>
    <mergeCell ref="A34:B34"/>
    <mergeCell ref="C34:J34"/>
    <mergeCell ref="C53:J53"/>
    <mergeCell ref="H49:J49"/>
    <mergeCell ref="A49:B49"/>
    <mergeCell ref="C49:F49"/>
    <mergeCell ref="A50:C50"/>
    <mergeCell ref="D50:E50"/>
    <mergeCell ref="F50:G50"/>
    <mergeCell ref="H50:J50"/>
    <mergeCell ref="H46:J46"/>
    <mergeCell ref="H47:J47"/>
    <mergeCell ref="A47:B47"/>
    <mergeCell ref="C47:F47"/>
    <mergeCell ref="A48:B48"/>
    <mergeCell ref="C48:F48"/>
    <mergeCell ref="A46:B46"/>
    <mergeCell ref="C46:F46"/>
    <mergeCell ref="A137:J137"/>
    <mergeCell ref="A138:J138"/>
    <mergeCell ref="A139:B139"/>
    <mergeCell ref="D139:E139"/>
    <mergeCell ref="I139:J139"/>
    <mergeCell ref="A140:J140"/>
    <mergeCell ref="A141:J141"/>
    <mergeCell ref="D145:E145"/>
    <mergeCell ref="A146:B146"/>
    <mergeCell ref="D146:E146"/>
    <mergeCell ref="A142:J142"/>
    <mergeCell ref="A149:B149"/>
    <mergeCell ref="D149:E149"/>
    <mergeCell ref="A150:J150"/>
    <mergeCell ref="A151:B151"/>
    <mergeCell ref="D151:E151"/>
    <mergeCell ref="A152:B152"/>
    <mergeCell ref="D152:E152"/>
    <mergeCell ref="A143:J143"/>
    <mergeCell ref="A144:J144"/>
    <mergeCell ref="A145:B145"/>
    <mergeCell ref="A238:J241"/>
    <mergeCell ref="A237:B237"/>
    <mergeCell ref="E237:G237"/>
    <mergeCell ref="C237:D237"/>
    <mergeCell ref="H237:J237"/>
    <mergeCell ref="A232:J232"/>
    <mergeCell ref="A233:J233"/>
    <mergeCell ref="A235:J235"/>
    <mergeCell ref="A236:J236"/>
    <mergeCell ref="A234:J234"/>
    <mergeCell ref="A29:B29"/>
    <mergeCell ref="C29:D29"/>
    <mergeCell ref="E29:F29"/>
    <mergeCell ref="G29:H29"/>
    <mergeCell ref="I29:J29"/>
    <mergeCell ref="A40:E40"/>
    <mergeCell ref="F40:J40"/>
    <mergeCell ref="A36:E36"/>
    <mergeCell ref="F36:J36"/>
    <mergeCell ref="A31:J31"/>
    <mergeCell ref="A30:B30"/>
    <mergeCell ref="C30:D30"/>
    <mergeCell ref="E30:F30"/>
    <mergeCell ref="G30:H30"/>
    <mergeCell ref="I30:J30"/>
    <mergeCell ref="A32:J32"/>
    <mergeCell ref="A33:B33"/>
    <mergeCell ref="A35:J35"/>
    <mergeCell ref="A37:E37"/>
    <mergeCell ref="F37:J37"/>
    <mergeCell ref="A38:J38"/>
    <mergeCell ref="A39:E39"/>
    <mergeCell ref="F39:J39"/>
    <mergeCell ref="A17:B17"/>
    <mergeCell ref="C17:E17"/>
    <mergeCell ref="F17:G17"/>
    <mergeCell ref="H17:J17"/>
    <mergeCell ref="A28:B28"/>
    <mergeCell ref="C28:D28"/>
    <mergeCell ref="E28:F28"/>
    <mergeCell ref="G28:H28"/>
    <mergeCell ref="I28:J28"/>
    <mergeCell ref="A1:J1"/>
    <mergeCell ref="A2:J2"/>
    <mergeCell ref="A3:E3"/>
    <mergeCell ref="F3:J3"/>
    <mergeCell ref="A4:E4"/>
    <mergeCell ref="A8:E8"/>
    <mergeCell ref="F8:J8"/>
    <mergeCell ref="A10:E10"/>
    <mergeCell ref="F10:J10"/>
    <mergeCell ref="F4:J4"/>
    <mergeCell ref="A9:E9"/>
    <mergeCell ref="F9:J9"/>
    <mergeCell ref="A11:E11"/>
    <mergeCell ref="F11:J11"/>
    <mergeCell ref="A5:E5"/>
    <mergeCell ref="F5:J5"/>
    <mergeCell ref="A6:E6"/>
    <mergeCell ref="F6:J6"/>
    <mergeCell ref="A7:E7"/>
    <mergeCell ref="F7:J7"/>
    <mergeCell ref="A15:B15"/>
    <mergeCell ref="C15:E15"/>
    <mergeCell ref="A12:E12"/>
    <mergeCell ref="F12:J12"/>
    <mergeCell ref="A13:E13"/>
    <mergeCell ref="F13:J13"/>
    <mergeCell ref="A14:B14"/>
    <mergeCell ref="C14:J14"/>
    <mergeCell ref="F15:G15"/>
    <mergeCell ref="H15:J15"/>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A41:E41"/>
    <mergeCell ref="F41:J41"/>
    <mergeCell ref="A42:E42"/>
    <mergeCell ref="F42:J42"/>
    <mergeCell ref="A43:E43"/>
    <mergeCell ref="F43:J43"/>
    <mergeCell ref="A44:E44"/>
    <mergeCell ref="A116:J116"/>
    <mergeCell ref="A117:B117"/>
    <mergeCell ref="C117:J117"/>
    <mergeCell ref="A56:J56"/>
    <mergeCell ref="A115:J115"/>
    <mergeCell ref="A57:B57"/>
    <mergeCell ref="C57:J57"/>
    <mergeCell ref="F58:G58"/>
    <mergeCell ref="I58:J58"/>
    <mergeCell ref="A59:B59"/>
    <mergeCell ref="C59:J59"/>
    <mergeCell ref="A60:B60"/>
    <mergeCell ref="D60:E60"/>
    <mergeCell ref="F60:G60"/>
    <mergeCell ref="H60:J60"/>
    <mergeCell ref="A61:B61"/>
    <mergeCell ref="D61:E61"/>
    <mergeCell ref="F61:G70"/>
    <mergeCell ref="H61:J70"/>
    <mergeCell ref="D96:E96"/>
    <mergeCell ref="A97:B97"/>
    <mergeCell ref="A64:B64"/>
    <mergeCell ref="D64:E64"/>
    <mergeCell ref="A65:B65"/>
    <mergeCell ref="A122:F122"/>
    <mergeCell ref="G122:J122"/>
    <mergeCell ref="A118:J118"/>
    <mergeCell ref="A119:F119"/>
    <mergeCell ref="G119:J119"/>
    <mergeCell ref="A109:B109"/>
    <mergeCell ref="D109:E109"/>
    <mergeCell ref="A110:B110"/>
    <mergeCell ref="D110:E110"/>
    <mergeCell ref="A111:B111"/>
    <mergeCell ref="D111:E111"/>
    <mergeCell ref="D97:E97"/>
    <mergeCell ref="A98:B98"/>
    <mergeCell ref="D98:E98"/>
    <mergeCell ref="A99:B99"/>
    <mergeCell ref="D99:E99"/>
    <mergeCell ref="A100:B100"/>
    <mergeCell ref="A125:J125"/>
    <mergeCell ref="A123:F123"/>
    <mergeCell ref="G123:J123"/>
    <mergeCell ref="A124:F124"/>
    <mergeCell ref="G124:J124"/>
    <mergeCell ref="A121:F121"/>
    <mergeCell ref="G121:J121"/>
    <mergeCell ref="D126:F126"/>
    <mergeCell ref="G126:J126"/>
    <mergeCell ref="A126:B126"/>
    <mergeCell ref="D95:E95"/>
    <mergeCell ref="A96:B96"/>
    <mergeCell ref="A132:B132"/>
    <mergeCell ref="A131:B131"/>
    <mergeCell ref="D131:F131"/>
    <mergeCell ref="G131:J131"/>
    <mergeCell ref="D132:F132"/>
    <mergeCell ref="G132:J132"/>
    <mergeCell ref="A136:B136"/>
    <mergeCell ref="D136:F136"/>
    <mergeCell ref="G136:J136"/>
    <mergeCell ref="A133:B133"/>
    <mergeCell ref="D133:F133"/>
    <mergeCell ref="G133:J133"/>
    <mergeCell ref="A127:B127"/>
    <mergeCell ref="D127:F127"/>
    <mergeCell ref="G127:J127"/>
    <mergeCell ref="A130:J130"/>
    <mergeCell ref="A129:B129"/>
    <mergeCell ref="D129:F129"/>
    <mergeCell ref="G129:J129"/>
    <mergeCell ref="A128:B128"/>
    <mergeCell ref="D128:F128"/>
    <mergeCell ref="G128:J128"/>
    <mergeCell ref="H163:J164"/>
    <mergeCell ref="C166:H166"/>
    <mergeCell ref="F44:J44"/>
    <mergeCell ref="A45:J45"/>
    <mergeCell ref="A51:J51"/>
    <mergeCell ref="A52:C52"/>
    <mergeCell ref="D52:E52"/>
    <mergeCell ref="F52:G52"/>
    <mergeCell ref="H52:J52"/>
    <mergeCell ref="H48:J48"/>
    <mergeCell ref="A155:B155"/>
    <mergeCell ref="A147:J147"/>
    <mergeCell ref="A148:B148"/>
    <mergeCell ref="D148:E148"/>
    <mergeCell ref="A134:B134"/>
    <mergeCell ref="D134:F134"/>
    <mergeCell ref="G134:J134"/>
    <mergeCell ref="A135:B135"/>
    <mergeCell ref="D135:F135"/>
    <mergeCell ref="G135:J135"/>
    <mergeCell ref="D93:E93"/>
    <mergeCell ref="A94:B94"/>
    <mergeCell ref="D94:E94"/>
    <mergeCell ref="A95:B95"/>
    <mergeCell ref="A229:J229"/>
    <mergeCell ref="A230:J230"/>
    <mergeCell ref="A231:J231"/>
    <mergeCell ref="D192:E192"/>
    <mergeCell ref="A193:B193"/>
    <mergeCell ref="D193:E193"/>
    <mergeCell ref="A189:J189"/>
    <mergeCell ref="A191:J191"/>
    <mergeCell ref="A203:B203"/>
    <mergeCell ref="D203:E203"/>
    <mergeCell ref="A204:J204"/>
    <mergeCell ref="A222:J222"/>
    <mergeCell ref="A223:B223"/>
    <mergeCell ref="D223:E223"/>
    <mergeCell ref="A228:J228"/>
    <mergeCell ref="A190:J190"/>
    <mergeCell ref="A194:B194"/>
    <mergeCell ref="D194:E194"/>
    <mergeCell ref="A195:B195"/>
    <mergeCell ref="D195:E195"/>
    <mergeCell ref="A91:B91"/>
    <mergeCell ref="D91:E91"/>
    <mergeCell ref="F91:G100"/>
    <mergeCell ref="H91:J100"/>
    <mergeCell ref="A92:B92"/>
    <mergeCell ref="D92:E92"/>
    <mergeCell ref="A93:B93"/>
    <mergeCell ref="A225:J225"/>
    <mergeCell ref="A224:B224"/>
    <mergeCell ref="D224:E224"/>
    <mergeCell ref="H223:J224"/>
    <mergeCell ref="A196:B196"/>
    <mergeCell ref="A157:B157"/>
    <mergeCell ref="D157:E157"/>
    <mergeCell ref="A158:B158"/>
    <mergeCell ref="A160:B160"/>
    <mergeCell ref="D158:E158"/>
    <mergeCell ref="D160:E160"/>
    <mergeCell ref="A173:B173"/>
    <mergeCell ref="D173:E173"/>
    <mergeCell ref="A174:B174"/>
    <mergeCell ref="D174:E174"/>
    <mergeCell ref="A163:B163"/>
    <mergeCell ref="D163:E163"/>
    <mergeCell ref="A87:B87"/>
    <mergeCell ref="C87:J87"/>
    <mergeCell ref="F88:G88"/>
    <mergeCell ref="I88:J88"/>
    <mergeCell ref="A89:B89"/>
    <mergeCell ref="C89:J89"/>
    <mergeCell ref="A90:B90"/>
    <mergeCell ref="D90:E90"/>
    <mergeCell ref="F90:G90"/>
    <mergeCell ref="H90:J90"/>
    <mergeCell ref="D107:E107"/>
    <mergeCell ref="A108:B108"/>
    <mergeCell ref="D108:E108"/>
    <mergeCell ref="H160:J161"/>
    <mergeCell ref="H157:J158"/>
    <mergeCell ref="H151:J152"/>
    <mergeCell ref="H148:J149"/>
    <mergeCell ref="H145:J146"/>
    <mergeCell ref="H226:J227"/>
    <mergeCell ref="H209:J218"/>
    <mergeCell ref="A226:B226"/>
    <mergeCell ref="D226:E226"/>
    <mergeCell ref="A227:B227"/>
    <mergeCell ref="D227:E227"/>
    <mergeCell ref="C167:H167"/>
    <mergeCell ref="A170:J170"/>
    <mergeCell ref="A171:J171"/>
    <mergeCell ref="A162:J162"/>
    <mergeCell ref="A164:B164"/>
    <mergeCell ref="D164:E164"/>
    <mergeCell ref="A165:J165"/>
    <mergeCell ref="A166:B166"/>
    <mergeCell ref="I166:J167"/>
    <mergeCell ref="A167:B167"/>
    <mergeCell ref="D100:E100"/>
    <mergeCell ref="A101:B101"/>
    <mergeCell ref="C101:J101"/>
    <mergeCell ref="A112:B112"/>
    <mergeCell ref="D112:E112"/>
    <mergeCell ref="A113:B113"/>
    <mergeCell ref="D113:E113"/>
    <mergeCell ref="A114:B114"/>
    <mergeCell ref="D114:E114"/>
    <mergeCell ref="F102:G102"/>
    <mergeCell ref="I102:J102"/>
    <mergeCell ref="A103:B103"/>
    <mergeCell ref="C103:J103"/>
    <mergeCell ref="A104:B104"/>
    <mergeCell ref="D104:E104"/>
    <mergeCell ref="F104:G104"/>
    <mergeCell ref="H104:J104"/>
    <mergeCell ref="A105:B105"/>
    <mergeCell ref="D105:E105"/>
    <mergeCell ref="F105:G114"/>
    <mergeCell ref="H105:J114"/>
    <mergeCell ref="A106:B106"/>
    <mergeCell ref="D106:E106"/>
    <mergeCell ref="A107:B107"/>
  </mergeCells>
  <hyperlinks>
    <hyperlink ref="C34" r:id="rId1" xr:uid="{00000000-0004-0000-0000-000000000000}"/>
  </hyperlinks>
  <pageMargins left="0.39370078740157483" right="0.39370078740157483" top="0.78740157480314965" bottom="0.78740157480314965" header="0.19685039370078741" footer="0.19685039370078741"/>
  <pageSetup scale="96" fitToHeight="0" orientation="portrait" r:id="rId2"/>
  <headerFooter>
    <oddHeader>&amp;C&amp;"Times New Roman,Bold"&amp;20&amp;G</oddHeader>
    <oddFooter>&amp;L&amp;"Times New Roman,Bold"&amp;12Ref No: &amp;F&amp;C&amp;G&amp;R&amp;"Times New Roman,Bold"&amp;12&amp;P</oddFooter>
  </headerFooter>
  <rowBreaks count="4" manualBreakCount="4">
    <brk id="117" max="9" man="1"/>
    <brk id="241" max="16383" man="1"/>
    <brk id="285" max="16383" man="1"/>
    <brk id="32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workbookViewId="0">
      <selection activeCell="F6" sqref="F6"/>
    </sheetView>
  </sheetViews>
  <sheetFormatPr defaultColWidth="8.77734375" defaultRowHeight="14.4" x14ac:dyDescent="0.3"/>
  <cols>
    <col min="1" max="1" width="8.77734375" style="38"/>
    <col min="2" max="2" width="22.21875" style="38" customWidth="1"/>
    <col min="3" max="3" width="37" style="38" customWidth="1"/>
    <col min="4" max="5" width="11.44140625" style="38" customWidth="1"/>
    <col min="6" max="6" width="14" style="38" customWidth="1"/>
    <col min="7" max="7" width="20" style="38" customWidth="1"/>
    <col min="8" max="8" width="16.44140625" style="38" customWidth="1"/>
    <col min="9" max="16384" width="8.77734375" style="38"/>
  </cols>
  <sheetData>
    <row r="1" spans="1:9" ht="15" customHeight="1" x14ac:dyDescent="0.3"/>
    <row r="2" spans="1:9" ht="15" customHeight="1" x14ac:dyDescent="0.3">
      <c r="A2" s="39"/>
      <c r="B2" s="39"/>
      <c r="C2" s="39"/>
      <c r="D2" s="39"/>
      <c r="E2" s="39"/>
      <c r="F2" s="39"/>
      <c r="G2" s="39"/>
      <c r="H2" s="39"/>
    </row>
    <row r="3" spans="1:9" x14ac:dyDescent="0.3">
      <c r="A3" s="39"/>
      <c r="B3" s="250" t="s">
        <v>206</v>
      </c>
      <c r="C3" s="250"/>
      <c r="D3" s="250"/>
      <c r="E3" s="250"/>
      <c r="F3" s="250"/>
      <c r="G3" s="250"/>
      <c r="H3" s="250"/>
    </row>
    <row r="4" spans="1:9" x14ac:dyDescent="0.3">
      <c r="A4" s="39"/>
      <c r="B4" s="40" t="s">
        <v>207</v>
      </c>
      <c r="C4" s="40" t="s">
        <v>208</v>
      </c>
      <c r="D4" s="40" t="s">
        <v>114</v>
      </c>
      <c r="E4" s="40" t="s">
        <v>209</v>
      </c>
      <c r="F4" s="40" t="s">
        <v>210</v>
      </c>
      <c r="G4" s="40" t="s">
        <v>211</v>
      </c>
      <c r="H4" s="40" t="s">
        <v>212</v>
      </c>
    </row>
    <row r="5" spans="1:9" ht="15" customHeight="1" x14ac:dyDescent="0.3">
      <c r="A5" s="39"/>
      <c r="B5" s="41" t="s">
        <v>214</v>
      </c>
      <c r="C5" s="42" t="s">
        <v>179</v>
      </c>
      <c r="D5" s="41" t="s">
        <v>196</v>
      </c>
      <c r="E5" s="41">
        <v>0</v>
      </c>
      <c r="F5" s="43">
        <f>4500/1.2</f>
        <v>3750</v>
      </c>
      <c r="G5" s="43">
        <f>H5/F5</f>
        <v>26666.666666666668</v>
      </c>
      <c r="H5" s="44">
        <v>100000000</v>
      </c>
    </row>
    <row r="6" spans="1:9" x14ac:dyDescent="0.3">
      <c r="A6" s="39"/>
      <c r="B6" s="41" t="s">
        <v>213</v>
      </c>
      <c r="C6" s="42" t="s">
        <v>179</v>
      </c>
      <c r="D6" s="41"/>
      <c r="E6" s="41"/>
      <c r="F6" s="43">
        <f t="shared" ref="F6:F11" si="0">E6*1.6</f>
        <v>0</v>
      </c>
      <c r="G6" s="43" t="e">
        <f t="shared" ref="G6:G11" si="1">H6/F6</f>
        <v>#DIV/0!</v>
      </c>
      <c r="H6" s="44"/>
    </row>
    <row r="7" spans="1:9" ht="15" customHeight="1" x14ac:dyDescent="0.3">
      <c r="A7" s="39"/>
      <c r="B7" s="41" t="s">
        <v>213</v>
      </c>
      <c r="C7" s="42" t="s">
        <v>179</v>
      </c>
      <c r="D7" s="41"/>
      <c r="E7" s="41"/>
      <c r="F7" s="43">
        <f t="shared" si="0"/>
        <v>0</v>
      </c>
      <c r="G7" s="43" t="e">
        <f t="shared" si="1"/>
        <v>#DIV/0!</v>
      </c>
      <c r="H7" s="44"/>
    </row>
    <row r="8" spans="1:9" x14ac:dyDescent="0.3">
      <c r="A8" s="39"/>
      <c r="B8" s="41" t="s">
        <v>213</v>
      </c>
      <c r="C8" s="42" t="s">
        <v>179</v>
      </c>
      <c r="D8" s="41"/>
      <c r="E8" s="41"/>
      <c r="F8" s="43">
        <f t="shared" si="0"/>
        <v>0</v>
      </c>
      <c r="G8" s="43" t="e">
        <f t="shared" si="1"/>
        <v>#DIV/0!</v>
      </c>
      <c r="H8" s="44"/>
    </row>
    <row r="9" spans="1:9" ht="15" customHeight="1" x14ac:dyDescent="0.3">
      <c r="A9" s="39"/>
      <c r="B9" s="41" t="s">
        <v>213</v>
      </c>
      <c r="C9" s="42" t="s">
        <v>179</v>
      </c>
      <c r="D9" s="41"/>
      <c r="E9" s="41"/>
      <c r="F9" s="43">
        <f t="shared" si="0"/>
        <v>0</v>
      </c>
      <c r="G9" s="43" t="e">
        <f t="shared" si="1"/>
        <v>#DIV/0!</v>
      </c>
      <c r="H9" s="44"/>
    </row>
    <row r="10" spans="1:9" ht="15" customHeight="1" x14ac:dyDescent="0.3">
      <c r="A10" s="39"/>
      <c r="B10" s="41" t="s">
        <v>214</v>
      </c>
      <c r="C10" s="42" t="s">
        <v>179</v>
      </c>
      <c r="D10" s="41"/>
      <c r="E10" s="41"/>
      <c r="F10" s="43">
        <f t="shared" si="0"/>
        <v>0</v>
      </c>
      <c r="G10" s="43" t="e">
        <f t="shared" si="1"/>
        <v>#DIV/0!</v>
      </c>
      <c r="H10" s="44"/>
    </row>
    <row r="11" spans="1:9" ht="15" customHeight="1" x14ac:dyDescent="0.3">
      <c r="A11" s="39"/>
      <c r="B11" s="41" t="s">
        <v>214</v>
      </c>
      <c r="C11" s="42"/>
      <c r="D11" s="41"/>
      <c r="E11" s="41"/>
      <c r="F11" s="43">
        <f t="shared" si="0"/>
        <v>0</v>
      </c>
      <c r="G11" s="43" t="e">
        <f t="shared" si="1"/>
        <v>#DIV/0!</v>
      </c>
      <c r="H11" s="44"/>
    </row>
    <row r="12" spans="1:9" ht="15" customHeight="1" x14ac:dyDescent="0.3">
      <c r="A12" s="39"/>
      <c r="B12" s="45" t="s">
        <v>215</v>
      </c>
      <c r="C12" s="41"/>
      <c r="D12" s="41"/>
      <c r="E12" s="41"/>
      <c r="F12" s="41"/>
      <c r="G12" s="46" t="e">
        <f>AVERAGE(G5:G11)</f>
        <v>#DIV/0!</v>
      </c>
      <c r="H12" s="41"/>
    </row>
    <row r="13" spans="1:9" ht="15" customHeight="1" x14ac:dyDescent="0.3">
      <c r="B13" s="45" t="s">
        <v>216</v>
      </c>
      <c r="C13" s="41"/>
      <c r="D13" s="41"/>
      <c r="E13" s="41"/>
      <c r="F13" s="47"/>
      <c r="G13" s="45"/>
      <c r="H13" s="45"/>
      <c r="I13" s="48"/>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topLeftCell="A7" workbookViewId="0">
      <selection activeCell="C7" sqref="C7"/>
    </sheetView>
  </sheetViews>
  <sheetFormatPr defaultRowHeight="13.8" x14ac:dyDescent="0.25"/>
  <cols>
    <col min="1" max="1" width="20.5546875" style="20" customWidth="1"/>
    <col min="2" max="2" width="11.77734375" style="20" customWidth="1"/>
    <col min="3" max="4" width="9.21875" style="20"/>
    <col min="5" max="5" width="10.21875" style="20" customWidth="1"/>
    <col min="6" max="6" width="10.77734375" style="20" customWidth="1"/>
    <col min="7" max="7" width="9.21875" style="20"/>
    <col min="8" max="8" width="10.44140625" style="20" customWidth="1"/>
    <col min="9" max="9" width="15.44140625" style="20" customWidth="1"/>
    <col min="10" max="258" width="9.21875" style="20"/>
    <col min="259" max="259" width="11.77734375" style="20" customWidth="1"/>
    <col min="260" max="260" width="9.21875" style="20"/>
    <col min="261" max="261" width="14.77734375" style="20" customWidth="1"/>
    <col min="262" max="262" width="10.77734375" style="20" customWidth="1"/>
    <col min="263" max="514" width="9.21875" style="20"/>
    <col min="515" max="515" width="11.77734375" style="20" customWidth="1"/>
    <col min="516" max="516" width="9.21875" style="20"/>
    <col min="517" max="517" width="14.77734375" style="20" customWidth="1"/>
    <col min="518" max="518" width="10.77734375" style="20" customWidth="1"/>
    <col min="519" max="770" width="9.21875" style="20"/>
    <col min="771" max="771" width="11.77734375" style="20" customWidth="1"/>
    <col min="772" max="772" width="9.21875" style="20"/>
    <col min="773" max="773" width="14.77734375" style="20" customWidth="1"/>
    <col min="774" max="774" width="10.77734375" style="20" customWidth="1"/>
    <col min="775" max="1026" width="9.21875" style="20"/>
    <col min="1027" max="1027" width="11.77734375" style="20" customWidth="1"/>
    <col min="1028" max="1028" width="9.21875" style="20"/>
    <col min="1029" max="1029" width="14.77734375" style="20" customWidth="1"/>
    <col min="1030" max="1030" width="10.77734375" style="20" customWidth="1"/>
    <col min="1031" max="1282" width="9.21875" style="20"/>
    <col min="1283" max="1283" width="11.77734375" style="20" customWidth="1"/>
    <col min="1284" max="1284" width="9.21875" style="20"/>
    <col min="1285" max="1285" width="14.77734375" style="20" customWidth="1"/>
    <col min="1286" max="1286" width="10.77734375" style="20" customWidth="1"/>
    <col min="1287" max="1538" width="9.21875" style="20"/>
    <col min="1539" max="1539" width="11.77734375" style="20" customWidth="1"/>
    <col min="1540" max="1540" width="9.21875" style="20"/>
    <col min="1541" max="1541" width="14.77734375" style="20" customWidth="1"/>
    <col min="1542" max="1542" width="10.77734375" style="20" customWidth="1"/>
    <col min="1543" max="1794" width="9.21875" style="20"/>
    <col min="1795" max="1795" width="11.77734375" style="20" customWidth="1"/>
    <col min="1796" max="1796" width="9.21875" style="20"/>
    <col min="1797" max="1797" width="14.77734375" style="20" customWidth="1"/>
    <col min="1798" max="1798" width="10.77734375" style="20" customWidth="1"/>
    <col min="1799" max="2050" width="9.21875" style="20"/>
    <col min="2051" max="2051" width="11.77734375" style="20" customWidth="1"/>
    <col min="2052" max="2052" width="9.21875" style="20"/>
    <col min="2053" max="2053" width="14.77734375" style="20" customWidth="1"/>
    <col min="2054" max="2054" width="10.77734375" style="20" customWidth="1"/>
    <col min="2055" max="2306" width="9.21875" style="20"/>
    <col min="2307" max="2307" width="11.77734375" style="20" customWidth="1"/>
    <col min="2308" max="2308" width="9.21875" style="20"/>
    <col min="2309" max="2309" width="14.77734375" style="20" customWidth="1"/>
    <col min="2310" max="2310" width="10.77734375" style="20" customWidth="1"/>
    <col min="2311" max="2562" width="9.21875" style="20"/>
    <col min="2563" max="2563" width="11.77734375" style="20" customWidth="1"/>
    <col min="2564" max="2564" width="9.21875" style="20"/>
    <col min="2565" max="2565" width="14.77734375" style="20" customWidth="1"/>
    <col min="2566" max="2566" width="10.77734375" style="20" customWidth="1"/>
    <col min="2567" max="2818" width="9.21875" style="20"/>
    <col min="2819" max="2819" width="11.77734375" style="20" customWidth="1"/>
    <col min="2820" max="2820" width="9.21875" style="20"/>
    <col min="2821" max="2821" width="14.77734375" style="20" customWidth="1"/>
    <col min="2822" max="2822" width="10.77734375" style="20" customWidth="1"/>
    <col min="2823" max="3074" width="9.21875" style="20"/>
    <col min="3075" max="3075" width="11.77734375" style="20" customWidth="1"/>
    <col min="3076" max="3076" width="9.21875" style="20"/>
    <col min="3077" max="3077" width="14.77734375" style="20" customWidth="1"/>
    <col min="3078" max="3078" width="10.77734375" style="20" customWidth="1"/>
    <col min="3079" max="3330" width="9.21875" style="20"/>
    <col min="3331" max="3331" width="11.77734375" style="20" customWidth="1"/>
    <col min="3332" max="3332" width="9.21875" style="20"/>
    <col min="3333" max="3333" width="14.77734375" style="20" customWidth="1"/>
    <col min="3334" max="3334" width="10.77734375" style="20" customWidth="1"/>
    <col min="3335" max="3586" width="9.21875" style="20"/>
    <col min="3587" max="3587" width="11.77734375" style="20" customWidth="1"/>
    <col min="3588" max="3588" width="9.21875" style="20"/>
    <col min="3589" max="3589" width="14.77734375" style="20" customWidth="1"/>
    <col min="3590" max="3590" width="10.77734375" style="20" customWidth="1"/>
    <col min="3591" max="3842" width="9.21875" style="20"/>
    <col min="3843" max="3843" width="11.77734375" style="20" customWidth="1"/>
    <col min="3844" max="3844" width="9.21875" style="20"/>
    <col min="3845" max="3845" width="14.77734375" style="20" customWidth="1"/>
    <col min="3846" max="3846" width="10.77734375" style="20" customWidth="1"/>
    <col min="3847" max="4098" width="9.21875" style="20"/>
    <col min="4099" max="4099" width="11.77734375" style="20" customWidth="1"/>
    <col min="4100" max="4100" width="9.21875" style="20"/>
    <col min="4101" max="4101" width="14.77734375" style="20" customWidth="1"/>
    <col min="4102" max="4102" width="10.77734375" style="20" customWidth="1"/>
    <col min="4103" max="4354" width="9.21875" style="20"/>
    <col min="4355" max="4355" width="11.77734375" style="20" customWidth="1"/>
    <col min="4356" max="4356" width="9.21875" style="20"/>
    <col min="4357" max="4357" width="14.77734375" style="20" customWidth="1"/>
    <col min="4358" max="4358" width="10.77734375" style="20" customWidth="1"/>
    <col min="4359" max="4610" width="9.21875" style="20"/>
    <col min="4611" max="4611" width="11.77734375" style="20" customWidth="1"/>
    <col min="4612" max="4612" width="9.21875" style="20"/>
    <col min="4613" max="4613" width="14.77734375" style="20" customWidth="1"/>
    <col min="4614" max="4614" width="10.77734375" style="20" customWidth="1"/>
    <col min="4615" max="4866" width="9.21875" style="20"/>
    <col min="4867" max="4867" width="11.77734375" style="20" customWidth="1"/>
    <col min="4868" max="4868" width="9.21875" style="20"/>
    <col min="4869" max="4869" width="14.77734375" style="20" customWidth="1"/>
    <col min="4870" max="4870" width="10.77734375" style="20" customWidth="1"/>
    <col min="4871" max="5122" width="9.21875" style="20"/>
    <col min="5123" max="5123" width="11.77734375" style="20" customWidth="1"/>
    <col min="5124" max="5124" width="9.21875" style="20"/>
    <col min="5125" max="5125" width="14.77734375" style="20" customWidth="1"/>
    <col min="5126" max="5126" width="10.77734375" style="20" customWidth="1"/>
    <col min="5127" max="5378" width="9.21875" style="20"/>
    <col min="5379" max="5379" width="11.77734375" style="20" customWidth="1"/>
    <col min="5380" max="5380" width="9.21875" style="20"/>
    <col min="5381" max="5381" width="14.77734375" style="20" customWidth="1"/>
    <col min="5382" max="5382" width="10.77734375" style="20" customWidth="1"/>
    <col min="5383" max="5634" width="9.21875" style="20"/>
    <col min="5635" max="5635" width="11.77734375" style="20" customWidth="1"/>
    <col min="5636" max="5636" width="9.21875" style="20"/>
    <col min="5637" max="5637" width="14.77734375" style="20" customWidth="1"/>
    <col min="5638" max="5638" width="10.77734375" style="20" customWidth="1"/>
    <col min="5639" max="5890" width="9.21875" style="20"/>
    <col min="5891" max="5891" width="11.77734375" style="20" customWidth="1"/>
    <col min="5892" max="5892" width="9.21875" style="20"/>
    <col min="5893" max="5893" width="14.77734375" style="20" customWidth="1"/>
    <col min="5894" max="5894" width="10.77734375" style="20" customWidth="1"/>
    <col min="5895" max="6146" width="9.21875" style="20"/>
    <col min="6147" max="6147" width="11.77734375" style="20" customWidth="1"/>
    <col min="6148" max="6148" width="9.21875" style="20"/>
    <col min="6149" max="6149" width="14.77734375" style="20" customWidth="1"/>
    <col min="6150" max="6150" width="10.77734375" style="20" customWidth="1"/>
    <col min="6151" max="6402" width="9.21875" style="20"/>
    <col min="6403" max="6403" width="11.77734375" style="20" customWidth="1"/>
    <col min="6404" max="6404" width="9.21875" style="20"/>
    <col min="6405" max="6405" width="14.77734375" style="20" customWidth="1"/>
    <col min="6406" max="6406" width="10.77734375" style="20" customWidth="1"/>
    <col min="6407" max="6658" width="9.21875" style="20"/>
    <col min="6659" max="6659" width="11.77734375" style="20" customWidth="1"/>
    <col min="6660" max="6660" width="9.21875" style="20"/>
    <col min="6661" max="6661" width="14.77734375" style="20" customWidth="1"/>
    <col min="6662" max="6662" width="10.77734375" style="20" customWidth="1"/>
    <col min="6663" max="6914" width="9.21875" style="20"/>
    <col min="6915" max="6915" width="11.77734375" style="20" customWidth="1"/>
    <col min="6916" max="6916" width="9.21875" style="20"/>
    <col min="6917" max="6917" width="14.77734375" style="20" customWidth="1"/>
    <col min="6918" max="6918" width="10.77734375" style="20" customWidth="1"/>
    <col min="6919" max="7170" width="9.21875" style="20"/>
    <col min="7171" max="7171" width="11.77734375" style="20" customWidth="1"/>
    <col min="7172" max="7172" width="9.21875" style="20"/>
    <col min="7173" max="7173" width="14.77734375" style="20" customWidth="1"/>
    <col min="7174" max="7174" width="10.77734375" style="20" customWidth="1"/>
    <col min="7175" max="7426" width="9.21875" style="20"/>
    <col min="7427" max="7427" width="11.77734375" style="20" customWidth="1"/>
    <col min="7428" max="7428" width="9.21875" style="20"/>
    <col min="7429" max="7429" width="14.77734375" style="20" customWidth="1"/>
    <col min="7430" max="7430" width="10.77734375" style="20" customWidth="1"/>
    <col min="7431" max="7682" width="9.21875" style="20"/>
    <col min="7683" max="7683" width="11.77734375" style="20" customWidth="1"/>
    <col min="7684" max="7684" width="9.21875" style="20"/>
    <col min="7685" max="7685" width="14.77734375" style="20" customWidth="1"/>
    <col min="7686" max="7686" width="10.77734375" style="20" customWidth="1"/>
    <col min="7687" max="7938" width="9.21875" style="20"/>
    <col min="7939" max="7939" width="11.77734375" style="20" customWidth="1"/>
    <col min="7940" max="7940" width="9.21875" style="20"/>
    <col min="7941" max="7941" width="14.77734375" style="20" customWidth="1"/>
    <col min="7942" max="7942" width="10.77734375" style="20" customWidth="1"/>
    <col min="7943" max="8194" width="9.21875" style="20"/>
    <col min="8195" max="8195" width="11.77734375" style="20" customWidth="1"/>
    <col min="8196" max="8196" width="9.21875" style="20"/>
    <col min="8197" max="8197" width="14.77734375" style="20" customWidth="1"/>
    <col min="8198" max="8198" width="10.77734375" style="20" customWidth="1"/>
    <col min="8199" max="8450" width="9.21875" style="20"/>
    <col min="8451" max="8451" width="11.77734375" style="20" customWidth="1"/>
    <col min="8452" max="8452" width="9.21875" style="20"/>
    <col min="8453" max="8453" width="14.77734375" style="20" customWidth="1"/>
    <col min="8454" max="8454" width="10.77734375" style="20" customWidth="1"/>
    <col min="8455" max="8706" width="9.21875" style="20"/>
    <col min="8707" max="8707" width="11.77734375" style="20" customWidth="1"/>
    <col min="8708" max="8708" width="9.21875" style="20"/>
    <col min="8709" max="8709" width="14.77734375" style="20" customWidth="1"/>
    <col min="8710" max="8710" width="10.77734375" style="20" customWidth="1"/>
    <col min="8711" max="8962" width="9.21875" style="20"/>
    <col min="8963" max="8963" width="11.77734375" style="20" customWidth="1"/>
    <col min="8964" max="8964" width="9.21875" style="20"/>
    <col min="8965" max="8965" width="14.77734375" style="20" customWidth="1"/>
    <col min="8966" max="8966" width="10.77734375" style="20" customWidth="1"/>
    <col min="8967" max="9218" width="9.21875" style="20"/>
    <col min="9219" max="9219" width="11.77734375" style="20" customWidth="1"/>
    <col min="9220" max="9220" width="9.21875" style="20"/>
    <col min="9221" max="9221" width="14.77734375" style="20" customWidth="1"/>
    <col min="9222" max="9222" width="10.77734375" style="20" customWidth="1"/>
    <col min="9223" max="9474" width="9.21875" style="20"/>
    <col min="9475" max="9475" width="11.77734375" style="20" customWidth="1"/>
    <col min="9476" max="9476" width="9.21875" style="20"/>
    <col min="9477" max="9477" width="14.77734375" style="20" customWidth="1"/>
    <col min="9478" max="9478" width="10.77734375" style="20" customWidth="1"/>
    <col min="9479" max="9730" width="9.21875" style="20"/>
    <col min="9731" max="9731" width="11.77734375" style="20" customWidth="1"/>
    <col min="9732" max="9732" width="9.21875" style="20"/>
    <col min="9733" max="9733" width="14.77734375" style="20" customWidth="1"/>
    <col min="9734" max="9734" width="10.77734375" style="20" customWidth="1"/>
    <col min="9735" max="9986" width="9.21875" style="20"/>
    <col min="9987" max="9987" width="11.77734375" style="20" customWidth="1"/>
    <col min="9988" max="9988" width="9.21875" style="20"/>
    <col min="9989" max="9989" width="14.77734375" style="20" customWidth="1"/>
    <col min="9990" max="9990" width="10.77734375" style="20" customWidth="1"/>
    <col min="9991" max="10242" width="9.21875" style="20"/>
    <col min="10243" max="10243" width="11.77734375" style="20" customWidth="1"/>
    <col min="10244" max="10244" width="9.21875" style="20"/>
    <col min="10245" max="10245" width="14.77734375" style="20" customWidth="1"/>
    <col min="10246" max="10246" width="10.77734375" style="20" customWidth="1"/>
    <col min="10247" max="10498" width="9.21875" style="20"/>
    <col min="10499" max="10499" width="11.77734375" style="20" customWidth="1"/>
    <col min="10500" max="10500" width="9.21875" style="20"/>
    <col min="10501" max="10501" width="14.77734375" style="20" customWidth="1"/>
    <col min="10502" max="10502" width="10.77734375" style="20" customWidth="1"/>
    <col min="10503" max="10754" width="9.21875" style="20"/>
    <col min="10755" max="10755" width="11.77734375" style="20" customWidth="1"/>
    <col min="10756" max="10756" width="9.21875" style="20"/>
    <col min="10757" max="10757" width="14.77734375" style="20" customWidth="1"/>
    <col min="10758" max="10758" width="10.77734375" style="20" customWidth="1"/>
    <col min="10759" max="11010" width="9.21875" style="20"/>
    <col min="11011" max="11011" width="11.77734375" style="20" customWidth="1"/>
    <col min="11012" max="11012" width="9.21875" style="20"/>
    <col min="11013" max="11013" width="14.77734375" style="20" customWidth="1"/>
    <col min="11014" max="11014" width="10.77734375" style="20" customWidth="1"/>
    <col min="11015" max="11266" width="9.21875" style="20"/>
    <col min="11267" max="11267" width="11.77734375" style="20" customWidth="1"/>
    <col min="11268" max="11268" width="9.21875" style="20"/>
    <col min="11269" max="11269" width="14.77734375" style="20" customWidth="1"/>
    <col min="11270" max="11270" width="10.77734375" style="20" customWidth="1"/>
    <col min="11271" max="11522" width="9.21875" style="20"/>
    <col min="11523" max="11523" width="11.77734375" style="20" customWidth="1"/>
    <col min="11524" max="11524" width="9.21875" style="20"/>
    <col min="11525" max="11525" width="14.77734375" style="20" customWidth="1"/>
    <col min="11526" max="11526" width="10.77734375" style="20" customWidth="1"/>
    <col min="11527" max="11778" width="9.21875" style="20"/>
    <col min="11779" max="11779" width="11.77734375" style="20" customWidth="1"/>
    <col min="11780" max="11780" width="9.21875" style="20"/>
    <col min="11781" max="11781" width="14.77734375" style="20" customWidth="1"/>
    <col min="11782" max="11782" width="10.77734375" style="20" customWidth="1"/>
    <col min="11783" max="12034" width="9.21875" style="20"/>
    <col min="12035" max="12035" width="11.77734375" style="20" customWidth="1"/>
    <col min="12036" max="12036" width="9.21875" style="20"/>
    <col min="12037" max="12037" width="14.77734375" style="20" customWidth="1"/>
    <col min="12038" max="12038" width="10.77734375" style="20" customWidth="1"/>
    <col min="12039" max="12290" width="9.21875" style="20"/>
    <col min="12291" max="12291" width="11.77734375" style="20" customWidth="1"/>
    <col min="12292" max="12292" width="9.21875" style="20"/>
    <col min="12293" max="12293" width="14.77734375" style="20" customWidth="1"/>
    <col min="12294" max="12294" width="10.77734375" style="20" customWidth="1"/>
    <col min="12295" max="12546" width="9.21875" style="20"/>
    <col min="12547" max="12547" width="11.77734375" style="20" customWidth="1"/>
    <col min="12548" max="12548" width="9.21875" style="20"/>
    <col min="12549" max="12549" width="14.77734375" style="20" customWidth="1"/>
    <col min="12550" max="12550" width="10.77734375" style="20" customWidth="1"/>
    <col min="12551" max="12802" width="9.21875" style="20"/>
    <col min="12803" max="12803" width="11.77734375" style="20" customWidth="1"/>
    <col min="12804" max="12804" width="9.21875" style="20"/>
    <col min="12805" max="12805" width="14.77734375" style="20" customWidth="1"/>
    <col min="12806" max="12806" width="10.77734375" style="20" customWidth="1"/>
    <col min="12807" max="13058" width="9.21875" style="20"/>
    <col min="13059" max="13059" width="11.77734375" style="20" customWidth="1"/>
    <col min="13060" max="13060" width="9.21875" style="20"/>
    <col min="13061" max="13061" width="14.77734375" style="20" customWidth="1"/>
    <col min="13062" max="13062" width="10.77734375" style="20" customWidth="1"/>
    <col min="13063" max="13314" width="9.21875" style="20"/>
    <col min="13315" max="13315" width="11.77734375" style="20" customWidth="1"/>
    <col min="13316" max="13316" width="9.21875" style="20"/>
    <col min="13317" max="13317" width="14.77734375" style="20" customWidth="1"/>
    <col min="13318" max="13318" width="10.77734375" style="20" customWidth="1"/>
    <col min="13319" max="13570" width="9.21875" style="20"/>
    <col min="13571" max="13571" width="11.77734375" style="20" customWidth="1"/>
    <col min="13572" max="13572" width="9.21875" style="20"/>
    <col min="13573" max="13573" width="14.77734375" style="20" customWidth="1"/>
    <col min="13574" max="13574" width="10.77734375" style="20" customWidth="1"/>
    <col min="13575" max="13826" width="9.21875" style="20"/>
    <col min="13827" max="13827" width="11.77734375" style="20" customWidth="1"/>
    <col min="13828" max="13828" width="9.21875" style="20"/>
    <col min="13829" max="13829" width="14.77734375" style="20" customWidth="1"/>
    <col min="13830" max="13830" width="10.77734375" style="20" customWidth="1"/>
    <col min="13831" max="14082" width="9.21875" style="20"/>
    <col min="14083" max="14083" width="11.77734375" style="20" customWidth="1"/>
    <col min="14084" max="14084" width="9.21875" style="20"/>
    <col min="14085" max="14085" width="14.77734375" style="20" customWidth="1"/>
    <col min="14086" max="14086" width="10.77734375" style="20" customWidth="1"/>
    <col min="14087" max="14338" width="9.21875" style="20"/>
    <col min="14339" max="14339" width="11.77734375" style="20" customWidth="1"/>
    <col min="14340" max="14340" width="9.21875" style="20"/>
    <col min="14341" max="14341" width="14.77734375" style="20" customWidth="1"/>
    <col min="14342" max="14342" width="10.77734375" style="20" customWidth="1"/>
    <col min="14343" max="14594" width="9.21875" style="20"/>
    <col min="14595" max="14595" width="11.77734375" style="20" customWidth="1"/>
    <col min="14596" max="14596" width="9.21875" style="20"/>
    <col min="14597" max="14597" width="14.77734375" style="20" customWidth="1"/>
    <col min="14598" max="14598" width="10.77734375" style="20" customWidth="1"/>
    <col min="14599" max="14850" width="9.21875" style="20"/>
    <col min="14851" max="14851" width="11.77734375" style="20" customWidth="1"/>
    <col min="14852" max="14852" width="9.21875" style="20"/>
    <col min="14853" max="14853" width="14.77734375" style="20" customWidth="1"/>
    <col min="14854" max="14854" width="10.77734375" style="20" customWidth="1"/>
    <col min="14855" max="15106" width="9.21875" style="20"/>
    <col min="15107" max="15107" width="11.77734375" style="20" customWidth="1"/>
    <col min="15108" max="15108" width="9.21875" style="20"/>
    <col min="15109" max="15109" width="14.77734375" style="20" customWidth="1"/>
    <col min="15110" max="15110" width="10.77734375" style="20" customWidth="1"/>
    <col min="15111" max="15362" width="9.21875" style="20"/>
    <col min="15363" max="15363" width="11.77734375" style="20" customWidth="1"/>
    <col min="15364" max="15364" width="9.21875" style="20"/>
    <col min="15365" max="15365" width="14.77734375" style="20" customWidth="1"/>
    <col min="15366" max="15366" width="10.77734375" style="20" customWidth="1"/>
    <col min="15367" max="15618" width="9.21875" style="20"/>
    <col min="15619" max="15619" width="11.77734375" style="20" customWidth="1"/>
    <col min="15620" max="15620" width="9.21875" style="20"/>
    <col min="15621" max="15621" width="14.77734375" style="20" customWidth="1"/>
    <col min="15622" max="15622" width="10.77734375" style="20" customWidth="1"/>
    <col min="15623" max="15874" width="9.21875" style="20"/>
    <col min="15875" max="15875" width="11.77734375" style="20" customWidth="1"/>
    <col min="15876" max="15876" width="9.21875" style="20"/>
    <col min="15877" max="15877" width="14.77734375" style="20" customWidth="1"/>
    <col min="15878" max="15878" width="10.77734375" style="20" customWidth="1"/>
    <col min="15879" max="16130" width="9.21875" style="20"/>
    <col min="16131" max="16131" width="11.77734375" style="20" customWidth="1"/>
    <col min="16132" max="16132" width="9.21875" style="20"/>
    <col min="16133" max="16133" width="14.77734375" style="20" customWidth="1"/>
    <col min="16134" max="16134" width="10.77734375" style="20" customWidth="1"/>
    <col min="16135" max="16384" width="9.21875" style="20"/>
  </cols>
  <sheetData>
    <row r="2" spans="1:13" x14ac:dyDescent="0.25">
      <c r="A2" s="21" t="s">
        <v>136</v>
      </c>
      <c r="B2" s="21" t="s">
        <v>137</v>
      </c>
      <c r="C2" s="21" t="s">
        <v>138</v>
      </c>
      <c r="D2" s="251" t="s">
        <v>139</v>
      </c>
      <c r="E2" s="251"/>
    </row>
    <row r="3" spans="1:13" x14ac:dyDescent="0.25">
      <c r="A3" s="24">
        <v>0</v>
      </c>
      <c r="B3" s="24">
        <v>0</v>
      </c>
      <c r="C3" s="24">
        <v>1</v>
      </c>
      <c r="D3" s="252">
        <v>28</v>
      </c>
      <c r="E3" s="252"/>
    </row>
    <row r="5" spans="1:13" hidden="1" x14ac:dyDescent="0.25">
      <c r="A5" s="20" t="s">
        <v>101</v>
      </c>
      <c r="B5" s="22" t="s">
        <v>154</v>
      </c>
      <c r="C5" s="22">
        <f>D3</f>
        <v>28</v>
      </c>
      <c r="D5" s="23"/>
    </row>
    <row r="6" spans="1:13" x14ac:dyDescent="0.25">
      <c r="A6" s="20" t="s">
        <v>102</v>
      </c>
      <c r="B6" s="25">
        <v>10</v>
      </c>
      <c r="C6" s="26">
        <v>10</v>
      </c>
      <c r="D6" s="27">
        <f>((100/B6)*C6)/100</f>
        <v>1</v>
      </c>
    </row>
    <row r="7" spans="1:13" x14ac:dyDescent="0.25">
      <c r="A7" s="20" t="s">
        <v>103</v>
      </c>
      <c r="B7" s="25">
        <f>A3+B3+C3+D3</f>
        <v>29</v>
      </c>
      <c r="C7" s="26">
        <v>18</v>
      </c>
      <c r="D7" s="27">
        <f t="shared" ref="D7:D12" si="0">((100/B7)*C7)/100</f>
        <v>0.6206896551724137</v>
      </c>
      <c r="F7" s="254" t="s">
        <v>155</v>
      </c>
      <c r="G7" s="254"/>
      <c r="H7" s="28" t="s">
        <v>156</v>
      </c>
      <c r="J7" s="34"/>
    </row>
    <row r="8" spans="1:13" x14ac:dyDescent="0.25">
      <c r="A8" s="20" t="s">
        <v>108</v>
      </c>
      <c r="B8" s="25">
        <f>C5</f>
        <v>28</v>
      </c>
      <c r="C8" s="26">
        <f>C7-1</f>
        <v>17</v>
      </c>
      <c r="D8" s="27">
        <f t="shared" si="0"/>
        <v>0.60714285714285721</v>
      </c>
      <c r="F8" s="253" t="s">
        <v>157</v>
      </c>
      <c r="G8" s="253"/>
      <c r="H8" s="25" t="s">
        <v>158</v>
      </c>
    </row>
    <row r="9" spans="1:13" x14ac:dyDescent="0.25">
      <c r="A9" s="20" t="s">
        <v>110</v>
      </c>
      <c r="B9" s="25">
        <f>C5</f>
        <v>28</v>
      </c>
      <c r="C9" s="26">
        <f>C8/2</f>
        <v>8.5</v>
      </c>
      <c r="D9" s="27">
        <f t="shared" si="0"/>
        <v>0.3035714285714286</v>
      </c>
      <c r="F9" s="253" t="s">
        <v>159</v>
      </c>
      <c r="G9" s="253"/>
      <c r="H9" s="25" t="s">
        <v>160</v>
      </c>
    </row>
    <row r="10" spans="1:13" x14ac:dyDescent="0.25">
      <c r="A10" s="20" t="s">
        <v>71</v>
      </c>
      <c r="B10" s="25">
        <f>C5</f>
        <v>28</v>
      </c>
      <c r="C10" s="26">
        <v>0</v>
      </c>
      <c r="D10" s="27">
        <f t="shared" si="0"/>
        <v>0</v>
      </c>
      <c r="F10" s="253" t="s">
        <v>161</v>
      </c>
      <c r="G10" s="253"/>
      <c r="H10" s="25" t="s">
        <v>162</v>
      </c>
    </row>
    <row r="11" spans="1:13" x14ac:dyDescent="0.25">
      <c r="A11" s="29" t="s">
        <v>106</v>
      </c>
      <c r="B11" s="25">
        <f>C5</f>
        <v>28</v>
      </c>
      <c r="C11" s="26">
        <v>0</v>
      </c>
      <c r="D11" s="27">
        <f t="shared" si="0"/>
        <v>0</v>
      </c>
      <c r="F11" s="253" t="s">
        <v>163</v>
      </c>
      <c r="G11" s="253"/>
      <c r="H11" s="25" t="s">
        <v>164</v>
      </c>
    </row>
    <row r="12" spans="1:13" x14ac:dyDescent="0.25">
      <c r="A12" s="20" t="s">
        <v>72</v>
      </c>
      <c r="B12" s="25">
        <f>C5</f>
        <v>28</v>
      </c>
      <c r="C12" s="26">
        <v>0</v>
      </c>
      <c r="D12" s="27">
        <f t="shared" si="0"/>
        <v>0</v>
      </c>
      <c r="F12" s="253" t="s">
        <v>165</v>
      </c>
      <c r="G12" s="253"/>
      <c r="H12" s="25" t="s">
        <v>166</v>
      </c>
    </row>
    <row r="13" spans="1:13" x14ac:dyDescent="0.25">
      <c r="F13" s="253" t="s">
        <v>167</v>
      </c>
      <c r="G13" s="253"/>
      <c r="H13" s="25" t="s">
        <v>168</v>
      </c>
    </row>
    <row r="14" spans="1:13" hidden="1" x14ac:dyDescent="0.25">
      <c r="A14" s="21"/>
      <c r="B14" s="21" t="s">
        <v>107</v>
      </c>
      <c r="C14" s="21" t="s">
        <v>111</v>
      </c>
      <c r="G14" s="21" t="s">
        <v>102</v>
      </c>
      <c r="H14" s="21" t="s">
        <v>104</v>
      </c>
      <c r="I14" s="21" t="s">
        <v>105</v>
      </c>
      <c r="J14" s="21" t="s">
        <v>70</v>
      </c>
      <c r="K14" s="21" t="s">
        <v>71</v>
      </c>
      <c r="L14" s="21" t="s">
        <v>106</v>
      </c>
      <c r="M14" s="21" t="s">
        <v>72</v>
      </c>
    </row>
    <row r="15" spans="1:13" hidden="1" x14ac:dyDescent="0.25">
      <c r="A15" s="21" t="s">
        <v>68</v>
      </c>
      <c r="B15" s="21">
        <f>G15</f>
        <v>10</v>
      </c>
      <c r="C15" s="21">
        <f>G16</f>
        <v>30</v>
      </c>
      <c r="E15" s="251" t="s">
        <v>107</v>
      </c>
      <c r="F15" s="251"/>
      <c r="G15" s="30">
        <f>C6</f>
        <v>10</v>
      </c>
      <c r="H15" s="30">
        <f>40/B7*C7</f>
        <v>24.827586206896555</v>
      </c>
      <c r="I15" s="30">
        <f>15/B8*C8</f>
        <v>9.1071428571428577</v>
      </c>
      <c r="J15" s="30">
        <f>10/B9*C9</f>
        <v>3.0357142857142856</v>
      </c>
      <c r="K15" s="30">
        <f>10/B10*C10</f>
        <v>0</v>
      </c>
      <c r="L15" s="30">
        <f>5/B11*C11</f>
        <v>0</v>
      </c>
      <c r="M15" s="30">
        <f>5/B12*C12</f>
        <v>0</v>
      </c>
    </row>
    <row r="16" spans="1:13" hidden="1" x14ac:dyDescent="0.25">
      <c r="A16" s="21" t="s">
        <v>69</v>
      </c>
      <c r="B16" s="21">
        <f>H15</f>
        <v>24.827586206896555</v>
      </c>
      <c r="C16" s="21">
        <f>H16</f>
        <v>18.620689655172416</v>
      </c>
      <c r="E16" s="251" t="s">
        <v>109</v>
      </c>
      <c r="F16" s="251"/>
      <c r="G16" s="21">
        <f>G15+20</f>
        <v>30</v>
      </c>
      <c r="H16" s="21">
        <f>30/B7*C7</f>
        <v>18.620689655172416</v>
      </c>
      <c r="I16" s="21">
        <f>15/B8*C8</f>
        <v>9.1071428571428577</v>
      </c>
      <c r="J16" s="21">
        <f>10/B9*C9</f>
        <v>3.0357142857142856</v>
      </c>
      <c r="K16" s="21">
        <f>5/B10*C10</f>
        <v>0</v>
      </c>
      <c r="L16" s="21">
        <f>5/B11*C11</f>
        <v>0</v>
      </c>
      <c r="M16" s="21">
        <f>5/B12*C12</f>
        <v>0</v>
      </c>
    </row>
    <row r="17" spans="1:8" hidden="1" x14ac:dyDescent="0.25">
      <c r="A17" s="21" t="s">
        <v>105</v>
      </c>
      <c r="B17" s="21">
        <f>I15</f>
        <v>9.1071428571428577</v>
      </c>
      <c r="C17" s="21">
        <f>I16</f>
        <v>9.1071428571428577</v>
      </c>
    </row>
    <row r="18" spans="1:8" hidden="1" x14ac:dyDescent="0.25">
      <c r="A18" s="21" t="s">
        <v>70</v>
      </c>
      <c r="B18" s="21">
        <f>J15</f>
        <v>3.0357142857142856</v>
      </c>
      <c r="C18" s="21">
        <f>J16</f>
        <v>3.0357142857142856</v>
      </c>
    </row>
    <row r="19" spans="1:8" hidden="1" x14ac:dyDescent="0.25">
      <c r="A19" s="21" t="s">
        <v>71</v>
      </c>
      <c r="B19" s="21">
        <f>K15</f>
        <v>0</v>
      </c>
      <c r="C19" s="21">
        <f>K16</f>
        <v>0</v>
      </c>
    </row>
    <row r="20" spans="1:8" hidden="1" x14ac:dyDescent="0.25">
      <c r="A20" s="31" t="s">
        <v>106</v>
      </c>
      <c r="B20" s="21">
        <f>L15</f>
        <v>0</v>
      </c>
      <c r="C20" s="21">
        <f>L16</f>
        <v>0</v>
      </c>
    </row>
    <row r="21" spans="1:8" hidden="1" x14ac:dyDescent="0.25">
      <c r="A21" s="21" t="s">
        <v>72</v>
      </c>
      <c r="B21" s="21">
        <f>M15</f>
        <v>0</v>
      </c>
      <c r="C21" s="21">
        <f>M16</f>
        <v>0</v>
      </c>
    </row>
    <row r="22" spans="1:8" x14ac:dyDescent="0.25">
      <c r="A22" s="21" t="s">
        <v>112</v>
      </c>
      <c r="B22" s="32">
        <f>(B15+B16+B17+B18+B19+B20+B21)/100</f>
        <v>0.46970443349753699</v>
      </c>
      <c r="C22" s="32">
        <f>(C15+C16+C17+C18+C19+C20+C21)/100</f>
        <v>0.60763546798029555</v>
      </c>
      <c r="F22" s="253" t="s">
        <v>169</v>
      </c>
      <c r="G22" s="253"/>
      <c r="H22" s="25" t="s">
        <v>160</v>
      </c>
    </row>
    <row r="23" spans="1:8" x14ac:dyDescent="0.25">
      <c r="F23" s="253" t="s">
        <v>170</v>
      </c>
      <c r="G23" s="253"/>
      <c r="H23" s="25" t="s">
        <v>171</v>
      </c>
    </row>
    <row r="24" spans="1:8" x14ac:dyDescent="0.25">
      <c r="A24" s="20" t="s">
        <v>144</v>
      </c>
      <c r="B24" s="33">
        <v>0.01</v>
      </c>
      <c r="C24" s="33">
        <v>0.02</v>
      </c>
      <c r="F24" s="253" t="s">
        <v>172</v>
      </c>
      <c r="G24" s="253"/>
      <c r="H24" s="25" t="s">
        <v>173</v>
      </c>
    </row>
    <row r="25" spans="1:8" x14ac:dyDescent="0.25">
      <c r="A25" s="20" t="s">
        <v>145</v>
      </c>
      <c r="B25" s="33">
        <v>0.01</v>
      </c>
      <c r="C25" s="33">
        <v>0.03</v>
      </c>
    </row>
    <row r="26" spans="1:8" x14ac:dyDescent="0.25">
      <c r="A26" s="20" t="s">
        <v>146</v>
      </c>
      <c r="B26" s="33">
        <v>0.03</v>
      </c>
      <c r="C26" s="33">
        <v>0.08</v>
      </c>
    </row>
    <row r="27" spans="1:8" x14ac:dyDescent="0.25">
      <c r="A27" s="20" t="s">
        <v>147</v>
      </c>
      <c r="B27" s="33">
        <v>0.05</v>
      </c>
      <c r="C27" s="33">
        <v>0.15</v>
      </c>
    </row>
    <row r="28" spans="1:8" x14ac:dyDescent="0.25">
      <c r="A28" s="20" t="s">
        <v>148</v>
      </c>
      <c r="B28" s="33">
        <v>7.0000000000000007E-2</v>
      </c>
      <c r="C28" s="33">
        <v>0.2</v>
      </c>
    </row>
    <row r="29" spans="1:8" x14ac:dyDescent="0.25">
      <c r="A29" s="20" t="s">
        <v>149</v>
      </c>
      <c r="B29" s="33">
        <v>0.1</v>
      </c>
      <c r="C29" s="33">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B27" sqref="B27"/>
    </sheetView>
  </sheetViews>
  <sheetFormatPr defaultRowHeight="13.8" x14ac:dyDescent="0.25"/>
  <cols>
    <col min="1" max="1" width="20.5546875" style="20" customWidth="1"/>
    <col min="2" max="2" width="11.77734375" style="20" customWidth="1"/>
    <col min="3" max="4" width="9.21875" style="20"/>
    <col min="5" max="5" width="10.21875" style="20" customWidth="1"/>
    <col min="6" max="6" width="10.77734375" style="20" customWidth="1"/>
    <col min="7" max="7" width="9.21875" style="20"/>
    <col min="8" max="8" width="10.44140625" style="20" customWidth="1"/>
    <col min="9" max="9" width="15.44140625" style="20" customWidth="1"/>
    <col min="10" max="258" width="9.21875" style="20"/>
    <col min="259" max="259" width="11.77734375" style="20" customWidth="1"/>
    <col min="260" max="260" width="9.21875" style="20"/>
    <col min="261" max="261" width="14.77734375" style="20" customWidth="1"/>
    <col min="262" max="262" width="10.77734375" style="20" customWidth="1"/>
    <col min="263" max="514" width="9.21875" style="20"/>
    <col min="515" max="515" width="11.77734375" style="20" customWidth="1"/>
    <col min="516" max="516" width="9.21875" style="20"/>
    <col min="517" max="517" width="14.77734375" style="20" customWidth="1"/>
    <col min="518" max="518" width="10.77734375" style="20" customWidth="1"/>
    <col min="519" max="770" width="9.21875" style="20"/>
    <col min="771" max="771" width="11.77734375" style="20" customWidth="1"/>
    <col min="772" max="772" width="9.21875" style="20"/>
    <col min="773" max="773" width="14.77734375" style="20" customWidth="1"/>
    <col min="774" max="774" width="10.77734375" style="20" customWidth="1"/>
    <col min="775" max="1026" width="9.21875" style="20"/>
    <col min="1027" max="1027" width="11.77734375" style="20" customWidth="1"/>
    <col min="1028" max="1028" width="9.21875" style="20"/>
    <col min="1029" max="1029" width="14.77734375" style="20" customWidth="1"/>
    <col min="1030" max="1030" width="10.77734375" style="20" customWidth="1"/>
    <col min="1031" max="1282" width="9.21875" style="20"/>
    <col min="1283" max="1283" width="11.77734375" style="20" customWidth="1"/>
    <col min="1284" max="1284" width="9.21875" style="20"/>
    <col min="1285" max="1285" width="14.77734375" style="20" customWidth="1"/>
    <col min="1286" max="1286" width="10.77734375" style="20" customWidth="1"/>
    <col min="1287" max="1538" width="9.21875" style="20"/>
    <col min="1539" max="1539" width="11.77734375" style="20" customWidth="1"/>
    <col min="1540" max="1540" width="9.21875" style="20"/>
    <col min="1541" max="1541" width="14.77734375" style="20" customWidth="1"/>
    <col min="1542" max="1542" width="10.77734375" style="20" customWidth="1"/>
    <col min="1543" max="1794" width="9.21875" style="20"/>
    <col min="1795" max="1795" width="11.77734375" style="20" customWidth="1"/>
    <col min="1796" max="1796" width="9.21875" style="20"/>
    <col min="1797" max="1797" width="14.77734375" style="20" customWidth="1"/>
    <col min="1798" max="1798" width="10.77734375" style="20" customWidth="1"/>
    <col min="1799" max="2050" width="9.21875" style="20"/>
    <col min="2051" max="2051" width="11.77734375" style="20" customWidth="1"/>
    <col min="2052" max="2052" width="9.21875" style="20"/>
    <col min="2053" max="2053" width="14.77734375" style="20" customWidth="1"/>
    <col min="2054" max="2054" width="10.77734375" style="20" customWidth="1"/>
    <col min="2055" max="2306" width="9.21875" style="20"/>
    <col min="2307" max="2307" width="11.77734375" style="20" customWidth="1"/>
    <col min="2308" max="2308" width="9.21875" style="20"/>
    <col min="2309" max="2309" width="14.77734375" style="20" customWidth="1"/>
    <col min="2310" max="2310" width="10.77734375" style="20" customWidth="1"/>
    <col min="2311" max="2562" width="9.21875" style="20"/>
    <col min="2563" max="2563" width="11.77734375" style="20" customWidth="1"/>
    <col min="2564" max="2564" width="9.21875" style="20"/>
    <col min="2565" max="2565" width="14.77734375" style="20" customWidth="1"/>
    <col min="2566" max="2566" width="10.77734375" style="20" customWidth="1"/>
    <col min="2567" max="2818" width="9.21875" style="20"/>
    <col min="2819" max="2819" width="11.77734375" style="20" customWidth="1"/>
    <col min="2820" max="2820" width="9.21875" style="20"/>
    <col min="2821" max="2821" width="14.77734375" style="20" customWidth="1"/>
    <col min="2822" max="2822" width="10.77734375" style="20" customWidth="1"/>
    <col min="2823" max="3074" width="9.21875" style="20"/>
    <col min="3075" max="3075" width="11.77734375" style="20" customWidth="1"/>
    <col min="3076" max="3076" width="9.21875" style="20"/>
    <col min="3077" max="3077" width="14.77734375" style="20" customWidth="1"/>
    <col min="3078" max="3078" width="10.77734375" style="20" customWidth="1"/>
    <col min="3079" max="3330" width="9.21875" style="20"/>
    <col min="3331" max="3331" width="11.77734375" style="20" customWidth="1"/>
    <col min="3332" max="3332" width="9.21875" style="20"/>
    <col min="3333" max="3333" width="14.77734375" style="20" customWidth="1"/>
    <col min="3334" max="3334" width="10.77734375" style="20" customWidth="1"/>
    <col min="3335" max="3586" width="9.21875" style="20"/>
    <col min="3587" max="3587" width="11.77734375" style="20" customWidth="1"/>
    <col min="3588" max="3588" width="9.21875" style="20"/>
    <col min="3589" max="3589" width="14.77734375" style="20" customWidth="1"/>
    <col min="3590" max="3590" width="10.77734375" style="20" customWidth="1"/>
    <col min="3591" max="3842" width="9.21875" style="20"/>
    <col min="3843" max="3843" width="11.77734375" style="20" customWidth="1"/>
    <col min="3844" max="3844" width="9.21875" style="20"/>
    <col min="3845" max="3845" width="14.77734375" style="20" customWidth="1"/>
    <col min="3846" max="3846" width="10.77734375" style="20" customWidth="1"/>
    <col min="3847" max="4098" width="9.21875" style="20"/>
    <col min="4099" max="4099" width="11.77734375" style="20" customWidth="1"/>
    <col min="4100" max="4100" width="9.21875" style="20"/>
    <col min="4101" max="4101" width="14.77734375" style="20" customWidth="1"/>
    <col min="4102" max="4102" width="10.77734375" style="20" customWidth="1"/>
    <col min="4103" max="4354" width="9.21875" style="20"/>
    <col min="4355" max="4355" width="11.77734375" style="20" customWidth="1"/>
    <col min="4356" max="4356" width="9.21875" style="20"/>
    <col min="4357" max="4357" width="14.77734375" style="20" customWidth="1"/>
    <col min="4358" max="4358" width="10.77734375" style="20" customWidth="1"/>
    <col min="4359" max="4610" width="9.21875" style="20"/>
    <col min="4611" max="4611" width="11.77734375" style="20" customWidth="1"/>
    <col min="4612" max="4612" width="9.21875" style="20"/>
    <col min="4613" max="4613" width="14.77734375" style="20" customWidth="1"/>
    <col min="4614" max="4614" width="10.77734375" style="20" customWidth="1"/>
    <col min="4615" max="4866" width="9.21875" style="20"/>
    <col min="4867" max="4867" width="11.77734375" style="20" customWidth="1"/>
    <col min="4868" max="4868" width="9.21875" style="20"/>
    <col min="4869" max="4869" width="14.77734375" style="20" customWidth="1"/>
    <col min="4870" max="4870" width="10.77734375" style="20" customWidth="1"/>
    <col min="4871" max="5122" width="9.21875" style="20"/>
    <col min="5123" max="5123" width="11.77734375" style="20" customWidth="1"/>
    <col min="5124" max="5124" width="9.21875" style="20"/>
    <col min="5125" max="5125" width="14.77734375" style="20" customWidth="1"/>
    <col min="5126" max="5126" width="10.77734375" style="20" customWidth="1"/>
    <col min="5127" max="5378" width="9.21875" style="20"/>
    <col min="5379" max="5379" width="11.77734375" style="20" customWidth="1"/>
    <col min="5380" max="5380" width="9.21875" style="20"/>
    <col min="5381" max="5381" width="14.77734375" style="20" customWidth="1"/>
    <col min="5382" max="5382" width="10.77734375" style="20" customWidth="1"/>
    <col min="5383" max="5634" width="9.21875" style="20"/>
    <col min="5635" max="5635" width="11.77734375" style="20" customWidth="1"/>
    <col min="5636" max="5636" width="9.21875" style="20"/>
    <col min="5637" max="5637" width="14.77734375" style="20" customWidth="1"/>
    <col min="5638" max="5638" width="10.77734375" style="20" customWidth="1"/>
    <col min="5639" max="5890" width="9.21875" style="20"/>
    <col min="5891" max="5891" width="11.77734375" style="20" customWidth="1"/>
    <col min="5892" max="5892" width="9.21875" style="20"/>
    <col min="5893" max="5893" width="14.77734375" style="20" customWidth="1"/>
    <col min="5894" max="5894" width="10.77734375" style="20" customWidth="1"/>
    <col min="5895" max="6146" width="9.21875" style="20"/>
    <col min="6147" max="6147" width="11.77734375" style="20" customWidth="1"/>
    <col min="6148" max="6148" width="9.21875" style="20"/>
    <col min="6149" max="6149" width="14.77734375" style="20" customWidth="1"/>
    <col min="6150" max="6150" width="10.77734375" style="20" customWidth="1"/>
    <col min="6151" max="6402" width="9.21875" style="20"/>
    <col min="6403" max="6403" width="11.77734375" style="20" customWidth="1"/>
    <col min="6404" max="6404" width="9.21875" style="20"/>
    <col min="6405" max="6405" width="14.77734375" style="20" customWidth="1"/>
    <col min="6406" max="6406" width="10.77734375" style="20" customWidth="1"/>
    <col min="6407" max="6658" width="9.21875" style="20"/>
    <col min="6659" max="6659" width="11.77734375" style="20" customWidth="1"/>
    <col min="6660" max="6660" width="9.21875" style="20"/>
    <col min="6661" max="6661" width="14.77734375" style="20" customWidth="1"/>
    <col min="6662" max="6662" width="10.77734375" style="20" customWidth="1"/>
    <col min="6663" max="6914" width="9.21875" style="20"/>
    <col min="6915" max="6915" width="11.77734375" style="20" customWidth="1"/>
    <col min="6916" max="6916" width="9.21875" style="20"/>
    <col min="6917" max="6917" width="14.77734375" style="20" customWidth="1"/>
    <col min="6918" max="6918" width="10.77734375" style="20" customWidth="1"/>
    <col min="6919" max="7170" width="9.21875" style="20"/>
    <col min="7171" max="7171" width="11.77734375" style="20" customWidth="1"/>
    <col min="7172" max="7172" width="9.21875" style="20"/>
    <col min="7173" max="7173" width="14.77734375" style="20" customWidth="1"/>
    <col min="7174" max="7174" width="10.77734375" style="20" customWidth="1"/>
    <col min="7175" max="7426" width="9.21875" style="20"/>
    <col min="7427" max="7427" width="11.77734375" style="20" customWidth="1"/>
    <col min="7428" max="7428" width="9.21875" style="20"/>
    <col min="7429" max="7429" width="14.77734375" style="20" customWidth="1"/>
    <col min="7430" max="7430" width="10.77734375" style="20" customWidth="1"/>
    <col min="7431" max="7682" width="9.21875" style="20"/>
    <col min="7683" max="7683" width="11.77734375" style="20" customWidth="1"/>
    <col min="7684" max="7684" width="9.21875" style="20"/>
    <col min="7685" max="7685" width="14.77734375" style="20" customWidth="1"/>
    <col min="7686" max="7686" width="10.77734375" style="20" customWidth="1"/>
    <col min="7687" max="7938" width="9.21875" style="20"/>
    <col min="7939" max="7939" width="11.77734375" style="20" customWidth="1"/>
    <col min="7940" max="7940" width="9.21875" style="20"/>
    <col min="7941" max="7941" width="14.77734375" style="20" customWidth="1"/>
    <col min="7942" max="7942" width="10.77734375" style="20" customWidth="1"/>
    <col min="7943" max="8194" width="9.21875" style="20"/>
    <col min="8195" max="8195" width="11.77734375" style="20" customWidth="1"/>
    <col min="8196" max="8196" width="9.21875" style="20"/>
    <col min="8197" max="8197" width="14.77734375" style="20" customWidth="1"/>
    <col min="8198" max="8198" width="10.77734375" style="20" customWidth="1"/>
    <col min="8199" max="8450" width="9.21875" style="20"/>
    <col min="8451" max="8451" width="11.77734375" style="20" customWidth="1"/>
    <col min="8452" max="8452" width="9.21875" style="20"/>
    <col min="8453" max="8453" width="14.77734375" style="20" customWidth="1"/>
    <col min="8454" max="8454" width="10.77734375" style="20" customWidth="1"/>
    <col min="8455" max="8706" width="9.21875" style="20"/>
    <col min="8707" max="8707" width="11.77734375" style="20" customWidth="1"/>
    <col min="8708" max="8708" width="9.21875" style="20"/>
    <col min="8709" max="8709" width="14.77734375" style="20" customWidth="1"/>
    <col min="8710" max="8710" width="10.77734375" style="20" customWidth="1"/>
    <col min="8711" max="8962" width="9.21875" style="20"/>
    <col min="8963" max="8963" width="11.77734375" style="20" customWidth="1"/>
    <col min="8964" max="8964" width="9.21875" style="20"/>
    <col min="8965" max="8965" width="14.77734375" style="20" customWidth="1"/>
    <col min="8966" max="8966" width="10.77734375" style="20" customWidth="1"/>
    <col min="8967" max="9218" width="9.21875" style="20"/>
    <col min="9219" max="9219" width="11.77734375" style="20" customWidth="1"/>
    <col min="9220" max="9220" width="9.21875" style="20"/>
    <col min="9221" max="9221" width="14.77734375" style="20" customWidth="1"/>
    <col min="9222" max="9222" width="10.77734375" style="20" customWidth="1"/>
    <col min="9223" max="9474" width="9.21875" style="20"/>
    <col min="9475" max="9475" width="11.77734375" style="20" customWidth="1"/>
    <col min="9476" max="9476" width="9.21875" style="20"/>
    <col min="9477" max="9477" width="14.77734375" style="20" customWidth="1"/>
    <col min="9478" max="9478" width="10.77734375" style="20" customWidth="1"/>
    <col min="9479" max="9730" width="9.21875" style="20"/>
    <col min="9731" max="9731" width="11.77734375" style="20" customWidth="1"/>
    <col min="9732" max="9732" width="9.21875" style="20"/>
    <col min="9733" max="9733" width="14.77734375" style="20" customWidth="1"/>
    <col min="9734" max="9734" width="10.77734375" style="20" customWidth="1"/>
    <col min="9735" max="9986" width="9.21875" style="20"/>
    <col min="9987" max="9987" width="11.77734375" style="20" customWidth="1"/>
    <col min="9988" max="9988" width="9.21875" style="20"/>
    <col min="9989" max="9989" width="14.77734375" style="20" customWidth="1"/>
    <col min="9990" max="9990" width="10.77734375" style="20" customWidth="1"/>
    <col min="9991" max="10242" width="9.21875" style="20"/>
    <col min="10243" max="10243" width="11.77734375" style="20" customWidth="1"/>
    <col min="10244" max="10244" width="9.21875" style="20"/>
    <col min="10245" max="10245" width="14.77734375" style="20" customWidth="1"/>
    <col min="10246" max="10246" width="10.77734375" style="20" customWidth="1"/>
    <col min="10247" max="10498" width="9.21875" style="20"/>
    <col min="10499" max="10499" width="11.77734375" style="20" customWidth="1"/>
    <col min="10500" max="10500" width="9.21875" style="20"/>
    <col min="10501" max="10501" width="14.77734375" style="20" customWidth="1"/>
    <col min="10502" max="10502" width="10.77734375" style="20" customWidth="1"/>
    <col min="10503" max="10754" width="9.21875" style="20"/>
    <col min="10755" max="10755" width="11.77734375" style="20" customWidth="1"/>
    <col min="10756" max="10756" width="9.21875" style="20"/>
    <col min="10757" max="10757" width="14.77734375" style="20" customWidth="1"/>
    <col min="10758" max="10758" width="10.77734375" style="20" customWidth="1"/>
    <col min="10759" max="11010" width="9.21875" style="20"/>
    <col min="11011" max="11011" width="11.77734375" style="20" customWidth="1"/>
    <col min="11012" max="11012" width="9.21875" style="20"/>
    <col min="11013" max="11013" width="14.77734375" style="20" customWidth="1"/>
    <col min="11014" max="11014" width="10.77734375" style="20" customWidth="1"/>
    <col min="11015" max="11266" width="9.21875" style="20"/>
    <col min="11267" max="11267" width="11.77734375" style="20" customWidth="1"/>
    <col min="11268" max="11268" width="9.21875" style="20"/>
    <col min="11269" max="11269" width="14.77734375" style="20" customWidth="1"/>
    <col min="11270" max="11270" width="10.77734375" style="20" customWidth="1"/>
    <col min="11271" max="11522" width="9.21875" style="20"/>
    <col min="11523" max="11523" width="11.77734375" style="20" customWidth="1"/>
    <col min="11524" max="11524" width="9.21875" style="20"/>
    <col min="11525" max="11525" width="14.77734375" style="20" customWidth="1"/>
    <col min="11526" max="11526" width="10.77734375" style="20" customWidth="1"/>
    <col min="11527" max="11778" width="9.21875" style="20"/>
    <col min="11779" max="11779" width="11.77734375" style="20" customWidth="1"/>
    <col min="11780" max="11780" width="9.21875" style="20"/>
    <col min="11781" max="11781" width="14.77734375" style="20" customWidth="1"/>
    <col min="11782" max="11782" width="10.77734375" style="20" customWidth="1"/>
    <col min="11783" max="12034" width="9.21875" style="20"/>
    <col min="12035" max="12035" width="11.77734375" style="20" customWidth="1"/>
    <col min="12036" max="12036" width="9.21875" style="20"/>
    <col min="12037" max="12037" width="14.77734375" style="20" customWidth="1"/>
    <col min="12038" max="12038" width="10.77734375" style="20" customWidth="1"/>
    <col min="12039" max="12290" width="9.21875" style="20"/>
    <col min="12291" max="12291" width="11.77734375" style="20" customWidth="1"/>
    <col min="12292" max="12292" width="9.21875" style="20"/>
    <col min="12293" max="12293" width="14.77734375" style="20" customWidth="1"/>
    <col min="12294" max="12294" width="10.77734375" style="20" customWidth="1"/>
    <col min="12295" max="12546" width="9.21875" style="20"/>
    <col min="12547" max="12547" width="11.77734375" style="20" customWidth="1"/>
    <col min="12548" max="12548" width="9.21875" style="20"/>
    <col min="12549" max="12549" width="14.77734375" style="20" customWidth="1"/>
    <col min="12550" max="12550" width="10.77734375" style="20" customWidth="1"/>
    <col min="12551" max="12802" width="9.21875" style="20"/>
    <col min="12803" max="12803" width="11.77734375" style="20" customWidth="1"/>
    <col min="12804" max="12804" width="9.21875" style="20"/>
    <col min="12805" max="12805" width="14.77734375" style="20" customWidth="1"/>
    <col min="12806" max="12806" width="10.77734375" style="20" customWidth="1"/>
    <col min="12807" max="13058" width="9.21875" style="20"/>
    <col min="13059" max="13059" width="11.77734375" style="20" customWidth="1"/>
    <col min="13060" max="13060" width="9.21875" style="20"/>
    <col min="13061" max="13061" width="14.77734375" style="20" customWidth="1"/>
    <col min="13062" max="13062" width="10.77734375" style="20" customWidth="1"/>
    <col min="13063" max="13314" width="9.21875" style="20"/>
    <col min="13315" max="13315" width="11.77734375" style="20" customWidth="1"/>
    <col min="13316" max="13316" width="9.21875" style="20"/>
    <col min="13317" max="13317" width="14.77734375" style="20" customWidth="1"/>
    <col min="13318" max="13318" width="10.77734375" style="20" customWidth="1"/>
    <col min="13319" max="13570" width="9.21875" style="20"/>
    <col min="13571" max="13571" width="11.77734375" style="20" customWidth="1"/>
    <col min="13572" max="13572" width="9.21875" style="20"/>
    <col min="13573" max="13573" width="14.77734375" style="20" customWidth="1"/>
    <col min="13574" max="13574" width="10.77734375" style="20" customWidth="1"/>
    <col min="13575" max="13826" width="9.21875" style="20"/>
    <col min="13827" max="13827" width="11.77734375" style="20" customWidth="1"/>
    <col min="13828" max="13828" width="9.21875" style="20"/>
    <col min="13829" max="13829" width="14.77734375" style="20" customWidth="1"/>
    <col min="13830" max="13830" width="10.77734375" style="20" customWidth="1"/>
    <col min="13831" max="14082" width="9.21875" style="20"/>
    <col min="14083" max="14083" width="11.77734375" style="20" customWidth="1"/>
    <col min="14084" max="14084" width="9.21875" style="20"/>
    <col min="14085" max="14085" width="14.77734375" style="20" customWidth="1"/>
    <col min="14086" max="14086" width="10.77734375" style="20" customWidth="1"/>
    <col min="14087" max="14338" width="9.21875" style="20"/>
    <col min="14339" max="14339" width="11.77734375" style="20" customWidth="1"/>
    <col min="14340" max="14340" width="9.21875" style="20"/>
    <col min="14341" max="14341" width="14.77734375" style="20" customWidth="1"/>
    <col min="14342" max="14342" width="10.77734375" style="20" customWidth="1"/>
    <col min="14343" max="14594" width="9.21875" style="20"/>
    <col min="14595" max="14595" width="11.77734375" style="20" customWidth="1"/>
    <col min="14596" max="14596" width="9.21875" style="20"/>
    <col min="14597" max="14597" width="14.77734375" style="20" customWidth="1"/>
    <col min="14598" max="14598" width="10.77734375" style="20" customWidth="1"/>
    <col min="14599" max="14850" width="9.21875" style="20"/>
    <col min="14851" max="14851" width="11.77734375" style="20" customWidth="1"/>
    <col min="14852" max="14852" width="9.21875" style="20"/>
    <col min="14853" max="14853" width="14.77734375" style="20" customWidth="1"/>
    <col min="14854" max="14854" width="10.77734375" style="20" customWidth="1"/>
    <col min="14855" max="15106" width="9.21875" style="20"/>
    <col min="15107" max="15107" width="11.77734375" style="20" customWidth="1"/>
    <col min="15108" max="15108" width="9.21875" style="20"/>
    <col min="15109" max="15109" width="14.77734375" style="20" customWidth="1"/>
    <col min="15110" max="15110" width="10.77734375" style="20" customWidth="1"/>
    <col min="15111" max="15362" width="9.21875" style="20"/>
    <col min="15363" max="15363" width="11.77734375" style="20" customWidth="1"/>
    <col min="15364" max="15364" width="9.21875" style="20"/>
    <col min="15365" max="15365" width="14.77734375" style="20" customWidth="1"/>
    <col min="15366" max="15366" width="10.77734375" style="20" customWidth="1"/>
    <col min="15367" max="15618" width="9.21875" style="20"/>
    <col min="15619" max="15619" width="11.77734375" style="20" customWidth="1"/>
    <col min="15620" max="15620" width="9.21875" style="20"/>
    <col min="15621" max="15621" width="14.77734375" style="20" customWidth="1"/>
    <col min="15622" max="15622" width="10.77734375" style="20" customWidth="1"/>
    <col min="15623" max="15874" width="9.21875" style="20"/>
    <col min="15875" max="15875" width="11.77734375" style="20" customWidth="1"/>
    <col min="15876" max="15876" width="9.21875" style="20"/>
    <col min="15877" max="15877" width="14.77734375" style="20" customWidth="1"/>
    <col min="15878" max="15878" width="10.77734375" style="20" customWidth="1"/>
    <col min="15879" max="16130" width="9.21875" style="20"/>
    <col min="16131" max="16131" width="11.77734375" style="20" customWidth="1"/>
    <col min="16132" max="16132" width="9.21875" style="20"/>
    <col min="16133" max="16133" width="14.77734375" style="20" customWidth="1"/>
    <col min="16134" max="16134" width="10.77734375" style="20" customWidth="1"/>
    <col min="16135" max="16384" width="9.21875" style="20"/>
  </cols>
  <sheetData>
    <row r="2" spans="1:13" x14ac:dyDescent="0.25">
      <c r="A2" s="21" t="s">
        <v>136</v>
      </c>
      <c r="B2" s="21" t="s">
        <v>137</v>
      </c>
      <c r="C2" s="21" t="s">
        <v>138</v>
      </c>
      <c r="D2" s="251" t="s">
        <v>139</v>
      </c>
      <c r="E2" s="251"/>
    </row>
    <row r="3" spans="1:13" x14ac:dyDescent="0.25">
      <c r="A3" s="24">
        <v>0</v>
      </c>
      <c r="B3" s="24">
        <v>0</v>
      </c>
      <c r="C3" s="24">
        <v>1</v>
      </c>
      <c r="D3" s="252">
        <v>28</v>
      </c>
      <c r="E3" s="252"/>
    </row>
    <row r="5" spans="1:13" hidden="1" x14ac:dyDescent="0.25">
      <c r="A5" s="20" t="s">
        <v>101</v>
      </c>
      <c r="B5" s="22" t="s">
        <v>154</v>
      </c>
      <c r="C5" s="22">
        <f>D3</f>
        <v>28</v>
      </c>
      <c r="D5" s="23"/>
    </row>
    <row r="6" spans="1:13" x14ac:dyDescent="0.25">
      <c r="A6" s="20" t="s">
        <v>102</v>
      </c>
      <c r="B6" s="25">
        <v>10</v>
      </c>
      <c r="C6" s="26">
        <v>10</v>
      </c>
      <c r="D6" s="27">
        <f>((100/B6)*C6)/100</f>
        <v>1</v>
      </c>
    </row>
    <row r="7" spans="1:13" x14ac:dyDescent="0.25">
      <c r="A7" s="20" t="s">
        <v>103</v>
      </c>
      <c r="B7" s="25">
        <f>A3+B3+C3+D3</f>
        <v>29</v>
      </c>
      <c r="C7" s="26">
        <v>9</v>
      </c>
      <c r="D7" s="27">
        <f t="shared" ref="D7:D12" si="0">((100/B7)*C7)/100</f>
        <v>0.31034482758620685</v>
      </c>
      <c r="F7" s="254" t="s">
        <v>155</v>
      </c>
      <c r="G7" s="254"/>
      <c r="H7" s="28" t="s">
        <v>156</v>
      </c>
      <c r="J7" s="34"/>
    </row>
    <row r="8" spans="1:13" x14ac:dyDescent="0.25">
      <c r="A8" s="20" t="s">
        <v>108</v>
      </c>
      <c r="B8" s="25">
        <f>C5</f>
        <v>28</v>
      </c>
      <c r="C8" s="26">
        <f>C7-1</f>
        <v>8</v>
      </c>
      <c r="D8" s="27">
        <f t="shared" si="0"/>
        <v>0.28571428571428575</v>
      </c>
      <c r="F8" s="253" t="s">
        <v>157</v>
      </c>
      <c r="G8" s="253"/>
      <c r="H8" s="25" t="s">
        <v>158</v>
      </c>
    </row>
    <row r="9" spans="1:13" x14ac:dyDescent="0.25">
      <c r="A9" s="20" t="s">
        <v>110</v>
      </c>
      <c r="B9" s="25">
        <f>C5</f>
        <v>28</v>
      </c>
      <c r="C9" s="26">
        <f>C8/2</f>
        <v>4</v>
      </c>
      <c r="D9" s="27">
        <f t="shared" si="0"/>
        <v>0.14285714285714288</v>
      </c>
      <c r="F9" s="253" t="s">
        <v>159</v>
      </c>
      <c r="G9" s="253"/>
      <c r="H9" s="25" t="s">
        <v>160</v>
      </c>
    </row>
    <row r="10" spans="1:13" x14ac:dyDescent="0.25">
      <c r="A10" s="20" t="s">
        <v>71</v>
      </c>
      <c r="B10" s="25">
        <f>C5</f>
        <v>28</v>
      </c>
      <c r="C10" s="26">
        <v>0</v>
      </c>
      <c r="D10" s="27">
        <f t="shared" si="0"/>
        <v>0</v>
      </c>
      <c r="F10" s="253" t="s">
        <v>161</v>
      </c>
      <c r="G10" s="253"/>
      <c r="H10" s="25" t="s">
        <v>162</v>
      </c>
    </row>
    <row r="11" spans="1:13" x14ac:dyDescent="0.25">
      <c r="A11" s="29" t="s">
        <v>106</v>
      </c>
      <c r="B11" s="25">
        <f>C5</f>
        <v>28</v>
      </c>
      <c r="C11" s="26">
        <v>0</v>
      </c>
      <c r="D11" s="27">
        <f t="shared" si="0"/>
        <v>0</v>
      </c>
      <c r="F11" s="253" t="s">
        <v>163</v>
      </c>
      <c r="G11" s="253"/>
      <c r="H11" s="25" t="s">
        <v>164</v>
      </c>
    </row>
    <row r="12" spans="1:13" x14ac:dyDescent="0.25">
      <c r="A12" s="20" t="s">
        <v>72</v>
      </c>
      <c r="B12" s="25">
        <f>C5</f>
        <v>28</v>
      </c>
      <c r="C12" s="26">
        <v>0</v>
      </c>
      <c r="D12" s="27">
        <f t="shared" si="0"/>
        <v>0</v>
      </c>
      <c r="F12" s="253" t="s">
        <v>165</v>
      </c>
      <c r="G12" s="253"/>
      <c r="H12" s="25" t="s">
        <v>166</v>
      </c>
    </row>
    <row r="13" spans="1:13" x14ac:dyDescent="0.25">
      <c r="F13" s="253" t="s">
        <v>167</v>
      </c>
      <c r="G13" s="253"/>
      <c r="H13" s="25" t="s">
        <v>168</v>
      </c>
    </row>
    <row r="14" spans="1:13" hidden="1" x14ac:dyDescent="0.25">
      <c r="A14" s="21"/>
      <c r="B14" s="21" t="s">
        <v>107</v>
      </c>
      <c r="C14" s="21" t="s">
        <v>111</v>
      </c>
      <c r="G14" s="21" t="s">
        <v>102</v>
      </c>
      <c r="H14" s="21" t="s">
        <v>104</v>
      </c>
      <c r="I14" s="21" t="s">
        <v>105</v>
      </c>
      <c r="J14" s="21" t="s">
        <v>70</v>
      </c>
      <c r="K14" s="21" t="s">
        <v>71</v>
      </c>
      <c r="L14" s="21" t="s">
        <v>106</v>
      </c>
      <c r="M14" s="21" t="s">
        <v>72</v>
      </c>
    </row>
    <row r="15" spans="1:13" hidden="1" x14ac:dyDescent="0.25">
      <c r="A15" s="21" t="s">
        <v>68</v>
      </c>
      <c r="B15" s="21">
        <f>G15</f>
        <v>10</v>
      </c>
      <c r="C15" s="21">
        <f>G16</f>
        <v>30</v>
      </c>
      <c r="E15" s="251" t="s">
        <v>107</v>
      </c>
      <c r="F15" s="251"/>
      <c r="G15" s="30">
        <f>C6</f>
        <v>10</v>
      </c>
      <c r="H15" s="30">
        <f>40/B7*C7</f>
        <v>12.413793103448278</v>
      </c>
      <c r="I15" s="30">
        <f>15/B8*C8</f>
        <v>4.2857142857142856</v>
      </c>
      <c r="J15" s="30">
        <f>10/B9*C9</f>
        <v>1.4285714285714286</v>
      </c>
      <c r="K15" s="30">
        <f>10/B10*C10</f>
        <v>0</v>
      </c>
      <c r="L15" s="30">
        <f>5/B11*C11</f>
        <v>0</v>
      </c>
      <c r="M15" s="30">
        <f>5/B12*C12</f>
        <v>0</v>
      </c>
    </row>
    <row r="16" spans="1:13" hidden="1" x14ac:dyDescent="0.25">
      <c r="A16" s="21" t="s">
        <v>69</v>
      </c>
      <c r="B16" s="21">
        <f>H15</f>
        <v>12.413793103448278</v>
      </c>
      <c r="C16" s="21">
        <f>H16</f>
        <v>9.3103448275862082</v>
      </c>
      <c r="E16" s="251" t="s">
        <v>109</v>
      </c>
      <c r="F16" s="251"/>
      <c r="G16" s="21">
        <f>G15+20</f>
        <v>30</v>
      </c>
      <c r="H16" s="21">
        <f>30/B7*C7</f>
        <v>9.3103448275862082</v>
      </c>
      <c r="I16" s="21">
        <f>15/B8*C8</f>
        <v>4.2857142857142856</v>
      </c>
      <c r="J16" s="21">
        <f>10/B9*C9</f>
        <v>1.4285714285714286</v>
      </c>
      <c r="K16" s="21">
        <f>5/B10*C10</f>
        <v>0</v>
      </c>
      <c r="L16" s="21">
        <f>5/B11*C11</f>
        <v>0</v>
      </c>
      <c r="M16" s="21">
        <f>5/B12*C12</f>
        <v>0</v>
      </c>
    </row>
    <row r="17" spans="1:8" hidden="1" x14ac:dyDescent="0.25">
      <c r="A17" s="21" t="s">
        <v>105</v>
      </c>
      <c r="B17" s="21">
        <f>I15</f>
        <v>4.2857142857142856</v>
      </c>
      <c r="C17" s="21">
        <f>I16</f>
        <v>4.2857142857142856</v>
      </c>
    </row>
    <row r="18" spans="1:8" hidden="1" x14ac:dyDescent="0.25">
      <c r="A18" s="21" t="s">
        <v>70</v>
      </c>
      <c r="B18" s="21">
        <f>J15</f>
        <v>1.4285714285714286</v>
      </c>
      <c r="C18" s="21">
        <f>J16</f>
        <v>1.4285714285714286</v>
      </c>
    </row>
    <row r="19" spans="1:8" hidden="1" x14ac:dyDescent="0.25">
      <c r="A19" s="21" t="s">
        <v>71</v>
      </c>
      <c r="B19" s="21">
        <f>K15</f>
        <v>0</v>
      </c>
      <c r="C19" s="21">
        <f>K16</f>
        <v>0</v>
      </c>
    </row>
    <row r="20" spans="1:8" hidden="1" x14ac:dyDescent="0.25">
      <c r="A20" s="31" t="s">
        <v>106</v>
      </c>
      <c r="B20" s="21">
        <f>L15</f>
        <v>0</v>
      </c>
      <c r="C20" s="21">
        <f>L16</f>
        <v>0</v>
      </c>
    </row>
    <row r="21" spans="1:8" hidden="1" x14ac:dyDescent="0.25">
      <c r="A21" s="21" t="s">
        <v>72</v>
      </c>
      <c r="B21" s="21">
        <f>M15</f>
        <v>0</v>
      </c>
      <c r="C21" s="21">
        <f>M16</f>
        <v>0</v>
      </c>
    </row>
    <row r="22" spans="1:8" x14ac:dyDescent="0.25">
      <c r="A22" s="21" t="s">
        <v>112</v>
      </c>
      <c r="B22" s="32">
        <f>(B15+B16+B17+B18+B19+B20+B21)/100</f>
        <v>0.28128078817733987</v>
      </c>
      <c r="C22" s="32">
        <f>(C15+C16+C17+C18+C19+C20+C21)/100</f>
        <v>0.45024630541871924</v>
      </c>
      <c r="F22" s="253" t="s">
        <v>169</v>
      </c>
      <c r="G22" s="253"/>
      <c r="H22" s="25" t="s">
        <v>160</v>
      </c>
    </row>
    <row r="23" spans="1:8" x14ac:dyDescent="0.25">
      <c r="F23" s="253" t="s">
        <v>170</v>
      </c>
      <c r="G23" s="253"/>
      <c r="H23" s="25" t="s">
        <v>171</v>
      </c>
    </row>
    <row r="24" spans="1:8" x14ac:dyDescent="0.25">
      <c r="A24" s="20" t="s">
        <v>144</v>
      </c>
      <c r="B24" s="33">
        <v>0.01</v>
      </c>
      <c r="C24" s="33">
        <v>0.02</v>
      </c>
      <c r="F24" s="253" t="s">
        <v>172</v>
      </c>
      <c r="G24" s="253"/>
      <c r="H24" s="25" t="s">
        <v>173</v>
      </c>
    </row>
    <row r="25" spans="1:8" x14ac:dyDescent="0.25">
      <c r="A25" s="20" t="s">
        <v>145</v>
      </c>
      <c r="B25" s="33">
        <v>0.01</v>
      </c>
      <c r="C25" s="33">
        <v>0.03</v>
      </c>
    </row>
    <row r="26" spans="1:8" x14ac:dyDescent="0.25">
      <c r="A26" s="20" t="s">
        <v>146</v>
      </c>
      <c r="B26" s="33">
        <v>0.03</v>
      </c>
      <c r="C26" s="33">
        <v>0.08</v>
      </c>
    </row>
    <row r="27" spans="1:8" x14ac:dyDescent="0.25">
      <c r="A27" s="20" t="s">
        <v>147</v>
      </c>
      <c r="B27" s="33">
        <v>0.05</v>
      </c>
      <c r="C27" s="33">
        <v>0.15</v>
      </c>
    </row>
    <row r="28" spans="1:8" x14ac:dyDescent="0.25">
      <c r="A28" s="20" t="s">
        <v>148</v>
      </c>
      <c r="B28" s="33">
        <v>7.0000000000000007E-2</v>
      </c>
      <c r="C28" s="33">
        <v>0.2</v>
      </c>
    </row>
    <row r="29" spans="1:8" x14ac:dyDescent="0.25">
      <c r="A29" s="20" t="s">
        <v>149</v>
      </c>
      <c r="B29" s="33">
        <v>0.1</v>
      </c>
      <c r="C29" s="3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6"/>
  <sheetViews>
    <sheetView workbookViewId="0">
      <selection sqref="A1:XFD1048576"/>
    </sheetView>
  </sheetViews>
  <sheetFormatPr defaultRowHeight="14.4" x14ac:dyDescent="0.3"/>
  <cols>
    <col min="2" max="2" width="12.21875" customWidth="1"/>
  </cols>
  <sheetData>
    <row r="2" spans="1:12" x14ac:dyDescent="0.3">
      <c r="B2" s="5" t="s">
        <v>113</v>
      </c>
      <c r="C2" s="255"/>
      <c r="D2" s="255"/>
    </row>
    <row r="3" spans="1:12" x14ac:dyDescent="0.3">
      <c r="D3" s="6"/>
      <c r="E3" s="6"/>
      <c r="F3" s="6"/>
      <c r="G3" s="6"/>
      <c r="H3" s="6"/>
      <c r="I3" s="6"/>
    </row>
    <row r="4" spans="1:12" x14ac:dyDescent="0.3">
      <c r="A4" s="5" t="s">
        <v>114</v>
      </c>
      <c r="B4" s="7" t="s">
        <v>115</v>
      </c>
      <c r="C4" s="256" t="s">
        <v>116</v>
      </c>
      <c r="D4" s="256"/>
      <c r="E4" s="256"/>
      <c r="F4" s="8"/>
      <c r="G4" s="256" t="s">
        <v>117</v>
      </c>
      <c r="H4" s="256"/>
      <c r="I4" s="256"/>
      <c r="J4" s="256" t="s">
        <v>118</v>
      </c>
      <c r="K4" s="256"/>
      <c r="L4" s="256"/>
    </row>
    <row r="5" spans="1:12" x14ac:dyDescent="0.3">
      <c r="A5" s="5">
        <v>1</v>
      </c>
      <c r="B5" s="7"/>
      <c r="C5" s="7" t="s">
        <v>119</v>
      </c>
      <c r="D5" s="7" t="s">
        <v>120</v>
      </c>
      <c r="E5" s="7" t="s">
        <v>80</v>
      </c>
      <c r="F5" s="7"/>
      <c r="G5" s="7" t="s">
        <v>119</v>
      </c>
      <c r="H5" s="7" t="s">
        <v>120</v>
      </c>
      <c r="I5" s="7" t="s">
        <v>80</v>
      </c>
      <c r="J5" s="7" t="s">
        <v>119</v>
      </c>
      <c r="K5" s="7" t="s">
        <v>120</v>
      </c>
      <c r="L5" s="7" t="s">
        <v>80</v>
      </c>
    </row>
    <row r="6" spans="1:12" x14ac:dyDescent="0.3">
      <c r="B6" s="9" t="s">
        <v>121</v>
      </c>
      <c r="C6" s="9">
        <v>5.81</v>
      </c>
      <c r="D6" s="9">
        <v>8.25</v>
      </c>
      <c r="E6" s="9">
        <f>C6*D6</f>
        <v>47.932499999999997</v>
      </c>
      <c r="F6" s="9" t="s">
        <v>122</v>
      </c>
      <c r="G6" s="9">
        <v>3</v>
      </c>
      <c r="H6" s="9">
        <v>0.6</v>
      </c>
      <c r="I6" s="9">
        <f>G6*H6</f>
        <v>1.7999999999999998</v>
      </c>
      <c r="J6" s="9"/>
      <c r="K6" s="9"/>
      <c r="L6" s="9">
        <f>J6*K6</f>
        <v>0</v>
      </c>
    </row>
    <row r="7" spans="1:12" x14ac:dyDescent="0.3">
      <c r="B7" s="9"/>
      <c r="C7" s="9">
        <v>4.66</v>
      </c>
      <c r="D7" s="9">
        <v>3</v>
      </c>
      <c r="E7" s="9">
        <f t="shared" ref="E7:E33" si="0">C7*D7</f>
        <v>13.98</v>
      </c>
      <c r="F7" s="9" t="s">
        <v>123</v>
      </c>
      <c r="G7" s="9">
        <v>1</v>
      </c>
      <c r="H7" s="9">
        <v>6.2160000000000002</v>
      </c>
      <c r="I7" s="9">
        <f t="shared" ref="I7:I29" si="1">G7*H7</f>
        <v>6.2160000000000002</v>
      </c>
      <c r="J7" s="9"/>
      <c r="K7" s="9"/>
      <c r="L7" s="9">
        <f t="shared" ref="L7:L29" si="2">J7*K7</f>
        <v>0</v>
      </c>
    </row>
    <row r="8" spans="1:12" x14ac:dyDescent="0.3">
      <c r="B8" s="9" t="s">
        <v>195</v>
      </c>
      <c r="C8" s="9">
        <v>5.71</v>
      </c>
      <c r="D8" s="9">
        <v>1.5</v>
      </c>
      <c r="E8" s="9">
        <f t="shared" si="0"/>
        <v>8.5649999999999995</v>
      </c>
      <c r="F8" s="9"/>
      <c r="G8" s="9"/>
      <c r="H8" s="9"/>
      <c r="I8" s="9">
        <f t="shared" si="1"/>
        <v>0</v>
      </c>
      <c r="J8" s="9"/>
      <c r="K8" s="9"/>
      <c r="L8" s="9">
        <f t="shared" si="2"/>
        <v>0</v>
      </c>
    </row>
    <row r="9" spans="1:12" x14ac:dyDescent="0.3">
      <c r="B9" s="9" t="s">
        <v>124</v>
      </c>
      <c r="C9" s="9">
        <v>3.65</v>
      </c>
      <c r="D9" s="9">
        <v>1.82</v>
      </c>
      <c r="E9" s="9">
        <f t="shared" si="0"/>
        <v>6.6429999999999998</v>
      </c>
      <c r="F9" s="9" t="s">
        <v>122</v>
      </c>
      <c r="G9" s="9">
        <v>2.2799999999999998</v>
      </c>
      <c r="H9" s="9">
        <v>0.6</v>
      </c>
      <c r="I9" s="9">
        <f t="shared" si="1"/>
        <v>1.3679999999999999</v>
      </c>
      <c r="J9" s="9"/>
      <c r="K9" s="9"/>
      <c r="L9" s="9">
        <f t="shared" si="2"/>
        <v>0</v>
      </c>
    </row>
    <row r="10" spans="1:12" x14ac:dyDescent="0.3">
      <c r="B10" s="9"/>
      <c r="C10" s="9">
        <v>3.05</v>
      </c>
      <c r="D10" s="9">
        <v>2.4300000000000002</v>
      </c>
      <c r="E10" s="9">
        <f t="shared" si="0"/>
        <v>7.4115000000000002</v>
      </c>
      <c r="F10" s="9" t="s">
        <v>123</v>
      </c>
      <c r="G10" s="9"/>
      <c r="H10" s="9"/>
      <c r="I10" s="9">
        <f t="shared" si="1"/>
        <v>0</v>
      </c>
      <c r="J10" s="9"/>
      <c r="K10" s="9"/>
      <c r="L10" s="9">
        <f t="shared" si="2"/>
        <v>0</v>
      </c>
    </row>
    <row r="11" spans="1:12" x14ac:dyDescent="0.3">
      <c r="B11" s="9" t="s">
        <v>195</v>
      </c>
      <c r="C11" s="9">
        <v>3.88</v>
      </c>
      <c r="D11" s="9">
        <v>1.5</v>
      </c>
      <c r="E11" s="9">
        <f t="shared" si="0"/>
        <v>5.82</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125</v>
      </c>
      <c r="C13" s="9">
        <v>3.28</v>
      </c>
      <c r="D13" s="9">
        <v>3.3</v>
      </c>
      <c r="E13" s="9">
        <f t="shared" si="0"/>
        <v>10.823999999999998</v>
      </c>
      <c r="F13" s="9" t="s">
        <v>122</v>
      </c>
      <c r="G13" s="9">
        <v>3</v>
      </c>
      <c r="H13" s="9">
        <v>0.6</v>
      </c>
      <c r="I13" s="9">
        <f t="shared" si="1"/>
        <v>1.7999999999999998</v>
      </c>
      <c r="J13" s="9"/>
      <c r="K13" s="9"/>
      <c r="L13" s="9">
        <f t="shared" si="2"/>
        <v>0</v>
      </c>
    </row>
    <row r="14" spans="1:12" x14ac:dyDescent="0.3">
      <c r="B14" s="9"/>
      <c r="C14" s="9">
        <v>3.8</v>
      </c>
      <c r="D14" s="9">
        <v>1.57</v>
      </c>
      <c r="E14" s="9">
        <f t="shared" si="0"/>
        <v>5.9660000000000002</v>
      </c>
      <c r="F14" s="9" t="s">
        <v>123</v>
      </c>
      <c r="G14" s="9"/>
      <c r="H14" s="9"/>
      <c r="I14" s="9">
        <f t="shared" si="1"/>
        <v>0</v>
      </c>
      <c r="J14" s="9"/>
      <c r="K14" s="9"/>
      <c r="L14" s="9">
        <f t="shared" si="2"/>
        <v>0</v>
      </c>
    </row>
    <row r="15" spans="1:12" x14ac:dyDescent="0.3">
      <c r="B15" s="9" t="s">
        <v>195</v>
      </c>
      <c r="C15" s="9">
        <v>4.18</v>
      </c>
      <c r="D15" s="9">
        <v>1.5</v>
      </c>
      <c r="E15" s="9">
        <f t="shared" si="0"/>
        <v>6.27</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126</v>
      </c>
      <c r="C17" s="9">
        <v>3.65</v>
      </c>
      <c r="D17" s="9">
        <v>4.2699999999999996</v>
      </c>
      <c r="E17" s="9">
        <f t="shared" si="0"/>
        <v>15.585499999999998</v>
      </c>
      <c r="F17" s="9" t="s">
        <v>122</v>
      </c>
      <c r="G17" s="9"/>
      <c r="H17" s="9"/>
      <c r="I17" s="9">
        <f t="shared" si="1"/>
        <v>0</v>
      </c>
      <c r="J17" s="9"/>
      <c r="K17" s="9"/>
      <c r="L17" s="9">
        <f t="shared" si="2"/>
        <v>0</v>
      </c>
    </row>
    <row r="18" spans="2:12" x14ac:dyDescent="0.3">
      <c r="B18" s="9" t="s">
        <v>195</v>
      </c>
      <c r="C18" s="9">
        <v>3.95</v>
      </c>
      <c r="D18" s="9">
        <v>1.5</v>
      </c>
      <c r="E18" s="9">
        <f t="shared" si="0"/>
        <v>5.9250000000000007</v>
      </c>
      <c r="F18" s="9" t="s">
        <v>123</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126</v>
      </c>
      <c r="C20" s="9">
        <v>3.65</v>
      </c>
      <c r="D20" s="9">
        <v>3.6469999999999998</v>
      </c>
      <c r="E20" s="9">
        <f t="shared" si="0"/>
        <v>13.311549999999999</v>
      </c>
      <c r="F20" s="9" t="s">
        <v>122</v>
      </c>
      <c r="G20" s="9"/>
      <c r="H20" s="9"/>
      <c r="I20" s="9">
        <f t="shared" si="1"/>
        <v>0</v>
      </c>
      <c r="J20" s="9"/>
      <c r="K20" s="9"/>
      <c r="L20" s="9">
        <f t="shared" si="2"/>
        <v>0</v>
      </c>
    </row>
    <row r="21" spans="2:12" x14ac:dyDescent="0.3">
      <c r="B21" s="9" t="s">
        <v>195</v>
      </c>
      <c r="C21" s="9">
        <v>3.88</v>
      </c>
      <c r="D21" s="9">
        <v>1.383</v>
      </c>
      <c r="E21" s="9">
        <f t="shared" si="0"/>
        <v>5.3660399999999999</v>
      </c>
      <c r="F21" s="9" t="s">
        <v>123</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127</v>
      </c>
      <c r="C23" s="9">
        <v>1.835</v>
      </c>
      <c r="D23" s="9">
        <v>2.5</v>
      </c>
      <c r="E23" s="9">
        <f t="shared" si="0"/>
        <v>4.5875000000000004</v>
      </c>
      <c r="F23" s="9" t="s">
        <v>128</v>
      </c>
      <c r="G23" s="9"/>
      <c r="H23" s="9"/>
      <c r="I23" s="9">
        <f t="shared" si="1"/>
        <v>0</v>
      </c>
      <c r="J23" s="9"/>
      <c r="K23" s="9"/>
      <c r="L23" s="9">
        <f t="shared" si="2"/>
        <v>0</v>
      </c>
    </row>
    <row r="24" spans="2:12" x14ac:dyDescent="0.3">
      <c r="B24" s="9" t="s">
        <v>129</v>
      </c>
      <c r="C24" s="9">
        <v>1.8149999999999999</v>
      </c>
      <c r="D24" s="9">
        <v>1.827</v>
      </c>
      <c r="E24" s="9">
        <f t="shared" si="0"/>
        <v>3.3160049999999996</v>
      </c>
      <c r="F24" s="9" t="s">
        <v>128</v>
      </c>
      <c r="G24" s="9"/>
      <c r="H24" s="9"/>
      <c r="I24" s="9">
        <f t="shared" si="1"/>
        <v>0</v>
      </c>
      <c r="J24" s="9"/>
      <c r="K24" s="9"/>
      <c r="L24" s="9">
        <f t="shared" si="2"/>
        <v>0</v>
      </c>
    </row>
    <row r="25" spans="2:12" x14ac:dyDescent="0.3">
      <c r="B25" s="9" t="s">
        <v>130</v>
      </c>
      <c r="C25" s="9">
        <v>2.4500000000000002</v>
      </c>
      <c r="D25" s="9">
        <v>1.83</v>
      </c>
      <c r="E25" s="9">
        <f t="shared" si="0"/>
        <v>4.4835000000000003</v>
      </c>
      <c r="F25" s="9" t="s">
        <v>128</v>
      </c>
      <c r="G25" s="9"/>
      <c r="H25" s="9"/>
      <c r="I25" s="9">
        <f t="shared" si="1"/>
        <v>0</v>
      </c>
      <c r="J25" s="9"/>
      <c r="K25" s="9"/>
      <c r="L25" s="9">
        <f t="shared" si="2"/>
        <v>0</v>
      </c>
    </row>
    <row r="26" spans="2:12" x14ac:dyDescent="0.3">
      <c r="B26" s="9"/>
      <c r="C26" s="9">
        <v>2.4500000000000002</v>
      </c>
      <c r="D26" s="9">
        <v>1.83</v>
      </c>
      <c r="E26" s="9">
        <f t="shared" si="0"/>
        <v>4.4835000000000003</v>
      </c>
      <c r="F26" s="9"/>
      <c r="G26" s="9"/>
      <c r="H26" s="9"/>
      <c r="I26" s="9">
        <f t="shared" si="1"/>
        <v>0</v>
      </c>
      <c r="J26" s="9"/>
      <c r="K26" s="9"/>
      <c r="L26" s="9">
        <f t="shared" si="2"/>
        <v>0</v>
      </c>
    </row>
    <row r="27" spans="2:12" x14ac:dyDescent="0.3">
      <c r="B27" s="9" t="s">
        <v>131</v>
      </c>
      <c r="C27" s="9">
        <v>4.851</v>
      </c>
      <c r="D27" s="9">
        <v>1.38</v>
      </c>
      <c r="E27" s="9">
        <f t="shared" si="0"/>
        <v>6.6943799999999998</v>
      </c>
      <c r="F27" s="9"/>
      <c r="G27" s="9"/>
      <c r="H27" s="9"/>
      <c r="I27" s="9">
        <f t="shared" si="1"/>
        <v>0</v>
      </c>
      <c r="J27" s="9"/>
      <c r="K27" s="9"/>
      <c r="L27" s="9">
        <f t="shared" si="2"/>
        <v>0</v>
      </c>
    </row>
    <row r="28" spans="2:12" x14ac:dyDescent="0.3">
      <c r="B28" s="9" t="s">
        <v>132</v>
      </c>
      <c r="C28" s="9">
        <v>5.7389999999999999</v>
      </c>
      <c r="D28" s="9">
        <v>1.38</v>
      </c>
      <c r="E28" s="9">
        <f t="shared" si="0"/>
        <v>7.9198199999999996</v>
      </c>
      <c r="G28" s="9">
        <v>1.2450000000000001</v>
      </c>
      <c r="H28" s="9">
        <v>1.35</v>
      </c>
      <c r="I28" s="9">
        <f t="shared" si="1"/>
        <v>1.6807500000000002</v>
      </c>
      <c r="J28" s="9"/>
      <c r="K28" s="9"/>
      <c r="L28" s="9">
        <f t="shared" si="2"/>
        <v>0</v>
      </c>
    </row>
    <row r="29" spans="2:12" x14ac:dyDescent="0.3">
      <c r="B29" s="9" t="s">
        <v>133</v>
      </c>
      <c r="C29" s="9">
        <v>2.4500000000000002</v>
      </c>
      <c r="D29" s="9">
        <v>2</v>
      </c>
      <c r="E29" s="9">
        <f t="shared" si="0"/>
        <v>4.9000000000000004</v>
      </c>
      <c r="F29" s="9" t="s">
        <v>197</v>
      </c>
      <c r="G29" s="9">
        <v>3.5750000000000002</v>
      </c>
      <c r="H29" s="9">
        <v>3.18</v>
      </c>
      <c r="I29" s="9">
        <f t="shared" si="1"/>
        <v>11.368500000000001</v>
      </c>
      <c r="J29" s="9"/>
      <c r="K29" s="9"/>
      <c r="L29" s="9">
        <f t="shared" si="2"/>
        <v>0</v>
      </c>
    </row>
    <row r="30" spans="2:12" x14ac:dyDescent="0.3">
      <c r="B30" s="9" t="s">
        <v>134</v>
      </c>
      <c r="C30" s="9">
        <v>2.4500000000000002</v>
      </c>
      <c r="D30" s="9">
        <v>0.6</v>
      </c>
      <c r="E30" s="9">
        <f t="shared" si="0"/>
        <v>1.47</v>
      </c>
      <c r="F30" s="9"/>
      <c r="G30" s="9">
        <v>3.0550000000000002</v>
      </c>
      <c r="H30" s="9">
        <v>1.1399999999999999</v>
      </c>
      <c r="I30" s="9">
        <f>G30*H30</f>
        <v>3.4826999999999999</v>
      </c>
      <c r="J30" s="9"/>
      <c r="K30" s="9"/>
      <c r="L30" s="9">
        <f>J30*K30</f>
        <v>0</v>
      </c>
    </row>
    <row r="31" spans="2:12" x14ac:dyDescent="0.3">
      <c r="B31" s="9"/>
      <c r="C31" s="9">
        <v>1.83</v>
      </c>
      <c r="D31" s="9">
        <v>4.58</v>
      </c>
      <c r="E31" s="9">
        <f t="shared" si="0"/>
        <v>8.3814000000000011</v>
      </c>
      <c r="F31" s="9"/>
      <c r="G31" s="9">
        <v>3.4350000000000001</v>
      </c>
      <c r="H31" s="9">
        <v>1</v>
      </c>
      <c r="I31" s="9">
        <f>G31*H31</f>
        <v>3.4350000000000001</v>
      </c>
      <c r="J31" s="9"/>
      <c r="K31" s="9"/>
      <c r="L31" s="9">
        <f>J31*K31</f>
        <v>0</v>
      </c>
    </row>
    <row r="32" spans="2:12" x14ac:dyDescent="0.3">
      <c r="B32" s="9"/>
      <c r="C32" s="9">
        <v>3.88</v>
      </c>
      <c r="D32" s="9">
        <v>1.38</v>
      </c>
      <c r="E32" s="9">
        <f t="shared" si="0"/>
        <v>5.3543999999999992</v>
      </c>
      <c r="F32" s="9"/>
      <c r="G32" s="9">
        <v>2.4449999999999998</v>
      </c>
      <c r="H32" s="9">
        <v>1.83</v>
      </c>
      <c r="I32" s="9">
        <f>G32*H32</f>
        <v>4.4743500000000003</v>
      </c>
      <c r="J32" s="9"/>
      <c r="K32" s="9"/>
      <c r="L32" s="9">
        <f>J32*K32</f>
        <v>0</v>
      </c>
    </row>
    <row r="33" spans="2:12" x14ac:dyDescent="0.3">
      <c r="B33" s="9"/>
      <c r="C33" s="9"/>
      <c r="D33" s="9"/>
      <c r="E33" s="9">
        <f t="shared" si="0"/>
        <v>0</v>
      </c>
      <c r="F33" s="9"/>
      <c r="G33" s="9">
        <v>1.2</v>
      </c>
      <c r="H33" s="9">
        <v>1.2</v>
      </c>
      <c r="I33" s="9">
        <f>G33*H33</f>
        <v>1.44</v>
      </c>
      <c r="J33" s="9"/>
      <c r="K33" s="9"/>
      <c r="L33" s="9">
        <f>J33*K33</f>
        <v>0</v>
      </c>
    </row>
    <row r="34" spans="2:12" x14ac:dyDescent="0.3">
      <c r="B34" s="9" t="s">
        <v>81</v>
      </c>
      <c r="C34" s="9"/>
      <c r="D34" s="9">
        <f>E34*10.764</f>
        <v>2208.67156458</v>
      </c>
      <c r="E34" s="9">
        <f>SUM(E6:E33)</f>
        <v>205.190595</v>
      </c>
      <c r="F34" s="9"/>
      <c r="G34" s="9"/>
      <c r="H34" s="9">
        <f>I34*10.764</f>
        <v>398.97088919999999</v>
      </c>
      <c r="I34" s="9">
        <f>SUM(I6:I33)</f>
        <v>37.065300000000001</v>
      </c>
      <c r="J34" s="9"/>
      <c r="K34" s="9">
        <f>L34*10.764</f>
        <v>0</v>
      </c>
      <c r="L34" s="9">
        <f>SUM(L6:L33)</f>
        <v>0</v>
      </c>
    </row>
    <row r="36" spans="2:12" x14ac:dyDescent="0.3">
      <c r="D36">
        <f>D34+H34</f>
        <v>2607.6424537799999</v>
      </c>
      <c r="E36">
        <f>E34+I34</f>
        <v>242.25589500000001</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6"/>
  <sheetViews>
    <sheetView topLeftCell="A22" workbookViewId="0">
      <selection activeCell="H22" sqref="H22"/>
    </sheetView>
  </sheetViews>
  <sheetFormatPr defaultRowHeight="14.4" x14ac:dyDescent="0.3"/>
  <cols>
    <col min="2" max="2" width="12.21875" customWidth="1"/>
  </cols>
  <sheetData>
    <row r="2" spans="1:12" x14ac:dyDescent="0.3">
      <c r="B2" s="5" t="s">
        <v>113</v>
      </c>
      <c r="C2" s="255"/>
      <c r="D2" s="255"/>
    </row>
    <row r="3" spans="1:12" x14ac:dyDescent="0.3">
      <c r="D3" s="6"/>
      <c r="E3" s="6"/>
      <c r="F3" s="6"/>
      <c r="G3" s="6"/>
      <c r="H3" s="6"/>
      <c r="I3" s="6"/>
    </row>
    <row r="4" spans="1:12" x14ac:dyDescent="0.3">
      <c r="A4" s="5" t="s">
        <v>114</v>
      </c>
      <c r="B4" s="7" t="s">
        <v>115</v>
      </c>
      <c r="C4" s="256" t="s">
        <v>116</v>
      </c>
      <c r="D4" s="256"/>
      <c r="E4" s="256"/>
      <c r="F4" s="8"/>
      <c r="G4" s="256" t="s">
        <v>117</v>
      </c>
      <c r="H4" s="256"/>
      <c r="I4" s="256"/>
      <c r="J4" s="256" t="s">
        <v>118</v>
      </c>
      <c r="K4" s="256"/>
      <c r="L4" s="256"/>
    </row>
    <row r="5" spans="1:12" x14ac:dyDescent="0.3">
      <c r="A5" s="5">
        <v>1</v>
      </c>
      <c r="B5" s="7"/>
      <c r="C5" s="7" t="s">
        <v>119</v>
      </c>
      <c r="D5" s="7" t="s">
        <v>120</v>
      </c>
      <c r="E5" s="7" t="s">
        <v>80</v>
      </c>
      <c r="F5" s="7"/>
      <c r="G5" s="7" t="s">
        <v>119</v>
      </c>
      <c r="H5" s="7" t="s">
        <v>120</v>
      </c>
      <c r="I5" s="7" t="s">
        <v>80</v>
      </c>
      <c r="J5" s="7" t="s">
        <v>119</v>
      </c>
      <c r="K5" s="7" t="s">
        <v>120</v>
      </c>
      <c r="L5" s="7" t="s">
        <v>80</v>
      </c>
    </row>
    <row r="6" spans="1:12" x14ac:dyDescent="0.3">
      <c r="B6" s="9" t="s">
        <v>121</v>
      </c>
      <c r="C6" s="9">
        <v>5.81</v>
      </c>
      <c r="D6" s="9">
        <v>8.25</v>
      </c>
      <c r="E6" s="9">
        <f>C6*D6</f>
        <v>47.932499999999997</v>
      </c>
      <c r="F6" s="9" t="s">
        <v>122</v>
      </c>
      <c r="G6" s="9">
        <v>3</v>
      </c>
      <c r="H6" s="9">
        <v>0.6</v>
      </c>
      <c r="I6" s="9">
        <f>G6*H6</f>
        <v>1.7999999999999998</v>
      </c>
      <c r="J6" s="9"/>
      <c r="K6" s="9"/>
      <c r="L6" s="9">
        <f>J6*K6</f>
        <v>0</v>
      </c>
    </row>
    <row r="7" spans="1:12" x14ac:dyDescent="0.3">
      <c r="B7" s="9"/>
      <c r="C7" s="9">
        <v>4.66</v>
      </c>
      <c r="D7" s="9">
        <v>3</v>
      </c>
      <c r="E7" s="9">
        <f t="shared" ref="E7:E33" si="0">C7*D7</f>
        <v>13.98</v>
      </c>
      <c r="F7" s="9" t="s">
        <v>123</v>
      </c>
      <c r="G7" s="9">
        <v>0.6</v>
      </c>
      <c r="H7" s="9">
        <v>2.1800000000000002</v>
      </c>
      <c r="I7" s="9">
        <f t="shared" ref="I7:I29" si="1">G7*H7</f>
        <v>1.3080000000000001</v>
      </c>
      <c r="J7" s="9"/>
      <c r="K7" s="9"/>
      <c r="L7" s="9">
        <f t="shared" ref="L7:L29" si="2">J7*K7</f>
        <v>0</v>
      </c>
    </row>
    <row r="8" spans="1:12" x14ac:dyDescent="0.3">
      <c r="B8" s="9" t="s">
        <v>195</v>
      </c>
      <c r="C8" s="9">
        <v>5.71</v>
      </c>
      <c r="D8" s="9">
        <v>1.5</v>
      </c>
      <c r="E8" s="9">
        <f t="shared" si="0"/>
        <v>8.5649999999999995</v>
      </c>
      <c r="F8" s="9"/>
      <c r="G8" s="9"/>
      <c r="H8" s="9"/>
      <c r="I8" s="9">
        <f t="shared" si="1"/>
        <v>0</v>
      </c>
      <c r="J8" s="9"/>
      <c r="K8" s="9"/>
      <c r="L8" s="9">
        <f t="shared" si="2"/>
        <v>0</v>
      </c>
    </row>
    <row r="9" spans="1:12" x14ac:dyDescent="0.3">
      <c r="B9" s="9" t="s">
        <v>124</v>
      </c>
      <c r="C9" s="9">
        <v>3.65</v>
      </c>
      <c r="D9" s="9">
        <v>1.82</v>
      </c>
      <c r="E9" s="9">
        <f t="shared" si="0"/>
        <v>6.6429999999999998</v>
      </c>
      <c r="F9" s="9" t="s">
        <v>122</v>
      </c>
      <c r="G9" s="9">
        <v>2.2799999999999998</v>
      </c>
      <c r="H9" s="9">
        <v>0.6</v>
      </c>
      <c r="I9" s="9">
        <f t="shared" si="1"/>
        <v>1.3679999999999999</v>
      </c>
      <c r="J9" s="9"/>
      <c r="K9" s="9"/>
      <c r="L9" s="9">
        <f t="shared" si="2"/>
        <v>0</v>
      </c>
    </row>
    <row r="10" spans="1:12" x14ac:dyDescent="0.3">
      <c r="B10" s="9"/>
      <c r="C10" s="9">
        <v>3.05</v>
      </c>
      <c r="D10" s="9">
        <v>2.4300000000000002</v>
      </c>
      <c r="E10" s="9">
        <f t="shared" si="0"/>
        <v>7.4115000000000002</v>
      </c>
      <c r="F10" s="9" t="s">
        <v>123</v>
      </c>
      <c r="G10" s="9"/>
      <c r="H10" s="9"/>
      <c r="I10" s="9">
        <f t="shared" si="1"/>
        <v>0</v>
      </c>
      <c r="J10" s="9"/>
      <c r="K10" s="9"/>
      <c r="L10" s="9">
        <f t="shared" si="2"/>
        <v>0</v>
      </c>
    </row>
    <row r="11" spans="1:12" x14ac:dyDescent="0.3">
      <c r="B11" s="9" t="s">
        <v>195</v>
      </c>
      <c r="C11" s="9">
        <v>3.88</v>
      </c>
      <c r="D11" s="9">
        <v>1.5</v>
      </c>
      <c r="E11" s="9">
        <f t="shared" si="0"/>
        <v>5.82</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125</v>
      </c>
      <c r="C13" s="9">
        <v>3.28</v>
      </c>
      <c r="D13" s="9">
        <v>3.3</v>
      </c>
      <c r="E13" s="9">
        <f t="shared" si="0"/>
        <v>10.823999999999998</v>
      </c>
      <c r="F13" s="9" t="s">
        <v>122</v>
      </c>
      <c r="G13" s="9">
        <v>3</v>
      </c>
      <c r="H13" s="9">
        <v>0.6</v>
      </c>
      <c r="I13" s="9">
        <f t="shared" si="1"/>
        <v>1.7999999999999998</v>
      </c>
      <c r="J13" s="9"/>
      <c r="K13" s="9"/>
      <c r="L13" s="9">
        <f t="shared" si="2"/>
        <v>0</v>
      </c>
    </row>
    <row r="14" spans="1:12" x14ac:dyDescent="0.3">
      <c r="B14" s="9"/>
      <c r="C14" s="9">
        <v>3.8</v>
      </c>
      <c r="D14" s="9">
        <v>1.57</v>
      </c>
      <c r="E14" s="9">
        <f t="shared" si="0"/>
        <v>5.9660000000000002</v>
      </c>
      <c r="F14" s="9" t="s">
        <v>123</v>
      </c>
      <c r="G14" s="9"/>
      <c r="H14" s="9"/>
      <c r="I14" s="9">
        <f t="shared" si="1"/>
        <v>0</v>
      </c>
      <c r="J14" s="9"/>
      <c r="K14" s="9"/>
      <c r="L14" s="9">
        <f t="shared" si="2"/>
        <v>0</v>
      </c>
    </row>
    <row r="15" spans="1:12" x14ac:dyDescent="0.3">
      <c r="B15" s="9" t="s">
        <v>195</v>
      </c>
      <c r="C15" s="9">
        <v>4.18</v>
      </c>
      <c r="D15" s="9">
        <v>1.5</v>
      </c>
      <c r="E15" s="9">
        <f t="shared" si="0"/>
        <v>6.27</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126</v>
      </c>
      <c r="C17" s="9">
        <v>3.65</v>
      </c>
      <c r="D17" s="9">
        <v>4.2699999999999996</v>
      </c>
      <c r="E17" s="9">
        <f t="shared" si="0"/>
        <v>15.585499999999998</v>
      </c>
      <c r="F17" s="9" t="s">
        <v>122</v>
      </c>
      <c r="G17" s="9"/>
      <c r="H17" s="9"/>
      <c r="I17" s="9">
        <f t="shared" si="1"/>
        <v>0</v>
      </c>
      <c r="J17" s="9"/>
      <c r="K17" s="9"/>
      <c r="L17" s="9">
        <f t="shared" si="2"/>
        <v>0</v>
      </c>
    </row>
    <row r="18" spans="2:12" x14ac:dyDescent="0.3">
      <c r="B18" s="9" t="s">
        <v>195</v>
      </c>
      <c r="C18" s="9">
        <v>3.95</v>
      </c>
      <c r="D18" s="9">
        <v>1.5</v>
      </c>
      <c r="E18" s="9">
        <f t="shared" si="0"/>
        <v>5.9250000000000007</v>
      </c>
      <c r="F18" s="9" t="s">
        <v>123</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126</v>
      </c>
      <c r="C20" s="9">
        <v>3.65</v>
      </c>
      <c r="D20" s="9">
        <v>3.6469999999999998</v>
      </c>
      <c r="E20" s="9">
        <f t="shared" si="0"/>
        <v>13.311549999999999</v>
      </c>
      <c r="F20" s="9" t="s">
        <v>122</v>
      </c>
      <c r="G20" s="9"/>
      <c r="H20" s="9"/>
      <c r="I20" s="9">
        <f t="shared" si="1"/>
        <v>0</v>
      </c>
      <c r="J20" s="9"/>
      <c r="K20" s="9"/>
      <c r="L20" s="9">
        <f t="shared" si="2"/>
        <v>0</v>
      </c>
    </row>
    <row r="21" spans="2:12" x14ac:dyDescent="0.3">
      <c r="B21" s="9" t="s">
        <v>195</v>
      </c>
      <c r="C21" s="9">
        <v>3.88</v>
      </c>
      <c r="D21" s="9">
        <v>1.383</v>
      </c>
      <c r="E21" s="9">
        <f t="shared" si="0"/>
        <v>5.3660399999999999</v>
      </c>
      <c r="F21" s="9" t="s">
        <v>123</v>
      </c>
      <c r="G21" s="9">
        <v>1</v>
      </c>
      <c r="H21" s="9">
        <v>6.9960000000000004</v>
      </c>
      <c r="I21" s="9">
        <f t="shared" si="1"/>
        <v>6.9960000000000004</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127</v>
      </c>
      <c r="C23" s="9">
        <v>1.835</v>
      </c>
      <c r="D23" s="9">
        <v>2.5</v>
      </c>
      <c r="E23" s="9">
        <f t="shared" si="0"/>
        <v>4.5875000000000004</v>
      </c>
      <c r="F23" s="9" t="s">
        <v>128</v>
      </c>
      <c r="G23" s="9"/>
      <c r="H23" s="9"/>
      <c r="I23" s="9">
        <f t="shared" si="1"/>
        <v>0</v>
      </c>
      <c r="J23" s="9"/>
      <c r="K23" s="9"/>
      <c r="L23" s="9">
        <f t="shared" si="2"/>
        <v>0</v>
      </c>
    </row>
    <row r="24" spans="2:12" x14ac:dyDescent="0.3">
      <c r="B24" s="9" t="s">
        <v>129</v>
      </c>
      <c r="C24" s="9">
        <v>1.8149999999999999</v>
      </c>
      <c r="D24" s="9">
        <v>1.827</v>
      </c>
      <c r="E24" s="9">
        <f t="shared" si="0"/>
        <v>3.3160049999999996</v>
      </c>
      <c r="F24" s="9" t="s">
        <v>128</v>
      </c>
      <c r="G24" s="9"/>
      <c r="H24" s="9"/>
      <c r="I24" s="9">
        <f t="shared" si="1"/>
        <v>0</v>
      </c>
      <c r="J24" s="9"/>
      <c r="K24" s="9"/>
      <c r="L24" s="9">
        <f t="shared" si="2"/>
        <v>0</v>
      </c>
    </row>
    <row r="25" spans="2:12" x14ac:dyDescent="0.3">
      <c r="B25" s="9" t="s">
        <v>130</v>
      </c>
      <c r="C25" s="9">
        <v>2.4500000000000002</v>
      </c>
      <c r="D25" s="9">
        <v>1.83</v>
      </c>
      <c r="E25" s="9">
        <f t="shared" si="0"/>
        <v>4.4835000000000003</v>
      </c>
      <c r="F25" s="9" t="s">
        <v>128</v>
      </c>
      <c r="G25" s="9"/>
      <c r="H25" s="9"/>
      <c r="I25" s="9">
        <f t="shared" si="1"/>
        <v>0</v>
      </c>
      <c r="J25" s="9"/>
      <c r="K25" s="9"/>
      <c r="L25" s="9">
        <f t="shared" si="2"/>
        <v>0</v>
      </c>
    </row>
    <row r="26" spans="2:12" x14ac:dyDescent="0.3">
      <c r="B26" s="9"/>
      <c r="C26" s="9">
        <v>2.4500000000000002</v>
      </c>
      <c r="D26" s="9">
        <v>1.83</v>
      </c>
      <c r="E26" s="9">
        <f t="shared" si="0"/>
        <v>4.4835000000000003</v>
      </c>
      <c r="F26" s="9"/>
      <c r="G26" s="9"/>
      <c r="H26" s="9"/>
      <c r="I26" s="9">
        <f t="shared" si="1"/>
        <v>0</v>
      </c>
      <c r="J26" s="9"/>
      <c r="K26" s="9"/>
      <c r="L26" s="9">
        <f t="shared" si="2"/>
        <v>0</v>
      </c>
    </row>
    <row r="27" spans="2:12" x14ac:dyDescent="0.3">
      <c r="B27" s="9" t="s">
        <v>131</v>
      </c>
      <c r="C27" s="9">
        <v>4.851</v>
      </c>
      <c r="D27" s="9">
        <v>1.38</v>
      </c>
      <c r="E27" s="9">
        <f t="shared" si="0"/>
        <v>6.6943799999999998</v>
      </c>
      <c r="F27" s="9"/>
      <c r="G27" s="9"/>
      <c r="H27" s="9"/>
      <c r="I27" s="9">
        <f t="shared" si="1"/>
        <v>0</v>
      </c>
      <c r="J27" s="9"/>
      <c r="K27" s="9"/>
      <c r="L27" s="9">
        <f t="shared" si="2"/>
        <v>0</v>
      </c>
    </row>
    <row r="28" spans="2:12" x14ac:dyDescent="0.3">
      <c r="B28" s="9" t="s">
        <v>132</v>
      </c>
      <c r="C28" s="9">
        <v>5.7389999999999999</v>
      </c>
      <c r="D28" s="9">
        <v>1.38</v>
      </c>
      <c r="E28" s="9">
        <f t="shared" si="0"/>
        <v>7.9198199999999996</v>
      </c>
      <c r="G28" s="9">
        <v>1.2450000000000001</v>
      </c>
      <c r="H28" s="9">
        <v>1.35</v>
      </c>
      <c r="I28" s="9">
        <f t="shared" si="1"/>
        <v>1.6807500000000002</v>
      </c>
      <c r="J28" s="9"/>
      <c r="K28" s="9"/>
      <c r="L28" s="9">
        <f t="shared" si="2"/>
        <v>0</v>
      </c>
    </row>
    <row r="29" spans="2:12" x14ac:dyDescent="0.3">
      <c r="B29" s="9" t="s">
        <v>133</v>
      </c>
      <c r="C29" s="9">
        <v>2.4500000000000002</v>
      </c>
      <c r="D29" s="9">
        <v>2</v>
      </c>
      <c r="E29" s="9">
        <f t="shared" si="0"/>
        <v>4.9000000000000004</v>
      </c>
      <c r="F29" s="9" t="s">
        <v>197</v>
      </c>
      <c r="G29" s="9">
        <v>3.5750000000000002</v>
      </c>
      <c r="H29" s="9">
        <v>3.18</v>
      </c>
      <c r="I29" s="9">
        <f t="shared" si="1"/>
        <v>11.368500000000001</v>
      </c>
      <c r="J29" s="9"/>
      <c r="K29" s="9"/>
      <c r="L29" s="9">
        <f t="shared" si="2"/>
        <v>0</v>
      </c>
    </row>
    <row r="30" spans="2:12" x14ac:dyDescent="0.3">
      <c r="B30" s="9" t="s">
        <v>134</v>
      </c>
      <c r="C30" s="9">
        <v>2.4500000000000002</v>
      </c>
      <c r="D30" s="9">
        <v>0.6</v>
      </c>
      <c r="E30" s="9">
        <f t="shared" si="0"/>
        <v>1.47</v>
      </c>
      <c r="F30" s="9"/>
      <c r="G30" s="9">
        <v>3.0550000000000002</v>
      </c>
      <c r="H30" s="9">
        <v>1.1399999999999999</v>
      </c>
      <c r="I30" s="9">
        <f>G30*H30</f>
        <v>3.4826999999999999</v>
      </c>
      <c r="J30" s="9"/>
      <c r="K30" s="9"/>
      <c r="L30" s="9">
        <f>J30*K30</f>
        <v>0</v>
      </c>
    </row>
    <row r="31" spans="2:12" x14ac:dyDescent="0.3">
      <c r="B31" s="9"/>
      <c r="C31" s="9">
        <v>1.83</v>
      </c>
      <c r="D31" s="9">
        <v>4.58</v>
      </c>
      <c r="E31" s="9">
        <f t="shared" si="0"/>
        <v>8.3814000000000011</v>
      </c>
      <c r="F31" s="9"/>
      <c r="G31" s="9">
        <v>3.4350000000000001</v>
      </c>
      <c r="H31" s="9">
        <v>1</v>
      </c>
      <c r="I31" s="9">
        <f>G31*H31</f>
        <v>3.4350000000000001</v>
      </c>
      <c r="J31" s="9"/>
      <c r="K31" s="9"/>
      <c r="L31" s="9">
        <f>J31*K31</f>
        <v>0</v>
      </c>
    </row>
    <row r="32" spans="2:12" x14ac:dyDescent="0.3">
      <c r="B32" s="9"/>
      <c r="C32" s="9">
        <v>3.88</v>
      </c>
      <c r="D32" s="9">
        <v>1.38</v>
      </c>
      <c r="E32" s="9">
        <f t="shared" si="0"/>
        <v>5.3543999999999992</v>
      </c>
      <c r="F32" s="9"/>
      <c r="G32" s="9">
        <v>2.4449999999999998</v>
      </c>
      <c r="H32" s="9">
        <v>1.83</v>
      </c>
      <c r="I32" s="9">
        <f>G32*H32</f>
        <v>4.4743500000000003</v>
      </c>
      <c r="J32" s="9"/>
      <c r="K32" s="9"/>
      <c r="L32" s="9">
        <f>J32*K32</f>
        <v>0</v>
      </c>
    </row>
    <row r="33" spans="2:12" x14ac:dyDescent="0.3">
      <c r="B33" s="9"/>
      <c r="C33" s="9"/>
      <c r="D33" s="9"/>
      <c r="E33" s="9">
        <f t="shared" si="0"/>
        <v>0</v>
      </c>
      <c r="F33" s="9"/>
      <c r="G33" s="9">
        <v>1.2</v>
      </c>
      <c r="H33" s="9">
        <v>1.2</v>
      </c>
      <c r="I33" s="9">
        <f>G33*H33</f>
        <v>1.44</v>
      </c>
      <c r="J33" s="9"/>
      <c r="K33" s="9"/>
      <c r="L33" s="9">
        <f>J33*K33</f>
        <v>0</v>
      </c>
    </row>
    <row r="34" spans="2:12" x14ac:dyDescent="0.3">
      <c r="B34" s="9" t="s">
        <v>81</v>
      </c>
      <c r="C34" s="9"/>
      <c r="D34" s="9">
        <f>E34*10.764</f>
        <v>2208.67156458</v>
      </c>
      <c r="E34" s="9">
        <f>SUM(E6:E33)</f>
        <v>205.190595</v>
      </c>
      <c r="F34" s="9"/>
      <c r="G34" s="9"/>
      <c r="H34" s="9">
        <f>I34*10.764</f>
        <v>421.44612119999999</v>
      </c>
      <c r="I34" s="9">
        <f>SUM(I6:I33)</f>
        <v>39.153300000000002</v>
      </c>
      <c r="J34" s="9"/>
      <c r="K34" s="9">
        <f>L34*10.764</f>
        <v>0</v>
      </c>
      <c r="L34" s="9">
        <f>SUM(L6:L33)</f>
        <v>0</v>
      </c>
    </row>
    <row r="36" spans="2:12" x14ac:dyDescent="0.3">
      <c r="D36">
        <f>D34+H34</f>
        <v>2630.1176857800001</v>
      </c>
      <c r="E36">
        <f>E34+I34</f>
        <v>244.343895</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VALUATION</vt:lpstr>
      <vt:lpstr>C%</vt:lpstr>
      <vt:lpstr>C% (2)</vt:lpstr>
      <vt:lpstr>Flat detail</vt:lpstr>
      <vt:lpstr>Sheet1</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2025-08-14T10:13:05Z</cp:lastPrinted>
  <dcterms:created xsi:type="dcterms:W3CDTF">2019-07-16T09:29:46Z</dcterms:created>
  <dcterms:modified xsi:type="dcterms:W3CDTF">2025-08-14T10:14:34Z</dcterms:modified>
</cp:coreProperties>
</file>