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J89" i="1"/>
  <c r="J88" i="1"/>
  <c r="J87" i="1"/>
  <c r="I185" i="1" l="1"/>
  <c r="I189" i="1"/>
  <c r="I190" i="1"/>
  <c r="I197" i="1"/>
  <c r="K183" i="1"/>
  <c r="M190" i="1" l="1"/>
  <c r="J210" i="1"/>
  <c r="J267" i="1"/>
  <c r="J173" i="1"/>
  <c r="I226" i="1"/>
  <c r="G109" i="1"/>
  <c r="D278" i="1"/>
  <c r="D270" i="1"/>
  <c r="D269" i="1"/>
  <c r="D265" i="1"/>
  <c r="D264" i="1"/>
  <c r="D252" i="1"/>
  <c r="D243" i="1"/>
  <c r="D239" i="1"/>
  <c r="D232" i="1"/>
  <c r="D230" i="1"/>
  <c r="D226" i="1"/>
  <c r="D215" i="1"/>
  <c r="D203" i="1"/>
  <c r="D202" i="1"/>
  <c r="D204" i="1"/>
  <c r="D201" i="1"/>
  <c r="D200" i="1"/>
  <c r="D199" i="1"/>
  <c r="D198" i="1"/>
  <c r="D197" i="1"/>
  <c r="D196" i="1"/>
  <c r="D195" i="1"/>
  <c r="D193" i="1"/>
  <c r="D192" i="1"/>
  <c r="D191" i="1"/>
  <c r="D181" i="1"/>
  <c r="K181" i="1" s="1"/>
  <c r="D180" i="1"/>
  <c r="K180" i="1" s="1"/>
  <c r="D179" i="1"/>
  <c r="K179" i="1" s="1"/>
  <c r="D182" i="1"/>
  <c r="K182" i="1" s="1"/>
  <c r="M185" i="1"/>
  <c r="M186" i="1"/>
  <c r="M187" i="1"/>
  <c r="M188" i="1"/>
  <c r="M189" i="1"/>
  <c r="M191" i="1"/>
  <c r="M192" i="1"/>
  <c r="M193" i="1"/>
  <c r="M184" i="1"/>
  <c r="A187" i="1" l="1"/>
  <c r="A245" i="1"/>
  <c r="A191" i="1"/>
  <c r="A192" i="1"/>
  <c r="A242" i="1"/>
  <c r="A246" i="1"/>
  <c r="A250" i="1"/>
  <c r="A243" i="1"/>
  <c r="A244" i="1"/>
  <c r="A247" i="1"/>
  <c r="A186" i="1"/>
  <c r="A190" i="1"/>
  <c r="A184" i="1"/>
  <c r="D225" i="1"/>
  <c r="D224" i="1"/>
  <c r="D223" i="1"/>
  <c r="D222" i="1"/>
  <c r="D221" i="1"/>
  <c r="D220" i="1"/>
  <c r="D219" i="1"/>
  <c r="G219" i="1"/>
  <c r="A219" i="1"/>
  <c r="A220" i="1" s="1"/>
  <c r="A221" i="1" s="1"/>
  <c r="A222" i="1" s="1"/>
  <c r="A223" i="1" s="1"/>
  <c r="A224" i="1" s="1"/>
  <c r="A225" i="1" s="1"/>
  <c r="A226" i="1" s="1"/>
  <c r="D277" i="1"/>
  <c r="D276" i="1"/>
  <c r="D275" i="1"/>
  <c r="D274" i="1"/>
  <c r="D273" i="1"/>
  <c r="D272" i="1"/>
  <c r="E278" i="1"/>
  <c r="E277" i="1"/>
  <c r="E276" i="1"/>
  <c r="E275" i="1"/>
  <c r="E274" i="1"/>
  <c r="E273" i="1"/>
  <c r="E272" i="1"/>
  <c r="E271" i="1"/>
  <c r="D271" i="1"/>
  <c r="E270" i="1"/>
  <c r="E269" i="1"/>
  <c r="D268" i="1"/>
  <c r="D267" i="1"/>
  <c r="D263" i="1"/>
  <c r="D262" i="1"/>
  <c r="D261" i="1"/>
  <c r="D260" i="1"/>
  <c r="D259" i="1"/>
  <c r="D258" i="1"/>
  <c r="D257" i="1"/>
  <c r="D256" i="1"/>
  <c r="D255" i="1"/>
  <c r="D254" i="1"/>
  <c r="D238" i="1"/>
  <c r="D237" i="1"/>
  <c r="D236" i="1"/>
  <c r="D235" i="1"/>
  <c r="D234" i="1"/>
  <c r="D233" i="1"/>
  <c r="D231" i="1"/>
  <c r="D229" i="1"/>
  <c r="D228" i="1"/>
  <c r="G228" i="1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G267" i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E215" i="1"/>
  <c r="E214" i="1"/>
  <c r="D214" i="1"/>
  <c r="E213" i="1"/>
  <c r="D213" i="1"/>
  <c r="E212" i="1"/>
  <c r="D212" i="1"/>
  <c r="D211" i="1"/>
  <c r="D210" i="1"/>
  <c r="D209" i="1"/>
  <c r="D208" i="1"/>
  <c r="E207" i="1"/>
  <c r="E206" i="1"/>
  <c r="D207" i="1"/>
  <c r="D206" i="1"/>
  <c r="G206" i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G254" i="1"/>
  <c r="E179" i="1"/>
  <c r="D178" i="1"/>
  <c r="K178" i="1" s="1"/>
  <c r="D177" i="1"/>
  <c r="K177" i="1" s="1"/>
  <c r="D176" i="1"/>
  <c r="K176" i="1" s="1"/>
  <c r="D175" i="1"/>
  <c r="K175" i="1" s="1"/>
  <c r="D174" i="1"/>
  <c r="K174" i="1" s="1"/>
  <c r="D173" i="1"/>
  <c r="K173" i="1" s="1"/>
  <c r="G173" i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D251" i="1"/>
  <c r="D250" i="1"/>
  <c r="D249" i="1"/>
  <c r="D248" i="1"/>
  <c r="D247" i="1"/>
  <c r="D246" i="1"/>
  <c r="D245" i="1"/>
  <c r="D244" i="1"/>
  <c r="D242" i="1"/>
  <c r="D241" i="1"/>
  <c r="G241" i="1"/>
  <c r="D190" i="1"/>
  <c r="D189" i="1"/>
  <c r="D188" i="1"/>
  <c r="D187" i="1"/>
  <c r="D186" i="1"/>
  <c r="D185" i="1"/>
  <c r="D184" i="1"/>
  <c r="E114" i="1" l="1"/>
  <c r="E115" i="1"/>
  <c r="A249" i="1"/>
  <c r="A241" i="1"/>
  <c r="C115" i="1"/>
  <c r="A248" i="1"/>
  <c r="C114" i="1"/>
  <c r="A188" i="1"/>
  <c r="A185" i="1"/>
  <c r="A193" i="1"/>
  <c r="A189" i="1"/>
  <c r="G195" i="1"/>
  <c r="G184" i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G151" i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D149" i="1"/>
  <c r="I149" i="1" s="1"/>
  <c r="D148" i="1"/>
  <c r="I148" i="1" s="1"/>
  <c r="D147" i="1"/>
  <c r="I147" i="1" s="1"/>
  <c r="D146" i="1"/>
  <c r="I146" i="1" s="1"/>
  <c r="D145" i="1"/>
  <c r="I145" i="1" s="1"/>
  <c r="D144" i="1"/>
  <c r="I144" i="1" s="1"/>
  <c r="D143" i="1"/>
  <c r="I143" i="1" s="1"/>
  <c r="D142" i="1"/>
  <c r="I142" i="1" s="1"/>
  <c r="D141" i="1"/>
  <c r="I141" i="1" s="1"/>
  <c r="D140" i="1"/>
  <c r="I140" i="1" s="1"/>
  <c r="D139" i="1"/>
  <c r="I139" i="1" s="1"/>
  <c r="D138" i="1"/>
  <c r="I138" i="1" s="1"/>
  <c r="D137" i="1"/>
  <c r="I137" i="1" s="1"/>
  <c r="D136" i="1"/>
  <c r="I136" i="1" s="1"/>
  <c r="D135" i="1"/>
  <c r="I135" i="1" s="1"/>
  <c r="D134" i="1"/>
  <c r="I134" i="1" s="1"/>
  <c r="D133" i="1"/>
  <c r="I133" i="1" s="1"/>
  <c r="D132" i="1"/>
  <c r="I132" i="1" s="1"/>
  <c r="D131" i="1"/>
  <c r="I131" i="1" s="1"/>
  <c r="D130" i="1"/>
  <c r="I130" i="1" s="1"/>
  <c r="D129" i="1"/>
  <c r="I129" i="1" s="1"/>
  <c r="D128" i="1"/>
  <c r="I128" i="1" s="1"/>
  <c r="D127" i="1"/>
  <c r="I127" i="1" s="1"/>
  <c r="D126" i="1"/>
  <c r="I126" i="1" s="1"/>
  <c r="D125" i="1"/>
  <c r="I125" i="1" s="1"/>
  <c r="D124" i="1"/>
  <c r="I124" i="1" s="1"/>
  <c r="D123" i="1"/>
  <c r="I123" i="1" s="1"/>
  <c r="D122" i="1"/>
  <c r="I122" i="1" s="1"/>
  <c r="C48" i="1"/>
  <c r="E109" i="1" l="1"/>
  <c r="C109" i="1"/>
  <c r="G115" i="1"/>
  <c r="E116" i="1"/>
  <c r="C110" i="1"/>
  <c r="E110" i="1"/>
  <c r="C116" i="1"/>
  <c r="G114" i="1"/>
  <c r="G110" i="1"/>
  <c r="G111" i="1" s="1"/>
  <c r="C13" i="1"/>
  <c r="C111" i="1" l="1"/>
  <c r="G116" i="1"/>
  <c r="E111" i="1"/>
  <c r="E28" i="1"/>
  <c r="F106" i="1" l="1"/>
  <c r="B281" i="1" l="1"/>
  <c r="B28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3" i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G122" i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J76" i="1"/>
  <c r="J75" i="1"/>
  <c r="J74" i="1"/>
  <c r="J73" i="1"/>
  <c r="D54" i="1"/>
  <c r="G48" i="1"/>
  <c r="G49" i="1" s="1"/>
  <c r="E41" i="1"/>
  <c r="E42" i="1" s="1"/>
  <c r="E25" i="1"/>
  <c r="E23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l="1"/>
  <c r="C70" i="1" s="1"/>
  <c r="E69" i="1" s="1"/>
  <c r="D71" i="1"/>
  <c r="J67" i="1"/>
  <c r="D69" i="1"/>
  <c r="J66" i="1" l="1"/>
  <c r="D70" i="1"/>
  <c r="I66" i="1" s="1"/>
  <c r="G69" i="1"/>
  <c r="D63" i="1" s="1"/>
  <c r="D64" i="1" s="1"/>
  <c r="H80" i="1"/>
  <c r="J84" i="1" l="1"/>
  <c r="C83" i="1" s="1"/>
  <c r="D83" i="1" s="1"/>
  <c r="J82" i="1"/>
  <c r="D91" i="1"/>
  <c r="D87" i="1"/>
  <c r="J83" i="1"/>
  <c r="D92" i="1"/>
  <c r="D90" i="1"/>
  <c r="D88" i="1"/>
  <c r="D86" i="1"/>
  <c r="J85" i="1"/>
  <c r="J86" i="1" s="1"/>
  <c r="J91" i="1" s="1"/>
  <c r="D89" i="1"/>
  <c r="D85" i="1"/>
  <c r="J79" i="1"/>
  <c r="J81" i="1" s="1"/>
  <c r="F64" i="1"/>
  <c r="I67" i="1"/>
  <c r="I65" i="1" s="1"/>
  <c r="C67" i="1" s="1"/>
  <c r="J92" i="1" l="1"/>
  <c r="C84" i="1" s="1"/>
  <c r="G83" i="1" s="1"/>
  <c r="J80" i="1" l="1"/>
  <c r="E83" i="1"/>
  <c r="D84" i="1"/>
  <c r="I80" i="1" s="1"/>
  <c r="I81" i="1" l="1"/>
  <c r="I79" i="1" s="1"/>
  <c r="C81" i="1" s="1"/>
</calcChain>
</file>

<file path=xl/sharedStrings.xml><?xml version="1.0" encoding="utf-8"?>
<sst xmlns="http://schemas.openxmlformats.org/spreadsheetml/2006/main" count="398" uniqueCount="252">
  <si>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</si>
  <si>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</si>
  <si>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</si>
  <si>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</si>
  <si>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</si>
  <si>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</si>
  <si>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</si>
  <si>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</si>
  <si>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</si>
  <si>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</si>
  <si>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</si>
  <si>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</si>
  <si>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</si>
  <si>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</si>
  <si>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</si>
  <si>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</si>
  <si>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</si>
  <si>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</si>
  <si>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</si>
  <si>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</si>
  <si>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</si>
  <si>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</si>
  <si>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</si>
  <si>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</si>
  <si>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</si>
  <si>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</si>
  <si>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</si>
  <si>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</si>
  <si>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</si>
  <si>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</si>
  <si>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</si>
  <si>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</si>
  <si>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</si>
  <si>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</si>
  <si>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</si>
  <si>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</si>
  <si>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</si>
  <si>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</si>
  <si>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</si>
  <si>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</si>
  <si>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</si>
  <si>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</si>
  <si>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</si>
  <si>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</si>
  <si>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</si>
  <si>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</si>
  <si>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</si>
  <si>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</si>
  <si>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</si>
  <si>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</si>
  <si>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</si>
  <si>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</si>
  <si>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</si>
  <si>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</si>
  <si>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</si>
  <si>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</si>
  <si>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</si>
  <si>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</si>
  <si>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</si>
  <si>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</si>
  <si>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</si>
  <si>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</si>
  <si>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</si>
  <si>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</si>
  <si>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</si>
  <si>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</si>
  <si>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</si>
  <si>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</si>
  <si>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</si>
  <si>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</si>
  <si>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</si>
  <si>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</si>
  <si>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</si>
  <si>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</si>
  <si>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</si>
  <si>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</si>
  <si>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</si>
  <si>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</si>
  <si>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</si>
  <si>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</si>
  <si>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</si>
  <si>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</si>
  <si>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</si>
  <si>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</si>
  <si>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</si>
  <si>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</si>
  <si>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</si>
  <si>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</si>
  <si>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</si>
  <si>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</si>
  <si>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</si>
  <si>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</si>
  <si>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</si>
  <si>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</si>
  <si>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</si>
  <si>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</si>
  <si>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</si>
  <si>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</si>
  <si>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</si>
  <si>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</si>
  <si>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</si>
  <si>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</si>
  <si>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</si>
  <si>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</si>
  <si>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</si>
  <si>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</si>
  <si>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</si>
  <si>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</si>
  <si>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</si>
  <si>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</si>
  <si>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</si>
  <si>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</si>
  <si>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</si>
  <si>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</si>
  <si>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</si>
  <si>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</si>
  <si>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</si>
  <si>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</si>
  <si>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</si>
  <si>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</si>
  <si>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</si>
  <si>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</si>
  <si>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</si>
  <si>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</si>
  <si>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</si>
  <si>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</si>
  <si>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</si>
  <si>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</si>
  <si>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</si>
  <si>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</si>
  <si>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</si>
  <si>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</si>
  <si>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</si>
  <si>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</si>
  <si>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</si>
  <si>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</si>
  <si>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</si>
  <si>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</si>
  <si>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</si>
  <si>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</si>
  <si>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</si>
  <si>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</si>
  <si>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</si>
  <si>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</si>
  <si>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</si>
  <si>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</si>
  <si>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</si>
  <si>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</si>
  <si>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</si>
  <si>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</si>
  <si>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</si>
  <si>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</si>
  <si>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</si>
  <si>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</si>
  <si>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</si>
  <si>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</si>
  <si>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</si>
  <si>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</si>
  <si>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</si>
  <si>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</si>
  <si>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</si>
  <si>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</si>
  <si>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</si>
  <si>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</si>
  <si>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</si>
  <si>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</si>
  <si>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</si>
  <si>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</si>
  <si>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</si>
  <si>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</si>
  <si>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</si>
  <si>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</si>
  <si>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Riddhi Siddhi Imperial</t>
  </si>
  <si>
    <t>P52000034405</t>
  </si>
  <si>
    <t>Survey No</t>
  </si>
  <si>
    <t>Ghot</t>
  </si>
  <si>
    <t>Raigad</t>
  </si>
  <si>
    <t>Panvel</t>
  </si>
  <si>
    <t>Ghot Road</t>
  </si>
  <si>
    <t>Krushna Kunj</t>
  </si>
  <si>
    <t>Open Plot</t>
  </si>
  <si>
    <t>Internal Road</t>
  </si>
  <si>
    <t>https://goo.gl/maps/BpfVYMhwLzX4hSZw7</t>
  </si>
  <si>
    <t xml:space="preserve">Panvel Municipal Corporation
</t>
  </si>
  <si>
    <t>PMC/NRV/16110/JK-804/2022</t>
  </si>
  <si>
    <t>PMC/TP/Ghot/21/4,6,7,8 &amp; 22/21-22/16110/804/2022</t>
  </si>
  <si>
    <t>As per RERA - 30/11/2027</t>
  </si>
  <si>
    <t>Shop</t>
  </si>
  <si>
    <t>A Wing</t>
  </si>
  <si>
    <t>1st Floor For Commercial</t>
  </si>
  <si>
    <t>Office</t>
  </si>
  <si>
    <t>3rd &amp; 5th Floor</t>
  </si>
  <si>
    <t>Wing A</t>
  </si>
  <si>
    <t>Wiing B</t>
  </si>
  <si>
    <t>301 &amp; 501</t>
  </si>
  <si>
    <t>302 &amp; 502</t>
  </si>
  <si>
    <t>303 &amp; 503</t>
  </si>
  <si>
    <t>304 &amp; 504</t>
  </si>
  <si>
    <t>305 &amp; 505</t>
  </si>
  <si>
    <t>306 &amp; 506</t>
  </si>
  <si>
    <t>307 &amp; 507</t>
  </si>
  <si>
    <t>308 &amp; 508</t>
  </si>
  <si>
    <t>309 &amp; 509</t>
  </si>
  <si>
    <t>310 &amp; 510</t>
  </si>
  <si>
    <t>B Wing</t>
  </si>
  <si>
    <t>2nd Floor For Residential</t>
  </si>
  <si>
    <t>7th Floor</t>
  </si>
  <si>
    <t>311 &amp; 511</t>
  </si>
  <si>
    <t>312 &amp; 512</t>
  </si>
  <si>
    <t>Ground Floor For Parking</t>
  </si>
  <si>
    <t>1st Floor For Residential</t>
  </si>
  <si>
    <t>Flats -140, Shops -28, Offices -18</t>
  </si>
  <si>
    <t>Axis Sanpada</t>
  </si>
  <si>
    <t>Mr. Dharmendra Bhanwarlal Mali</t>
  </si>
  <si>
    <t>M/s. Riddhi Siddhi Developer</t>
  </si>
  <si>
    <t>A &amp; B Wing</t>
  </si>
  <si>
    <t>21/4,21/6,21/7,21/8 &amp; 22, Sub Plot - 1</t>
  </si>
  <si>
    <t>4.2 KM from Taloja Panchnand Railway Station</t>
  </si>
  <si>
    <t>Taloja east</t>
  </si>
  <si>
    <t xml:space="preserve">Krushna Kunj </t>
  </si>
  <si>
    <t>2 Wings</t>
  </si>
  <si>
    <t xml:space="preserve">A &amp; B Wing = G + 1st to 7th Floor
</t>
  </si>
  <si>
    <t>A &amp; B Wing = G + 1st to 7th Floor</t>
  </si>
  <si>
    <t>Ground Floor For Commercial &amp; Parking</t>
  </si>
  <si>
    <t>4th &amp; 6th Floor</t>
  </si>
  <si>
    <t>We considered Gross carpet area = Net carpet + Enclose balcony + Balcony.</t>
  </si>
  <si>
    <t xml:space="preserve">Builder Saleable Area </t>
  </si>
  <si>
    <t>rate sheet</t>
  </si>
  <si>
    <t xml:space="preserve">shop - </t>
  </si>
  <si>
    <t>cost sheet</t>
  </si>
  <si>
    <t xml:space="preserve">flat - </t>
  </si>
  <si>
    <t xml:space="preserve">office - </t>
  </si>
  <si>
    <t>visitor</t>
  </si>
  <si>
    <t>99A</t>
  </si>
  <si>
    <t>market rate</t>
  </si>
  <si>
    <t>411 &amp; 611</t>
  </si>
  <si>
    <t>412 &amp; 612</t>
  </si>
  <si>
    <t>Name of the builder</t>
  </si>
  <si>
    <t>A Wing = G + 1st to 7th Floor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</si>
  <si>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</si>
  <si>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B Wing = G + 1st to 7th Floor</t>
  </si>
  <si>
    <t>On Site, we meet Mr.Sandip (9367921628).</t>
  </si>
  <si>
    <t>Sunil Peravi</t>
  </si>
  <si>
    <t>Latitude,Longitude</t>
  </si>
  <si>
    <t>19.0850126,73.1151422</t>
  </si>
  <si>
    <t>Construction work is in process at the time of Visit.</t>
  </si>
  <si>
    <t>Rate 5500 smith Verbal     12/12/2024</t>
  </si>
  <si>
    <t>Recommended Rates of the Property have been revised on 12/12/2024.</t>
  </si>
  <si>
    <t>Mr. Prakash 9867921628</t>
  </si>
  <si>
    <t>Exce</t>
  </si>
  <si>
    <t xml:space="preserve">While doing dump May 2025 month excel &amp; PDF not download in the MIS
Referred Feb excel and making the Rerport on18/08/2025 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</si>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</sst>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9" xfId="0" applyFont="1" applyFill="1" applyBorder="1"/>
    <xf numFmtId="2" fontId="7" fillId="0" borderId="0" xfId="1" applyNumberFormat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10" fillId="0" borderId="7" xfId="1" applyFont="1" applyFill="1" applyBorder="1" applyAlignment="1" applyProtection="1">
      <alignment horizontal="left"/>
      <protection locked="0"/>
    </xf>
    <xf numFmtId="0" fontId="10" fillId="0" borderId="20" xfId="1" applyFont="1" applyFill="1" applyBorder="1" applyAlignment="1" applyProtection="1">
      <alignment horizontal="left"/>
      <protection locked="0"/>
    </xf>
    <xf numFmtId="0" fontId="10" fillId="0" borderId="8" xfId="1" applyFont="1" applyFill="1" applyBorder="1" applyAlignment="1" applyProtection="1">
      <alignment horizontal="left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2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5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4" fontId="8" fillId="0" borderId="7" xfId="1" applyNumberFormat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7" fillId="0" borderId="24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 wrapText="1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347</xdr:row>
      <xdr:rowOff>19050</xdr:rowOff>
    </xdr:from>
    <xdr:to>
      <xdr:col>7</xdr:col>
      <xdr:colOff>260985</xdr:colOff>
      <xdr:row>365</xdr:row>
      <xdr:rowOff>39625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73685400"/>
          <a:ext cx="5852160" cy="36210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514350</xdr:colOff>
      <xdr:row>366</xdr:row>
      <xdr:rowOff>134493</xdr:rowOff>
    </xdr:from>
    <xdr:to>
      <xdr:col>7</xdr:col>
      <xdr:colOff>260985</xdr:colOff>
      <xdr:row>384</xdr:row>
      <xdr:rowOff>191643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77601318"/>
          <a:ext cx="5852160" cy="3657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302</xdr:row>
      <xdr:rowOff>0</xdr:rowOff>
    </xdr:from>
    <xdr:to>
      <xdr:col>10</xdr:col>
      <xdr:colOff>89105</xdr:colOff>
      <xdr:row>303</xdr:row>
      <xdr:rowOff>169308</xdr:rowOff>
    </xdr:to>
    <xdr:sp macro="" textlink="">
      <xdr:nvSpPr>
        <xdr:cNvPr id="13" name="Rectangle 12"/>
        <xdr:cNvSpPr/>
      </xdr:nvSpPr>
      <xdr:spPr>
        <a:xfrm>
          <a:off x="8070273" y="59759273"/>
          <a:ext cx="891514" cy="36558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 editAs="oneCell">
    <xdr:from>
      <xdr:col>13</xdr:col>
      <xdr:colOff>578223</xdr:colOff>
      <xdr:row>332</xdr:row>
      <xdr:rowOff>172571</xdr:rowOff>
    </xdr:from>
    <xdr:to>
      <xdr:col>15</xdr:col>
      <xdr:colOff>701671</xdr:colOff>
      <xdr:row>343</xdr:row>
      <xdr:rowOff>130615</xdr:rowOff>
    </xdr:to>
    <xdr:pic>
      <xdr:nvPicPr>
        <xdr:cNvPr id="18" name="Picture 17" descr="https://vsjcllp.vsjadon.com/upload/insp-217383-152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46223" y="67889718"/>
          <a:ext cx="1625036" cy="217680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587748</xdr:colOff>
      <xdr:row>321</xdr:row>
      <xdr:rowOff>113740</xdr:rowOff>
    </xdr:from>
    <xdr:to>
      <xdr:col>15</xdr:col>
      <xdr:colOff>714558</xdr:colOff>
      <xdr:row>332</xdr:row>
      <xdr:rowOff>73466</xdr:rowOff>
    </xdr:to>
    <xdr:pic>
      <xdr:nvPicPr>
        <xdr:cNvPr id="20" name="Picture 19" descr="https://vsjcllp.vsjadon.com/upload/insp-217383-84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5748" y="65612122"/>
          <a:ext cx="1628398" cy="2178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372595</xdr:colOff>
      <xdr:row>321</xdr:row>
      <xdr:rowOff>113740</xdr:rowOff>
    </xdr:from>
    <xdr:to>
      <xdr:col>13</xdr:col>
      <xdr:colOff>491561</xdr:colOff>
      <xdr:row>332</xdr:row>
      <xdr:rowOff>73466</xdr:rowOff>
    </xdr:to>
    <xdr:pic>
      <xdr:nvPicPr>
        <xdr:cNvPr id="28" name="Picture 27" descr="https://vsjcllp.vsjadon.com/upload/insp-217383-844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9007" y="65612122"/>
          <a:ext cx="1620554" cy="2178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130548</xdr:colOff>
      <xdr:row>321</xdr:row>
      <xdr:rowOff>113740</xdr:rowOff>
    </xdr:from>
    <xdr:to>
      <xdr:col>11</xdr:col>
      <xdr:colOff>276408</xdr:colOff>
      <xdr:row>332</xdr:row>
      <xdr:rowOff>73466</xdr:rowOff>
    </xdr:to>
    <xdr:pic>
      <xdr:nvPicPr>
        <xdr:cNvPr id="29" name="Picture 28" descr="https://vsjcllp.vsjadon.com/upload/insp-217383-847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8989" y="65612122"/>
          <a:ext cx="1613831" cy="21784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130548</xdr:colOff>
      <xdr:row>332</xdr:row>
      <xdr:rowOff>172571</xdr:rowOff>
    </xdr:from>
    <xdr:to>
      <xdr:col>11</xdr:col>
      <xdr:colOff>276408</xdr:colOff>
      <xdr:row>343</xdr:row>
      <xdr:rowOff>130615</xdr:rowOff>
    </xdr:to>
    <xdr:pic>
      <xdr:nvPicPr>
        <xdr:cNvPr id="30" name="Picture 29" descr="https://vsjcllp.vsjadon.com/upload/insp-217383-849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8989" y="67889718"/>
          <a:ext cx="1613831" cy="217680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382120</xdr:colOff>
      <xdr:row>332</xdr:row>
      <xdr:rowOff>172571</xdr:rowOff>
    </xdr:from>
    <xdr:to>
      <xdr:col>13</xdr:col>
      <xdr:colOff>501086</xdr:colOff>
      <xdr:row>343</xdr:row>
      <xdr:rowOff>130615</xdr:rowOff>
    </xdr:to>
    <xdr:pic>
      <xdr:nvPicPr>
        <xdr:cNvPr id="32" name="Picture 31" descr="https://vsjcllp.vsjadon.com/upload/insp-217383-93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48532" y="67889718"/>
          <a:ext cx="1620554" cy="217680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1047841</xdr:colOff>
      <xdr:row>302</xdr:row>
      <xdr:rowOff>172570</xdr:rowOff>
    </xdr:from>
    <xdr:to>
      <xdr:col>12</xdr:col>
      <xdr:colOff>441135</xdr:colOff>
      <xdr:row>321</xdr:row>
      <xdr:rowOff>28014</xdr:rowOff>
    </xdr:to>
    <xdr:grpSp>
      <xdr:nvGrpSpPr>
        <xdr:cNvPr id="5" name="Group 4"/>
        <xdr:cNvGrpSpPr/>
      </xdr:nvGrpSpPr>
      <xdr:grpSpPr>
        <a:xfrm>
          <a:off x="7566254" y="61265092"/>
          <a:ext cx="2722903" cy="3624031"/>
          <a:chOff x="409106" y="61236224"/>
          <a:chExt cx="2733207" cy="3648075"/>
        </a:xfrm>
      </xdr:grpSpPr>
      <xdr:pic>
        <xdr:nvPicPr>
          <xdr:cNvPr id="19" name="Picture 18" descr="https://vsjcllp.vsjadon.com/upload/insp-217383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106" y="61236224"/>
            <a:ext cx="2733207" cy="3648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Box 2"/>
          <xdr:cNvSpPr txBox="1"/>
        </xdr:nvSpPr>
        <xdr:spPr>
          <a:xfrm>
            <a:off x="447611" y="61417243"/>
            <a:ext cx="8382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/>
              <a:t>Wing A</a:t>
            </a:r>
          </a:p>
        </xdr:txBody>
      </xdr:sp>
    </xdr:grpSp>
    <xdr:clientData/>
  </xdr:twoCellAnchor>
  <xdr:twoCellAnchor>
    <xdr:from>
      <xdr:col>12</xdr:col>
      <xdr:colOff>536853</xdr:colOff>
      <xdr:row>302</xdr:row>
      <xdr:rowOff>172570</xdr:rowOff>
    </xdr:from>
    <xdr:to>
      <xdr:col>16</xdr:col>
      <xdr:colOff>196846</xdr:colOff>
      <xdr:row>321</xdr:row>
      <xdr:rowOff>28014</xdr:rowOff>
    </xdr:to>
    <xdr:grpSp>
      <xdr:nvGrpSpPr>
        <xdr:cNvPr id="4" name="Group 3"/>
        <xdr:cNvGrpSpPr/>
      </xdr:nvGrpSpPr>
      <xdr:grpSpPr>
        <a:xfrm>
          <a:off x="10384875" y="61265092"/>
          <a:ext cx="2716275" cy="3624031"/>
          <a:chOff x="3238031" y="61236224"/>
          <a:chExt cx="2733207" cy="3648075"/>
        </a:xfrm>
      </xdr:grpSpPr>
      <xdr:pic>
        <xdr:nvPicPr>
          <xdr:cNvPr id="31" name="Picture 30" descr="https://vsjcllp.vsjadon.com/upload/insp-217383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031" y="61236224"/>
            <a:ext cx="2733207" cy="3648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3" name="TextBox 32"/>
          <xdr:cNvSpPr txBox="1"/>
        </xdr:nvSpPr>
        <xdr:spPr>
          <a:xfrm>
            <a:off x="3238031" y="61236224"/>
            <a:ext cx="8382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/>
              <a:t>Wing B</a:t>
            </a:r>
          </a:p>
        </xdr:txBody>
      </xdr:sp>
    </xdr:grpSp>
    <xdr:clientData/>
  </xdr:twoCellAnchor>
  <xdr:twoCellAnchor>
    <xdr:from>
      <xdr:col>0</xdr:col>
      <xdr:colOff>279050</xdr:colOff>
      <xdr:row>303</xdr:row>
      <xdr:rowOff>89646</xdr:rowOff>
    </xdr:from>
    <xdr:to>
      <xdr:col>7</xdr:col>
      <xdr:colOff>321696</xdr:colOff>
      <xdr:row>339</xdr:row>
      <xdr:rowOff>190499</xdr:rowOff>
    </xdr:to>
    <xdr:grpSp>
      <xdr:nvGrpSpPr>
        <xdr:cNvPr id="7" name="Group 6"/>
        <xdr:cNvGrpSpPr/>
      </xdr:nvGrpSpPr>
      <xdr:grpSpPr>
        <a:xfrm>
          <a:off x="279050" y="61380950"/>
          <a:ext cx="5732798" cy="7248745"/>
          <a:chOff x="279050" y="61968528"/>
          <a:chExt cx="5746440" cy="7351059"/>
        </a:xfrm>
      </xdr:grpSpPr>
      <xdr:grpSp>
        <xdr:nvGrpSpPr>
          <xdr:cNvPr id="6" name="Group 5"/>
          <xdr:cNvGrpSpPr/>
        </xdr:nvGrpSpPr>
        <xdr:grpSpPr>
          <a:xfrm>
            <a:off x="279050" y="61968528"/>
            <a:ext cx="5746440" cy="7351059"/>
            <a:chOff x="461474" y="62271088"/>
            <a:chExt cx="5580134" cy="6792483"/>
          </a:xfrm>
        </xdr:grpSpPr>
        <xdr:grpSp>
          <xdr:nvGrpSpPr>
            <xdr:cNvPr id="34" name="Group 33"/>
            <xdr:cNvGrpSpPr/>
          </xdr:nvGrpSpPr>
          <xdr:grpSpPr>
            <a:xfrm>
              <a:off x="461474" y="62271088"/>
              <a:ext cx="5580134" cy="6792483"/>
              <a:chOff x="334169" y="26966"/>
              <a:chExt cx="6128989" cy="7432440"/>
            </a:xfrm>
          </xdr:grpSpPr>
          <xdr:pic>
            <xdr:nvPicPr>
              <xdr:cNvPr id="35" name="Picture 34" descr="https://vsjcllp.vsjadon.com/upload/insp-243763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031838" y="5623406"/>
                <a:ext cx="1431320" cy="1836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6" name="Picture 35" descr="https://vsjcllp.vsjadon.com/upload/insp-243763-843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46803" y="26966"/>
                <a:ext cx="2872247" cy="368432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7" name="Picture 36" descr="https://vsjcllp.vsjadon.com/upload/insp-243763-844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63072" y="26966"/>
                <a:ext cx="2872247" cy="368432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8" name="Picture 37" descr="https://vsjcllp.vsjadon.com/upload/insp-243763-847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40263" y="3823253"/>
                <a:ext cx="1327813" cy="17032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0" name="Picture 39" descr="https://vsjcllp.vsjadon.com/upload/insp-243763-86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70200" y="3823253"/>
                <a:ext cx="1327813" cy="170322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1" name="Picture 40" descr="https://vsjcllp.vsjadon.com/upload/insp-243763-87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34169" y="5615786"/>
                <a:ext cx="1429936" cy="183422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" name="Picture 41" descr="https://vsjcllp.vsjadon.com/upload/insp-243763-86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00135" y="3823681"/>
                <a:ext cx="1327479" cy="17028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" name="Picture 42" descr="https://vsjcllp.vsjadon.com/upload/insp-243763-88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913018" y="5615786"/>
                <a:ext cx="1429936" cy="183422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7" name="Picture 46" descr="https://vsjcllp.vsjadon.com/upload/insp-243763-93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86976" y="5615785"/>
                <a:ext cx="1431320" cy="1836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48" name="TextBox 47"/>
            <xdr:cNvSpPr txBox="1"/>
          </xdr:nvSpPr>
          <xdr:spPr>
            <a:xfrm>
              <a:off x="847725" y="62387069"/>
              <a:ext cx="831828" cy="3253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/>
                <a:t>Wing A</a:t>
              </a:r>
            </a:p>
          </xdr:txBody>
        </xdr:sp>
        <xdr:sp macro="" textlink="">
          <xdr:nvSpPr>
            <xdr:cNvPr id="49" name="TextBox 48"/>
            <xdr:cNvSpPr txBox="1"/>
          </xdr:nvSpPr>
          <xdr:spPr>
            <a:xfrm>
              <a:off x="4830296" y="62587094"/>
              <a:ext cx="839671" cy="3270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/>
                <a:t>Wing B</a:t>
              </a:r>
            </a:p>
          </xdr:txBody>
        </xdr:sp>
        <xdr:sp macro="" textlink="">
          <xdr:nvSpPr>
            <xdr:cNvPr id="61" name="TextBox 60"/>
            <xdr:cNvSpPr txBox="1"/>
          </xdr:nvSpPr>
          <xdr:spPr>
            <a:xfrm>
              <a:off x="2219326" y="67528888"/>
              <a:ext cx="839671" cy="3270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/>
                <a:t>Wing B</a:t>
              </a:r>
            </a:p>
          </xdr:txBody>
        </xdr:sp>
        <xdr:sp macro="" textlink="">
          <xdr:nvSpPr>
            <xdr:cNvPr id="62" name="TextBox 61"/>
            <xdr:cNvSpPr txBox="1"/>
          </xdr:nvSpPr>
          <xdr:spPr>
            <a:xfrm>
              <a:off x="3788149" y="67002212"/>
              <a:ext cx="839671" cy="3270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>
                  <a:solidFill>
                    <a:schemeClr val="bg1"/>
                  </a:solidFill>
                </a:rPr>
                <a:t>Wing A</a:t>
              </a:r>
            </a:p>
          </xdr:txBody>
        </xdr:sp>
      </xdr:grpSp>
      <xdr:pic>
        <xdr:nvPicPr>
          <xdr:cNvPr id="63" name="Picture 62" descr="https://vsjcllp.vsjadon.com/upload/insp-243763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089" y="65722500"/>
            <a:ext cx="1253848" cy="16848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pfVYMhwLzX4hSZw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46"/>
  <sheetViews>
    <sheetView tabSelected="1" view="pageBreakPreview" zoomScale="115" zoomScaleNormal="100" zoomScaleSheetLayoutView="115" workbookViewId="0">
      <selection activeCell="I4" sqref="I4:N10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4" ht="46.5" customHeight="1" x14ac:dyDescent="0.25">
      <c r="A1" s="176" t="s">
        <v>239</v>
      </c>
      <c r="B1" s="176"/>
      <c r="C1" s="176"/>
      <c r="D1" s="176"/>
      <c r="E1" s="176"/>
      <c r="F1" s="176"/>
      <c r="G1" s="176"/>
      <c r="H1" s="176"/>
    </row>
    <row r="2" spans="1:14" ht="16.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</row>
    <row r="3" spans="1:14" x14ac:dyDescent="0.25">
      <c r="A3" s="121" t="s">
        <v>1</v>
      </c>
      <c r="B3" s="121"/>
      <c r="C3" s="121"/>
      <c r="D3" s="121"/>
      <c r="E3" s="121" t="str">
        <f ca="1">TEXT(TODAY(),"DD/MM/YYYY")</f>
        <v>18/08/2025</v>
      </c>
      <c r="F3" s="121"/>
      <c r="G3" s="121"/>
      <c r="H3" s="121"/>
    </row>
    <row r="4" spans="1:14" ht="15" customHeight="1" x14ac:dyDescent="0.25">
      <c r="A4" s="121" t="s">
        <v>2</v>
      </c>
      <c r="B4" s="121"/>
      <c r="C4" s="121"/>
      <c r="D4" s="121"/>
      <c r="E4" s="121" t="s">
        <v>212</v>
      </c>
      <c r="F4" s="121"/>
      <c r="G4" s="121"/>
      <c r="H4" s="121"/>
      <c r="I4" s="198" t="s">
        <v>250</v>
      </c>
      <c r="J4" s="197"/>
      <c r="K4" s="197"/>
      <c r="L4" s="197"/>
      <c r="M4" s="197"/>
      <c r="N4" s="197"/>
    </row>
    <row r="5" spans="1:14" x14ac:dyDescent="0.25">
      <c r="A5" s="121" t="s">
        <v>3</v>
      </c>
      <c r="B5" s="121"/>
      <c r="C5" s="121"/>
      <c r="D5" s="121"/>
      <c r="E5" s="174">
        <v>45881</v>
      </c>
      <c r="F5" s="121"/>
      <c r="G5" s="121"/>
      <c r="H5" s="121"/>
      <c r="I5" s="196"/>
      <c r="J5" s="197"/>
      <c r="K5" s="197"/>
      <c r="L5" s="197"/>
      <c r="M5" s="197"/>
      <c r="N5" s="197"/>
    </row>
    <row r="6" spans="1:14" ht="16.5" customHeight="1" x14ac:dyDescent="0.25">
      <c r="A6" s="121" t="s">
        <v>237</v>
      </c>
      <c r="B6" s="121"/>
      <c r="C6" s="121"/>
      <c r="D6" s="121"/>
      <c r="E6" s="121" t="s">
        <v>213</v>
      </c>
      <c r="F6" s="121"/>
      <c r="G6" s="121"/>
      <c r="H6" s="121"/>
      <c r="I6" s="196"/>
      <c r="J6" s="197"/>
      <c r="K6" s="197"/>
      <c r="L6" s="197"/>
      <c r="M6" s="197"/>
      <c r="N6" s="197"/>
    </row>
    <row r="7" spans="1:14" ht="15" customHeight="1" x14ac:dyDescent="0.25">
      <c r="A7" s="121" t="s">
        <v>4</v>
      </c>
      <c r="B7" s="121"/>
      <c r="C7" s="121"/>
      <c r="D7" s="121"/>
      <c r="E7" s="121" t="s">
        <v>214</v>
      </c>
      <c r="F7" s="121"/>
      <c r="G7" s="121"/>
      <c r="H7" s="121"/>
      <c r="I7" s="196"/>
      <c r="J7" s="197"/>
      <c r="K7" s="197"/>
      <c r="L7" s="197"/>
      <c r="M7" s="197"/>
      <c r="N7" s="197"/>
    </row>
    <row r="8" spans="1:14" x14ac:dyDescent="0.25">
      <c r="A8" s="121" t="s">
        <v>5</v>
      </c>
      <c r="B8" s="121"/>
      <c r="C8" s="121"/>
      <c r="D8" s="121"/>
      <c r="E8" s="139" t="s">
        <v>172</v>
      </c>
      <c r="F8" s="139"/>
      <c r="G8" s="139"/>
      <c r="H8" s="139"/>
      <c r="I8" s="196"/>
      <c r="J8" s="197"/>
      <c r="K8" s="197"/>
      <c r="L8" s="197"/>
      <c r="M8" s="197"/>
      <c r="N8" s="197"/>
    </row>
    <row r="9" spans="1:14" x14ac:dyDescent="0.25">
      <c r="A9" s="121" t="s">
        <v>125</v>
      </c>
      <c r="B9" s="121"/>
      <c r="C9" s="121"/>
      <c r="D9" s="121"/>
      <c r="E9" s="121" t="s">
        <v>248</v>
      </c>
      <c r="F9" s="121"/>
      <c r="G9" s="121"/>
      <c r="H9" s="121"/>
      <c r="I9" s="196"/>
      <c r="J9" s="197"/>
      <c r="K9" s="197"/>
      <c r="L9" s="197"/>
      <c r="M9" s="197"/>
      <c r="N9" s="197"/>
    </row>
    <row r="10" spans="1:14" x14ac:dyDescent="0.25">
      <c r="A10" s="121" t="s">
        <v>6</v>
      </c>
      <c r="B10" s="121"/>
      <c r="C10" s="121"/>
      <c r="D10" s="121"/>
      <c r="E10" s="93" t="s">
        <v>215</v>
      </c>
      <c r="F10" s="121"/>
      <c r="G10" s="121"/>
      <c r="H10" s="121"/>
      <c r="I10" s="196"/>
      <c r="J10" s="197"/>
      <c r="K10" s="197"/>
      <c r="L10" s="197"/>
      <c r="M10" s="197"/>
      <c r="N10" s="197"/>
    </row>
    <row r="11" spans="1:14" ht="32.25" customHeight="1" x14ac:dyDescent="0.25">
      <c r="A11" s="91" t="s">
        <v>7</v>
      </c>
      <c r="B11" s="91"/>
      <c r="C11" s="91"/>
      <c r="D11" s="91"/>
      <c r="E11" s="93" t="s">
        <v>106</v>
      </c>
      <c r="F11" s="175"/>
      <c r="G11" s="175"/>
      <c r="H11" s="175"/>
    </row>
    <row r="12" spans="1:14" x14ac:dyDescent="0.25">
      <c r="A12" s="91" t="s">
        <v>8</v>
      </c>
      <c r="B12" s="91"/>
      <c r="C12" s="91"/>
      <c r="D12" s="91"/>
      <c r="E12" s="93" t="s">
        <v>173</v>
      </c>
      <c r="F12" s="172"/>
      <c r="G12" s="172"/>
      <c r="H12" s="172"/>
    </row>
    <row r="13" spans="1:14" ht="32.25" customHeight="1" x14ac:dyDescent="0.25">
      <c r="A13" s="93" t="s">
        <v>9</v>
      </c>
      <c r="B13" s="93"/>
      <c r="C13" s="93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Riddhi Siddhi Imperial, Survey No.21/4,21/6,21/7,21/8 &amp; 22, Sub Plot - 1, near Krushna Kunj, Ghot Road, Ghot, Ghot, Taloja east, Panvel, Raigad - 410208.</v>
      </c>
      <c r="D13" s="93"/>
      <c r="E13" s="93"/>
      <c r="F13" s="93"/>
      <c r="G13" s="93"/>
      <c r="H13" s="93"/>
    </row>
    <row r="14" spans="1:14" x14ac:dyDescent="0.25">
      <c r="A14" s="93" t="s">
        <v>174</v>
      </c>
      <c r="B14" s="93"/>
      <c r="C14" s="93" t="s">
        <v>216</v>
      </c>
      <c r="D14" s="93"/>
      <c r="E14" s="93"/>
      <c r="F14" s="93"/>
      <c r="G14" s="93"/>
      <c r="H14" s="93"/>
    </row>
    <row r="15" spans="1:14" ht="15.75" customHeight="1" x14ac:dyDescent="0.25">
      <c r="A15" s="88" t="s">
        <v>169</v>
      </c>
      <c r="B15" s="89"/>
      <c r="C15" s="88" t="s">
        <v>175</v>
      </c>
      <c r="D15" s="90"/>
      <c r="E15" s="90"/>
      <c r="F15" s="90"/>
      <c r="G15" s="90"/>
      <c r="H15" s="89"/>
    </row>
    <row r="16" spans="1:14" ht="15.75" customHeight="1" x14ac:dyDescent="0.25">
      <c r="A16" s="93" t="s">
        <v>10</v>
      </c>
      <c r="B16" s="93"/>
      <c r="C16" s="121" t="s">
        <v>178</v>
      </c>
      <c r="D16" s="121"/>
      <c r="E16" s="93" t="s">
        <v>170</v>
      </c>
      <c r="F16" s="93"/>
      <c r="G16" s="93" t="s">
        <v>175</v>
      </c>
      <c r="H16" s="93"/>
    </row>
    <row r="17" spans="1:8" x14ac:dyDescent="0.25">
      <c r="A17" s="121" t="s">
        <v>12</v>
      </c>
      <c r="B17" s="121"/>
      <c r="C17" s="93" t="s">
        <v>218</v>
      </c>
      <c r="D17" s="93"/>
      <c r="E17" s="93" t="s">
        <v>11</v>
      </c>
      <c r="F17" s="93"/>
      <c r="G17" s="173" t="s">
        <v>176</v>
      </c>
      <c r="H17" s="173"/>
    </row>
    <row r="18" spans="1:8" x14ac:dyDescent="0.25">
      <c r="A18" s="121" t="s">
        <v>73</v>
      </c>
      <c r="B18" s="121"/>
      <c r="C18" s="93" t="s">
        <v>177</v>
      </c>
      <c r="D18" s="93"/>
      <c r="E18" s="93" t="s">
        <v>13</v>
      </c>
      <c r="F18" s="93"/>
      <c r="G18" s="93">
        <v>410208</v>
      </c>
      <c r="H18" s="93"/>
    </row>
    <row r="19" spans="1:8" ht="32.25" customHeight="1" x14ac:dyDescent="0.25">
      <c r="A19" s="91" t="s">
        <v>126</v>
      </c>
      <c r="B19" s="91"/>
      <c r="C19" s="93" t="s">
        <v>179</v>
      </c>
      <c r="D19" s="93"/>
      <c r="E19" s="145" t="s">
        <v>14</v>
      </c>
      <c r="F19" s="145"/>
      <c r="G19" s="93" t="s">
        <v>217</v>
      </c>
      <c r="H19" s="93"/>
    </row>
    <row r="20" spans="1:8" ht="15" customHeight="1" x14ac:dyDescent="0.25">
      <c r="A20" s="145" t="s">
        <v>76</v>
      </c>
      <c r="B20" s="145"/>
      <c r="C20" s="145"/>
      <c r="D20" s="145"/>
      <c r="E20" s="121" t="s">
        <v>15</v>
      </c>
      <c r="F20" s="121"/>
      <c r="G20" s="121"/>
      <c r="H20" s="121"/>
    </row>
    <row r="21" spans="1:8" ht="18.75" customHeight="1" x14ac:dyDescent="0.25">
      <c r="A21" s="145"/>
      <c r="B21" s="145"/>
      <c r="C21" s="145"/>
      <c r="D21" s="145"/>
      <c r="E21" s="121"/>
      <c r="F21" s="121"/>
      <c r="G21" s="121"/>
      <c r="H21" s="121"/>
    </row>
    <row r="22" spans="1:8" ht="15" customHeight="1" x14ac:dyDescent="0.25">
      <c r="A22" s="145" t="s">
        <v>16</v>
      </c>
      <c r="B22" s="145"/>
      <c r="C22" s="145"/>
      <c r="D22" s="145"/>
      <c r="E22" s="93" t="s">
        <v>17</v>
      </c>
      <c r="F22" s="93"/>
      <c r="G22" s="93"/>
      <c r="H22" s="93"/>
    </row>
    <row r="23" spans="1:8" ht="15" customHeight="1" x14ac:dyDescent="0.25">
      <c r="A23" s="91" t="s">
        <v>18</v>
      </c>
      <c r="B23" s="91"/>
      <c r="C23" s="91"/>
      <c r="D23" s="91"/>
      <c r="E23" s="93" t="str">
        <f>IF(AND(G17="Mumbai"),"Upper Class","Middle Class")</f>
        <v>Middle Class</v>
      </c>
      <c r="F23" s="93"/>
      <c r="G23" s="93"/>
      <c r="H23" s="93"/>
    </row>
    <row r="24" spans="1:8" x14ac:dyDescent="0.25">
      <c r="A24" s="91" t="s">
        <v>19</v>
      </c>
      <c r="B24" s="91"/>
      <c r="C24" s="91"/>
      <c r="D24" s="91"/>
      <c r="E24" s="93" t="s">
        <v>20</v>
      </c>
      <c r="F24" s="93"/>
      <c r="G24" s="93"/>
      <c r="H24" s="93"/>
    </row>
    <row r="25" spans="1:8" ht="15.75" customHeight="1" x14ac:dyDescent="0.25">
      <c r="A25" s="91" t="s">
        <v>21</v>
      </c>
      <c r="B25" s="91"/>
      <c r="C25" s="91"/>
      <c r="D25" s="91"/>
      <c r="E25" s="93" t="str">
        <f>IF(AND(G17="Mumbai"),"Developed","Developing")</f>
        <v>Developing</v>
      </c>
      <c r="F25" s="93"/>
      <c r="G25" s="93"/>
      <c r="H25" s="93"/>
    </row>
    <row r="26" spans="1:8" x14ac:dyDescent="0.25">
      <c r="A26" s="91" t="s">
        <v>22</v>
      </c>
      <c r="B26" s="91"/>
      <c r="C26" s="91"/>
      <c r="D26" s="91"/>
      <c r="E26" s="93" t="s">
        <v>23</v>
      </c>
      <c r="F26" s="93"/>
      <c r="G26" s="93"/>
      <c r="H26" s="93"/>
    </row>
    <row r="27" spans="1:8" ht="15.75" customHeight="1" x14ac:dyDescent="0.25">
      <c r="A27" s="91" t="s">
        <v>81</v>
      </c>
      <c r="B27" s="91"/>
      <c r="C27" s="91"/>
      <c r="D27" s="91"/>
      <c r="E27" s="93" t="s">
        <v>82</v>
      </c>
      <c r="F27" s="93"/>
      <c r="G27" s="93"/>
      <c r="H27" s="93"/>
    </row>
    <row r="28" spans="1:8" ht="15" customHeight="1" x14ac:dyDescent="0.25">
      <c r="A28" s="91" t="s">
        <v>32</v>
      </c>
      <c r="B28" s="91"/>
      <c r="C28" s="91"/>
      <c r="D28" s="91"/>
      <c r="E28" s="9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93"/>
      <c r="G28" s="93"/>
      <c r="H28" s="93"/>
    </row>
    <row r="29" spans="1:8" ht="15.75" customHeight="1" x14ac:dyDescent="0.25">
      <c r="A29" s="91" t="s">
        <v>93</v>
      </c>
      <c r="B29" s="91"/>
      <c r="C29" s="91"/>
      <c r="D29" s="91"/>
      <c r="E29" s="93" t="s">
        <v>33</v>
      </c>
      <c r="F29" s="93"/>
      <c r="G29" s="93"/>
      <c r="H29" s="93"/>
    </row>
    <row r="30" spans="1:8" s="21" customFormat="1" x14ac:dyDescent="0.25">
      <c r="A30" s="171" t="s">
        <v>94</v>
      </c>
      <c r="B30" s="171"/>
      <c r="C30" s="170" t="s">
        <v>28</v>
      </c>
      <c r="D30" s="170"/>
      <c r="E30" s="170"/>
      <c r="F30" s="170" t="s">
        <v>30</v>
      </c>
      <c r="G30" s="170"/>
      <c r="H30" s="170"/>
    </row>
    <row r="31" spans="1:8" s="21" customFormat="1" x14ac:dyDescent="0.25">
      <c r="A31" s="148" t="s">
        <v>24</v>
      </c>
      <c r="B31" s="148" t="s">
        <v>29</v>
      </c>
      <c r="C31" s="149" t="s">
        <v>29</v>
      </c>
      <c r="D31" s="149"/>
      <c r="E31" s="149"/>
      <c r="F31" s="149" t="s">
        <v>181</v>
      </c>
      <c r="G31" s="149"/>
      <c r="H31" s="149"/>
    </row>
    <row r="32" spans="1:8" x14ac:dyDescent="0.25">
      <c r="A32" s="148" t="s">
        <v>25</v>
      </c>
      <c r="B32" s="148" t="s">
        <v>29</v>
      </c>
      <c r="C32" s="149" t="s">
        <v>29</v>
      </c>
      <c r="D32" s="149"/>
      <c r="E32" s="149"/>
      <c r="F32" s="149" t="s">
        <v>180</v>
      </c>
      <c r="G32" s="149"/>
      <c r="H32" s="149"/>
    </row>
    <row r="33" spans="1:8" s="21" customFormat="1" x14ac:dyDescent="0.25">
      <c r="A33" s="148" t="s">
        <v>27</v>
      </c>
      <c r="B33" s="148" t="s">
        <v>29</v>
      </c>
      <c r="C33" s="149" t="s">
        <v>29</v>
      </c>
      <c r="D33" s="149"/>
      <c r="E33" s="149"/>
      <c r="F33" s="149" t="s">
        <v>180</v>
      </c>
      <c r="G33" s="149"/>
      <c r="H33" s="149"/>
    </row>
    <row r="34" spans="1:8" x14ac:dyDescent="0.25">
      <c r="A34" s="148" t="s">
        <v>26</v>
      </c>
      <c r="B34" s="148" t="s">
        <v>29</v>
      </c>
      <c r="C34" s="149" t="s">
        <v>29</v>
      </c>
      <c r="D34" s="149"/>
      <c r="E34" s="149"/>
      <c r="F34" s="149" t="s">
        <v>219</v>
      </c>
      <c r="G34" s="149"/>
      <c r="H34" s="149"/>
    </row>
    <row r="35" spans="1:8" x14ac:dyDescent="0.25">
      <c r="A35" s="91" t="s">
        <v>31</v>
      </c>
      <c r="B35" s="91"/>
      <c r="C35" s="91"/>
      <c r="D35" s="91"/>
      <c r="E35" s="91"/>
      <c r="F35" s="91"/>
      <c r="G35" s="91"/>
      <c r="H35" s="91"/>
    </row>
    <row r="36" spans="1:8" ht="15.75" customHeight="1" x14ac:dyDescent="0.25">
      <c r="A36" s="91" t="s">
        <v>243</v>
      </c>
      <c r="B36" s="91"/>
      <c r="C36" s="71" t="s">
        <v>244</v>
      </c>
      <c r="D36" s="72"/>
      <c r="E36" s="72"/>
      <c r="F36" s="72"/>
      <c r="G36" s="72"/>
      <c r="H36" s="73"/>
    </row>
    <row r="37" spans="1:8" x14ac:dyDescent="0.25">
      <c r="A37" s="91" t="s">
        <v>168</v>
      </c>
      <c r="B37" s="91"/>
      <c r="C37" s="92" t="s">
        <v>182</v>
      </c>
      <c r="D37" s="93"/>
      <c r="E37" s="93"/>
      <c r="F37" s="93"/>
      <c r="G37" s="93"/>
      <c r="H37" s="93"/>
    </row>
    <row r="38" spans="1:8" x14ac:dyDescent="0.25">
      <c r="A38" s="151" t="s">
        <v>34</v>
      </c>
      <c r="B38" s="151"/>
      <c r="C38" s="151"/>
      <c r="D38" s="151"/>
      <c r="E38" s="151"/>
      <c r="F38" s="151"/>
      <c r="G38" s="151"/>
      <c r="H38" s="151"/>
    </row>
    <row r="39" spans="1:8" x14ac:dyDescent="0.25">
      <c r="A39" s="91" t="s">
        <v>35</v>
      </c>
      <c r="B39" s="91"/>
      <c r="C39" s="91"/>
      <c r="D39" s="91"/>
      <c r="E39" s="150">
        <v>3795</v>
      </c>
      <c r="F39" s="150"/>
      <c r="G39" s="150"/>
      <c r="H39" s="150"/>
    </row>
    <row r="40" spans="1:8" x14ac:dyDescent="0.25">
      <c r="A40" s="91" t="s">
        <v>36</v>
      </c>
      <c r="B40" s="91"/>
      <c r="C40" s="91"/>
      <c r="D40" s="91"/>
      <c r="E40" s="136">
        <v>1.1000000000000001</v>
      </c>
      <c r="F40" s="136"/>
      <c r="G40" s="136"/>
      <c r="H40" s="136"/>
    </row>
    <row r="41" spans="1:8" x14ac:dyDescent="0.25">
      <c r="A41" s="91" t="s">
        <v>37</v>
      </c>
      <c r="B41" s="91"/>
      <c r="C41" s="91"/>
      <c r="D41" s="91"/>
      <c r="E41" s="136">
        <f>E43/E39-E40</f>
        <v>1.5652173913038858E-4</v>
      </c>
      <c r="F41" s="136"/>
      <c r="G41" s="136"/>
      <c r="H41" s="136"/>
    </row>
    <row r="42" spans="1:8" x14ac:dyDescent="0.25">
      <c r="A42" s="91" t="s">
        <v>38</v>
      </c>
      <c r="B42" s="91"/>
      <c r="C42" s="91"/>
      <c r="D42" s="91"/>
      <c r="E42" s="136">
        <f>E40+E41</f>
        <v>1.1001565217391305</v>
      </c>
      <c r="F42" s="136"/>
      <c r="G42" s="136"/>
      <c r="H42" s="136"/>
    </row>
    <row r="43" spans="1:8" x14ac:dyDescent="0.25">
      <c r="A43" s="91" t="s">
        <v>92</v>
      </c>
      <c r="B43" s="91"/>
      <c r="C43" s="91"/>
      <c r="D43" s="91"/>
      <c r="E43" s="137">
        <v>4175.0940000000001</v>
      </c>
      <c r="F43" s="137"/>
      <c r="G43" s="137"/>
      <c r="H43" s="137"/>
    </row>
    <row r="44" spans="1:8" x14ac:dyDescent="0.25">
      <c r="A44" s="121" t="s">
        <v>39</v>
      </c>
      <c r="B44" s="121"/>
      <c r="C44" s="121"/>
      <c r="D44" s="121"/>
      <c r="E44" s="121" t="s">
        <v>220</v>
      </c>
      <c r="F44" s="121"/>
      <c r="G44" s="121"/>
      <c r="H44" s="121"/>
    </row>
    <row r="45" spans="1:8" x14ac:dyDescent="0.25">
      <c r="A45" s="151" t="s">
        <v>40</v>
      </c>
      <c r="B45" s="151"/>
      <c r="C45" s="151"/>
      <c r="D45" s="151"/>
      <c r="E45" s="151"/>
      <c r="F45" s="151"/>
      <c r="G45" s="151"/>
      <c r="H45" s="151"/>
    </row>
    <row r="46" spans="1:8" ht="33.75" customHeight="1" x14ac:dyDescent="0.25">
      <c r="A46" s="107" t="s">
        <v>155</v>
      </c>
      <c r="B46" s="108"/>
      <c r="C46" s="109" t="s">
        <v>183</v>
      </c>
      <c r="D46" s="110"/>
      <c r="E46" s="110"/>
      <c r="F46" s="110"/>
      <c r="G46" s="110"/>
      <c r="H46" s="111"/>
    </row>
    <row r="47" spans="1:8" ht="15.75" customHeight="1" x14ac:dyDescent="0.25">
      <c r="A47" s="107" t="s">
        <v>41</v>
      </c>
      <c r="B47" s="108"/>
      <c r="C47" s="107" t="s">
        <v>184</v>
      </c>
      <c r="D47" s="163"/>
      <c r="E47" s="108"/>
      <c r="F47" s="19" t="s">
        <v>42</v>
      </c>
      <c r="G47" s="157">
        <v>44635</v>
      </c>
      <c r="H47" s="108"/>
    </row>
    <row r="48" spans="1:8" x14ac:dyDescent="0.25">
      <c r="A48" s="107" t="s">
        <v>43</v>
      </c>
      <c r="B48" s="108"/>
      <c r="C48" s="107" t="str">
        <f>C47</f>
        <v>PMC/NRV/16110/JK-804/2022</v>
      </c>
      <c r="D48" s="163"/>
      <c r="E48" s="108"/>
      <c r="F48" s="19" t="s">
        <v>42</v>
      </c>
      <c r="G48" s="157">
        <f>G47</f>
        <v>44635</v>
      </c>
      <c r="H48" s="158"/>
    </row>
    <row r="49" spans="1:14" s="22" customFormat="1" ht="33" customHeight="1" x14ac:dyDescent="0.25">
      <c r="A49" s="159" t="s">
        <v>159</v>
      </c>
      <c r="B49" s="160"/>
      <c r="C49" s="107" t="s">
        <v>185</v>
      </c>
      <c r="D49" s="163"/>
      <c r="E49" s="108"/>
      <c r="F49" s="19" t="s">
        <v>42</v>
      </c>
      <c r="G49" s="157">
        <f>G48</f>
        <v>44635</v>
      </c>
      <c r="H49" s="158"/>
    </row>
    <row r="50" spans="1:14" s="22" customFormat="1" x14ac:dyDescent="0.25">
      <c r="A50" s="161"/>
      <c r="B50" s="162"/>
      <c r="C50" s="107" t="s">
        <v>221</v>
      </c>
      <c r="D50" s="163"/>
      <c r="E50" s="163"/>
      <c r="F50" s="163"/>
      <c r="G50" s="163"/>
      <c r="H50" s="108"/>
    </row>
    <row r="51" spans="1:14" x14ac:dyDescent="0.25">
      <c r="A51" s="190" t="s">
        <v>171</v>
      </c>
      <c r="B51" s="191"/>
      <c r="C51" s="167" t="s">
        <v>29</v>
      </c>
      <c r="D51" s="168"/>
      <c r="E51" s="169"/>
      <c r="F51" s="54" t="s">
        <v>42</v>
      </c>
      <c r="G51" s="188" t="s">
        <v>29</v>
      </c>
      <c r="H51" s="189"/>
    </row>
    <row r="52" spans="1:14" hidden="1" x14ac:dyDescent="0.25">
      <c r="A52" s="192"/>
      <c r="B52" s="193"/>
      <c r="C52" s="167" t="s">
        <v>29</v>
      </c>
      <c r="D52" s="168"/>
      <c r="E52" s="168"/>
      <c r="F52" s="168"/>
      <c r="G52" s="168"/>
      <c r="H52" s="169"/>
    </row>
    <row r="53" spans="1:14" x14ac:dyDescent="0.25">
      <c r="A53" s="187" t="s">
        <v>45</v>
      </c>
      <c r="B53" s="187"/>
      <c r="C53" s="187"/>
      <c r="D53" s="187"/>
      <c r="E53" s="187"/>
      <c r="F53" s="187"/>
      <c r="G53" s="187"/>
      <c r="H53" s="187"/>
    </row>
    <row r="54" spans="1:14" x14ac:dyDescent="0.25">
      <c r="A54" s="145" t="s">
        <v>91</v>
      </c>
      <c r="B54" s="145"/>
      <c r="C54" s="145"/>
      <c r="D54" s="91">
        <f>E43</f>
        <v>4175.0940000000001</v>
      </c>
      <c r="E54" s="91"/>
      <c r="F54" s="91"/>
      <c r="G54" s="91"/>
      <c r="H54" s="91"/>
    </row>
    <row r="55" spans="1:14" x14ac:dyDescent="0.25">
      <c r="A55" s="93" t="s">
        <v>46</v>
      </c>
      <c r="B55" s="121"/>
      <c r="C55" s="121"/>
      <c r="D55" s="121" t="s">
        <v>211</v>
      </c>
      <c r="E55" s="121"/>
      <c r="F55" s="121"/>
      <c r="G55" s="121"/>
      <c r="H55" s="121"/>
      <c r="I55" s="23"/>
    </row>
    <row r="56" spans="1:14" x14ac:dyDescent="0.25">
      <c r="A56" s="154" t="s">
        <v>47</v>
      </c>
      <c r="B56" s="155"/>
      <c r="C56" s="156"/>
      <c r="D56" s="152" t="s">
        <v>221</v>
      </c>
      <c r="E56" s="153"/>
      <c r="F56" s="153"/>
      <c r="G56" s="153"/>
      <c r="H56" s="153"/>
      <c r="I56" s="24"/>
    </row>
    <row r="57" spans="1:14" ht="15.75" customHeight="1" x14ac:dyDescent="0.25">
      <c r="A57" s="154" t="s">
        <v>89</v>
      </c>
      <c r="B57" s="155"/>
      <c r="C57" s="155"/>
      <c r="D57" s="164" t="s">
        <v>222</v>
      </c>
      <c r="E57" s="165"/>
      <c r="F57" s="165"/>
      <c r="G57" s="165"/>
      <c r="H57" s="166"/>
      <c r="I57" s="24"/>
    </row>
    <row r="58" spans="1:14" ht="15.75" customHeight="1" x14ac:dyDescent="0.25">
      <c r="A58" s="121" t="s">
        <v>44</v>
      </c>
      <c r="B58" s="121"/>
      <c r="C58" s="121"/>
      <c r="D58" s="93" t="s">
        <v>186</v>
      </c>
      <c r="E58" s="93"/>
      <c r="F58" s="93"/>
      <c r="G58" s="93"/>
      <c r="H58" s="93"/>
      <c r="J58" s="25"/>
      <c r="K58" s="23"/>
      <c r="N58" s="23"/>
    </row>
    <row r="59" spans="1:14" ht="15.75" customHeight="1" x14ac:dyDescent="0.25">
      <c r="A59" s="121" t="s">
        <v>87</v>
      </c>
      <c r="B59" s="121"/>
      <c r="C59" s="121"/>
      <c r="D59" s="135" t="str">
        <f>(IF(G51="NA","60 Years After Completion",IF(G51&lt;&gt;"NA",""&amp;60-ROUNDDOWN((E3-G51)/360,0)&amp;" Years"," ")))</f>
        <v>60 Years After Completion</v>
      </c>
      <c r="E59" s="135"/>
      <c r="F59" s="135"/>
      <c r="G59" s="135"/>
      <c r="H59" s="135"/>
      <c r="N59" s="23"/>
    </row>
    <row r="60" spans="1:14" ht="15.75" customHeight="1" x14ac:dyDescent="0.25">
      <c r="A60" s="91" t="s">
        <v>88</v>
      </c>
      <c r="B60" s="91"/>
      <c r="C60" s="91"/>
      <c r="D60" s="145" t="s">
        <v>23</v>
      </c>
      <c r="E60" s="145"/>
      <c r="F60" s="145"/>
      <c r="G60" s="145"/>
      <c r="H60" s="145"/>
      <c r="J60" s="26"/>
      <c r="K60" s="26"/>
    </row>
    <row r="61" spans="1:14" ht="15" hidden="1" customHeight="1" x14ac:dyDescent="0.25">
      <c r="A61" s="91" t="s">
        <v>74</v>
      </c>
      <c r="B61" s="91"/>
      <c r="C61" s="91"/>
      <c r="D61" s="93" t="s">
        <v>152</v>
      </c>
      <c r="E61" s="145"/>
      <c r="F61" s="145"/>
      <c r="G61" s="145"/>
      <c r="H61" s="145"/>
    </row>
    <row r="62" spans="1:14" x14ac:dyDescent="0.25">
      <c r="A62" s="145" t="s">
        <v>153</v>
      </c>
      <c r="B62" s="145"/>
      <c r="C62" s="145"/>
      <c r="D62" s="145" t="s">
        <v>29</v>
      </c>
      <c r="E62" s="145"/>
      <c r="F62" s="145"/>
      <c r="G62" s="145"/>
      <c r="H62" s="145"/>
      <c r="I62" s="27"/>
      <c r="J62" s="27"/>
      <c r="K62" s="27"/>
      <c r="L62" s="27"/>
      <c r="M62" s="27"/>
      <c r="N62" s="27"/>
    </row>
    <row r="63" spans="1:14" ht="15.75" customHeight="1" x14ac:dyDescent="0.25">
      <c r="A63" s="179" t="s">
        <v>86</v>
      </c>
      <c r="B63" s="179"/>
      <c r="C63" s="179"/>
      <c r="D63" s="152" t="str">
        <f ca="1">(IF(G69&gt;95%,"Nothing",IF(G69&gt;0%,"Cement, Aggregate, Steel, etc",IF(G69=0%,"Work not yet Started"))))</f>
        <v>Cement, Aggregate, Steel, etc</v>
      </c>
      <c r="E63" s="152"/>
      <c r="F63" s="152"/>
      <c r="G63" s="152"/>
      <c r="H63" s="152"/>
      <c r="J63" s="26"/>
    </row>
    <row r="64" spans="1:14" ht="33.75" customHeight="1" thickBot="1" x14ac:dyDescent="0.3">
      <c r="A64" s="178" t="s">
        <v>119</v>
      </c>
      <c r="B64" s="178"/>
      <c r="C64" s="178"/>
      <c r="D64" s="152" t="str">
        <f ca="1">(IF(D63="Nothing","Yes",IF(D63="Cement, Aggregate, Steel, etc","Under Construction",IF(D63="Work not yet Started","Work not yet Started"))))</f>
        <v>Under Construction</v>
      </c>
      <c r="E64" s="152"/>
      <c r="F64" s="152" t="str">
        <f ca="1">(IF(D63="Nothing","Yes",IF(D63="Cement, Aggregate, Steel, etc","Under Construction",IF(D63="Work not yet Started","Work not yet Started"))))</f>
        <v>Under Construction</v>
      </c>
      <c r="G64" s="152"/>
      <c r="H64" s="152"/>
      <c r="I64" s="20" t="s">
        <v>249</v>
      </c>
    </row>
    <row r="65" spans="1:10" ht="15.75" customHeight="1" x14ac:dyDescent="0.25">
      <c r="A65" s="140" t="s">
        <v>144</v>
      </c>
      <c r="B65" s="141"/>
      <c r="C65" s="142" t="s">
        <v>238</v>
      </c>
      <c r="D65" s="143"/>
      <c r="E65" s="143"/>
      <c r="F65" s="143"/>
      <c r="G65" s="143"/>
      <c r="H65" s="144"/>
      <c r="I65" s="6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4 Floor Completed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4 Floor</v>
      </c>
    </row>
    <row r="66" spans="1:10" x14ac:dyDescent="0.25">
      <c r="A66" s="17" t="s">
        <v>146</v>
      </c>
      <c r="B66" s="53">
        <v>0</v>
      </c>
      <c r="C66" s="53" t="s">
        <v>72</v>
      </c>
      <c r="D66" s="53">
        <v>1</v>
      </c>
      <c r="E66" s="53" t="s">
        <v>71</v>
      </c>
      <c r="F66" s="53">
        <v>0</v>
      </c>
      <c r="G66" s="53" t="s">
        <v>80</v>
      </c>
      <c r="H66" s="18">
        <f ca="1">--TRIM(RIGHT(SUBSTITUTE(LEFT(C65,_xlfn.AGGREGATE(16,6,FIND({0,1,2,3,4,5,6,7,8,9},C65,ROW(INDIRECT("1:"&amp;LEN(C65)))),1))," ",REPT(" ",LEN(C65))),LEN(C65)))</f>
        <v>7</v>
      </c>
      <c r="I66" s="4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50.25" customHeight="1" x14ac:dyDescent="0.25">
      <c r="A67" s="138" t="s">
        <v>90</v>
      </c>
      <c r="B67" s="139"/>
      <c r="C67" s="146" t="str">
        <f ca="1">(IF($C$52=C65,"All work Completed. OC Received.",I65))</f>
        <v>Excavation, Plinth, RCC Slab, Brickwork, Internal Plaster, External Plaster, Flooring, Painting Completed, Finishing upto 4 Floor Completed</v>
      </c>
      <c r="D67" s="146"/>
      <c r="E67" s="146"/>
      <c r="F67" s="146"/>
      <c r="G67" s="146"/>
      <c r="H67" s="147"/>
      <c r="I67" s="43" t="str">
        <f ca="1">IF(I66&lt;&gt;""," Completed","")</f>
        <v xml:space="preserve"> Completed</v>
      </c>
      <c r="J67" s="44" t="str">
        <f ca="1">IF(J65&lt;&gt;"","Completed","")</f>
        <v>Completed</v>
      </c>
    </row>
    <row r="68" spans="1:10" ht="15.75" customHeight="1" x14ac:dyDescent="0.25">
      <c r="A68" s="131" t="s">
        <v>48</v>
      </c>
      <c r="B68" s="132"/>
      <c r="C68" s="47" t="s">
        <v>143</v>
      </c>
      <c r="D68" s="47" t="s">
        <v>83</v>
      </c>
      <c r="E68" s="132" t="s">
        <v>85</v>
      </c>
      <c r="F68" s="132"/>
      <c r="G68" s="132" t="s">
        <v>84</v>
      </c>
      <c r="H68" s="180"/>
      <c r="I68" s="15" t="s">
        <v>145</v>
      </c>
      <c r="J68" s="28">
        <f ca="1">H66*25%</f>
        <v>1.75</v>
      </c>
    </row>
    <row r="69" spans="1:10" x14ac:dyDescent="0.25">
      <c r="A69" s="131" t="s">
        <v>132</v>
      </c>
      <c r="B69" s="132"/>
      <c r="C69" s="47">
        <f ca="1">J70</f>
        <v>7</v>
      </c>
      <c r="D69" s="55">
        <f ca="1">((100/H66)*C69)/100</f>
        <v>1</v>
      </c>
      <c r="E69" s="122">
        <f ca="1">(((C70/H66*10)+(40/(D66+F66+H66)*C71)+(7.5/(H66)*C72)+(7.5/(H66)*C73)+(10/H66*C74)+(10/H66*C75)+(5/H66*C76)+(5/H66*C77)+(5/H66*C78))/100)</f>
        <v>0.9285714285714286</v>
      </c>
      <c r="F69" s="123"/>
      <c r="G69" s="122">
        <f ca="1">((((C69/H66)*20)+((C70/H66)*25)+(30/(H66+F66+D66)*C71)+(5/H66*C72)+(5/H66*C73)+(5/H66*C74)+(5/H66*C75)+(0/H66*C76)+(0/H66*C77)+(5/H66*C78))/100)</f>
        <v>0.95</v>
      </c>
      <c r="H69" s="128"/>
      <c r="I69" s="15" t="s">
        <v>101</v>
      </c>
      <c r="J69" s="29">
        <f ca="1">H66*50%</f>
        <v>3.5</v>
      </c>
    </row>
    <row r="70" spans="1:10" x14ac:dyDescent="0.25">
      <c r="A70" s="131" t="s">
        <v>49</v>
      </c>
      <c r="B70" s="132"/>
      <c r="C70" s="56">
        <f ca="1">J78</f>
        <v>7</v>
      </c>
      <c r="D70" s="55">
        <f ca="1">((100/H66)*C70)/100</f>
        <v>1</v>
      </c>
      <c r="E70" s="124"/>
      <c r="F70" s="125"/>
      <c r="G70" s="124"/>
      <c r="H70" s="129"/>
      <c r="I70" s="15" t="s">
        <v>102</v>
      </c>
      <c r="J70" s="29">
        <f ca="1">H66</f>
        <v>7</v>
      </c>
    </row>
    <row r="71" spans="1:10" ht="15.75" customHeight="1" x14ac:dyDescent="0.25">
      <c r="A71" s="131" t="s">
        <v>133</v>
      </c>
      <c r="B71" s="132"/>
      <c r="C71" s="47">
        <v>8</v>
      </c>
      <c r="D71" s="55">
        <f ca="1">((100/(D66+F66+H66))*C71)/100</f>
        <v>1</v>
      </c>
      <c r="E71" s="124"/>
      <c r="F71" s="125"/>
      <c r="G71" s="124"/>
      <c r="H71" s="129"/>
      <c r="I71" s="15" t="s">
        <v>103</v>
      </c>
      <c r="J71" s="30">
        <f ca="1">(IF(B66&gt;1,(H66/(B66+2)),H66/4))</f>
        <v>1.75</v>
      </c>
    </row>
    <row r="72" spans="1:10" ht="15.75" customHeight="1" x14ac:dyDescent="0.25">
      <c r="A72" s="131" t="s">
        <v>140</v>
      </c>
      <c r="B72" s="132" t="s">
        <v>134</v>
      </c>
      <c r="C72" s="47">
        <v>7</v>
      </c>
      <c r="D72" s="55">
        <f ca="1">((100/H66)*C72)/100</f>
        <v>1</v>
      </c>
      <c r="E72" s="124"/>
      <c r="F72" s="125"/>
      <c r="G72" s="124"/>
      <c r="H72" s="129"/>
      <c r="I72" s="15" t="s">
        <v>104</v>
      </c>
      <c r="J72" s="30">
        <f ca="1">(IF(B66&gt;1,(H66/(B66+2)+J71),H66/4+J71))</f>
        <v>3.5</v>
      </c>
    </row>
    <row r="73" spans="1:10" ht="15.75" customHeight="1" x14ac:dyDescent="0.25">
      <c r="A73" s="131" t="s">
        <v>141</v>
      </c>
      <c r="B73" s="132" t="s">
        <v>134</v>
      </c>
      <c r="C73" s="47">
        <v>7</v>
      </c>
      <c r="D73" s="55">
        <f ca="1">((100/H66)*C73)/100</f>
        <v>1</v>
      </c>
      <c r="E73" s="124"/>
      <c r="F73" s="125"/>
      <c r="G73" s="124"/>
      <c r="H73" s="129"/>
      <c r="I73" s="15" t="s">
        <v>150</v>
      </c>
      <c r="J73" s="30">
        <f>(IF(B66&gt;1,(H66/(B66+2)+J72),0))</f>
        <v>0</v>
      </c>
    </row>
    <row r="74" spans="1:10" ht="15" customHeight="1" x14ac:dyDescent="0.25">
      <c r="A74" s="131" t="s">
        <v>139</v>
      </c>
      <c r="B74" s="132" t="s">
        <v>136</v>
      </c>
      <c r="C74" s="47">
        <v>7</v>
      </c>
      <c r="D74" s="55">
        <f ca="1">((100/(H66))*C74)/100</f>
        <v>1</v>
      </c>
      <c r="E74" s="124"/>
      <c r="F74" s="125"/>
      <c r="G74" s="124"/>
      <c r="H74" s="129"/>
      <c r="I74" s="15" t="s">
        <v>147</v>
      </c>
      <c r="J74" s="30">
        <f>(IF(B66&gt;2,(H66/(B66+2)+J73),0))</f>
        <v>0</v>
      </c>
    </row>
    <row r="75" spans="1:10" ht="15.75" customHeight="1" x14ac:dyDescent="0.25">
      <c r="A75" s="131" t="s">
        <v>135</v>
      </c>
      <c r="B75" s="132" t="s">
        <v>135</v>
      </c>
      <c r="C75" s="47">
        <v>7</v>
      </c>
      <c r="D75" s="55">
        <f ca="1">((100/H66)*C75)/100</f>
        <v>1</v>
      </c>
      <c r="E75" s="124"/>
      <c r="F75" s="125"/>
      <c r="G75" s="124"/>
      <c r="H75" s="129"/>
      <c r="I75" s="15" t="s">
        <v>148</v>
      </c>
      <c r="J75" s="31">
        <f>(IF(B66&gt;3,(H66/(B66+2)+J74),0))</f>
        <v>0</v>
      </c>
    </row>
    <row r="76" spans="1:10" ht="15.75" customHeight="1" x14ac:dyDescent="0.25">
      <c r="A76" s="131" t="s">
        <v>142</v>
      </c>
      <c r="B76" s="132"/>
      <c r="C76" s="47">
        <v>7</v>
      </c>
      <c r="D76" s="55">
        <f ca="1">((100/H66)*C76)/100</f>
        <v>1</v>
      </c>
      <c r="E76" s="124"/>
      <c r="F76" s="125"/>
      <c r="G76" s="124"/>
      <c r="H76" s="129"/>
      <c r="I76" s="15" t="s">
        <v>149</v>
      </c>
      <c r="J76" s="30">
        <f>(IF(B66&gt;4,(H66/(B66+2)+J75),0))</f>
        <v>0</v>
      </c>
    </row>
    <row r="77" spans="1:10" ht="15.75" customHeight="1" x14ac:dyDescent="0.25">
      <c r="A77" s="131" t="s">
        <v>137</v>
      </c>
      <c r="B77" s="132" t="s">
        <v>137</v>
      </c>
      <c r="C77" s="47">
        <v>4</v>
      </c>
      <c r="D77" s="55">
        <f ca="1">((100/(H66))*C77)/100</f>
        <v>0.57142857142857151</v>
      </c>
      <c r="E77" s="124"/>
      <c r="F77" s="125"/>
      <c r="G77" s="124"/>
      <c r="H77" s="129"/>
      <c r="I77" s="15" t="s">
        <v>151</v>
      </c>
      <c r="J77" s="30">
        <f ca="1">(IF(B66=1,(H66/(B66+3)+J72),IF(B66=0,(H66/4+J72),IF(B66&gt;1,0))))</f>
        <v>5.25</v>
      </c>
    </row>
    <row r="78" spans="1:10" ht="16.5" thickBot="1" x14ac:dyDescent="0.3">
      <c r="A78" s="133" t="s">
        <v>138</v>
      </c>
      <c r="B78" s="134"/>
      <c r="C78" s="57">
        <v>0</v>
      </c>
      <c r="D78" s="58">
        <f ca="1">((100/(H66))*C78)/100</f>
        <v>0</v>
      </c>
      <c r="E78" s="126"/>
      <c r="F78" s="127"/>
      <c r="G78" s="126"/>
      <c r="H78" s="130"/>
      <c r="I78" s="16" t="s">
        <v>105</v>
      </c>
      <c r="J78" s="32">
        <f ca="1">(IF(B66&gt;1.5,(H66/(B66+2)+J72+MAX(0,J73-J72)+MAX(0,J74-J73)+MAX(0,J75-J74)+MAX(0,J76-J75)+MAX(0,J77-J76)),IF(B66=1,(H66/(B66+3)+J77),IF(B66=0,H66/4+J77))))</f>
        <v>7</v>
      </c>
    </row>
    <row r="79" spans="1:10" ht="15.75" customHeight="1" x14ac:dyDescent="0.25">
      <c r="A79" s="140" t="s">
        <v>144</v>
      </c>
      <c r="B79" s="141"/>
      <c r="C79" s="142" t="s">
        <v>240</v>
      </c>
      <c r="D79" s="143"/>
      <c r="E79" s="143"/>
      <c r="F79" s="143"/>
      <c r="G79" s="143"/>
      <c r="H79" s="144"/>
      <c r="I79" s="60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Plaster, External Plaster Completed, Flooring upto 6 Floor, Painting upto 4 Floor, Finishing upto 2 Floor Completed</v>
      </c>
      <c r="J79" s="42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Flooring upto 6 Floor, Painting upto 4 Floor, Finishing upto 2 Floor</v>
      </c>
    </row>
    <row r="80" spans="1:10" x14ac:dyDescent="0.25">
      <c r="A80" s="17" t="s">
        <v>146</v>
      </c>
      <c r="B80" s="64">
        <v>0</v>
      </c>
      <c r="C80" s="64" t="s">
        <v>72</v>
      </c>
      <c r="D80" s="64">
        <v>1</v>
      </c>
      <c r="E80" s="64" t="s">
        <v>71</v>
      </c>
      <c r="F80" s="64">
        <v>0</v>
      </c>
      <c r="G80" s="64" t="s">
        <v>80</v>
      </c>
      <c r="H80" s="18">
        <f ca="1">--TRIM(RIGHT(SUBSTITUTE(LEFT(C79,_xlfn.AGGREGATE(16,6,FIND({0,1,2,3,4,5,6,7,8,9},C79,ROW(INDIRECT("1:"&amp;LEN(C79)))),1))," ",REPT(" ",LEN(C79))),LEN(C79)))</f>
        <v>7</v>
      </c>
      <c r="I80" s="43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Plaster, External Plaster</v>
      </c>
      <c r="J80" s="44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50.25" customHeight="1" x14ac:dyDescent="0.25">
      <c r="A81" s="138" t="s">
        <v>90</v>
      </c>
      <c r="B81" s="139"/>
      <c r="C81" s="146" t="str">
        <f ca="1">(IF($C$52=C79,"All work Completed. OC Received.",I79))</f>
        <v>Excavation, Plinth, RCC Slab, Brickwork, Internal Plaster, External Plaster Completed, Flooring upto 6 Floor, Painting upto 4 Floor, Finishing upto 2 Floor Completed</v>
      </c>
      <c r="D81" s="146"/>
      <c r="E81" s="146"/>
      <c r="F81" s="146"/>
      <c r="G81" s="146"/>
      <c r="H81" s="147"/>
      <c r="I81" s="43" t="str">
        <f ca="1">IF(I80&lt;&gt;""," Completed","")</f>
        <v xml:space="preserve"> Completed</v>
      </c>
      <c r="J81" s="44" t="str">
        <f ca="1">IF(J79&lt;&gt;"","Completed","")</f>
        <v>Completed</v>
      </c>
    </row>
    <row r="82" spans="1:10" ht="15.75" customHeight="1" x14ac:dyDescent="0.25">
      <c r="A82" s="131" t="s">
        <v>48</v>
      </c>
      <c r="B82" s="132"/>
      <c r="C82" s="63" t="s">
        <v>143</v>
      </c>
      <c r="D82" s="63" t="s">
        <v>83</v>
      </c>
      <c r="E82" s="132" t="s">
        <v>85</v>
      </c>
      <c r="F82" s="132"/>
      <c r="G82" s="132" t="s">
        <v>84</v>
      </c>
      <c r="H82" s="180"/>
      <c r="I82" s="15" t="s">
        <v>145</v>
      </c>
      <c r="J82" s="28">
        <f ca="1">H80*25%</f>
        <v>1.75</v>
      </c>
    </row>
    <row r="83" spans="1:10" x14ac:dyDescent="0.25">
      <c r="A83" s="131" t="s">
        <v>132</v>
      </c>
      <c r="B83" s="132"/>
      <c r="C83" s="63">
        <f ca="1">J84</f>
        <v>7</v>
      </c>
      <c r="D83" s="55">
        <f ca="1">((100/H80)*C83)/100</f>
        <v>1</v>
      </c>
      <c r="E83" s="122">
        <f ca="1">(((C84/H80*10)+(40/(D80+F80+H80)*C85)+(7.5/(H80)*C86)+(7.5/(H80)*C87)+(10/H80*C88)+(10/H80*C89)+(5/H80*C90)+(5/H80*C91)+(5/H80*C92))/100)</f>
        <v>0.87857142857142856</v>
      </c>
      <c r="F83" s="123"/>
      <c r="G83" s="122">
        <f ca="1">((((C83/H80)*20)+((C84/H80)*25)+(30/(H80+F80+D80)*C85)+(5/H80*C86)+(5/H80*C87)+(5/H80*C88)+(5/H80*C89)+(0/H80*C90)+(0/H80*C91)+(5/H80*C92))/100)</f>
        <v>0.94285714285714295</v>
      </c>
      <c r="H83" s="128"/>
      <c r="I83" s="15" t="s">
        <v>101</v>
      </c>
      <c r="J83" s="29">
        <f ca="1">H80*50%</f>
        <v>3.5</v>
      </c>
    </row>
    <row r="84" spans="1:10" x14ac:dyDescent="0.25">
      <c r="A84" s="131" t="s">
        <v>49</v>
      </c>
      <c r="B84" s="132"/>
      <c r="C84" s="56">
        <f ca="1">J92</f>
        <v>7</v>
      </c>
      <c r="D84" s="55">
        <f ca="1">((100/H80)*C84)/100</f>
        <v>1</v>
      </c>
      <c r="E84" s="124"/>
      <c r="F84" s="125"/>
      <c r="G84" s="124"/>
      <c r="H84" s="129"/>
      <c r="I84" s="15" t="s">
        <v>102</v>
      </c>
      <c r="J84" s="29">
        <f ca="1">H80</f>
        <v>7</v>
      </c>
    </row>
    <row r="85" spans="1:10" ht="15.75" customHeight="1" x14ac:dyDescent="0.25">
      <c r="A85" s="131" t="s">
        <v>133</v>
      </c>
      <c r="B85" s="132"/>
      <c r="C85" s="63">
        <v>8</v>
      </c>
      <c r="D85" s="55">
        <f ca="1">((100/(D80+F80+H80))*C85)/100</f>
        <v>1</v>
      </c>
      <c r="E85" s="124"/>
      <c r="F85" s="125"/>
      <c r="G85" s="124"/>
      <c r="H85" s="129"/>
      <c r="I85" s="15" t="s">
        <v>103</v>
      </c>
      <c r="J85" s="30">
        <f ca="1">(IF(B80&gt;1,(H80/(B80+2)),H80/4))</f>
        <v>1.75</v>
      </c>
    </row>
    <row r="86" spans="1:10" ht="15.75" customHeight="1" x14ac:dyDescent="0.25">
      <c r="A86" s="131" t="s">
        <v>140</v>
      </c>
      <c r="B86" s="132" t="s">
        <v>134</v>
      </c>
      <c r="C86" s="63">
        <v>7</v>
      </c>
      <c r="D86" s="55">
        <f ca="1">((100/H80)*C86)/100</f>
        <v>1</v>
      </c>
      <c r="E86" s="124"/>
      <c r="F86" s="125"/>
      <c r="G86" s="124"/>
      <c r="H86" s="129"/>
      <c r="I86" s="15" t="s">
        <v>104</v>
      </c>
      <c r="J86" s="30">
        <f ca="1">(IF(B80&gt;1,(H80/(B80+2)+J85),H80/4+J85))</f>
        <v>3.5</v>
      </c>
    </row>
    <row r="87" spans="1:10" ht="15.75" customHeight="1" x14ac:dyDescent="0.25">
      <c r="A87" s="131" t="s">
        <v>141</v>
      </c>
      <c r="B87" s="132" t="s">
        <v>134</v>
      </c>
      <c r="C87" s="63">
        <v>7</v>
      </c>
      <c r="D87" s="55">
        <f ca="1">((100/H80)*C87)/100</f>
        <v>1</v>
      </c>
      <c r="E87" s="124"/>
      <c r="F87" s="125"/>
      <c r="G87" s="124"/>
      <c r="H87" s="129"/>
      <c r="I87" s="15" t="s">
        <v>150</v>
      </c>
      <c r="J87" s="30">
        <f>(IF(B80&gt;1,(H80/(B80+2)+J86),0))</f>
        <v>0</v>
      </c>
    </row>
    <row r="88" spans="1:10" ht="15" customHeight="1" x14ac:dyDescent="0.25">
      <c r="A88" s="131" t="s">
        <v>139</v>
      </c>
      <c r="B88" s="132" t="s">
        <v>136</v>
      </c>
      <c r="C88" s="63">
        <v>7</v>
      </c>
      <c r="D88" s="55">
        <f ca="1">((100/(H80))*C88)/100</f>
        <v>1</v>
      </c>
      <c r="E88" s="124"/>
      <c r="F88" s="125"/>
      <c r="G88" s="124"/>
      <c r="H88" s="129"/>
      <c r="I88" s="15" t="s">
        <v>147</v>
      </c>
      <c r="J88" s="30">
        <f>(IF(B80&gt;2,(H80/(B80+2)+J87),0))</f>
        <v>0</v>
      </c>
    </row>
    <row r="89" spans="1:10" ht="15.75" customHeight="1" x14ac:dyDescent="0.25">
      <c r="A89" s="131" t="s">
        <v>135</v>
      </c>
      <c r="B89" s="132" t="s">
        <v>135</v>
      </c>
      <c r="C89" s="63">
        <v>6</v>
      </c>
      <c r="D89" s="55">
        <f ca="1">((100/H80)*C89)/100</f>
        <v>0.85714285714285721</v>
      </c>
      <c r="E89" s="124"/>
      <c r="F89" s="125"/>
      <c r="G89" s="124"/>
      <c r="H89" s="129"/>
      <c r="I89" s="15" t="s">
        <v>148</v>
      </c>
      <c r="J89" s="31">
        <f>(IF(B80&gt;3,(H80/(B80+2)+J88),0))</f>
        <v>0</v>
      </c>
    </row>
    <row r="90" spans="1:10" ht="15.75" customHeight="1" x14ac:dyDescent="0.25">
      <c r="A90" s="131" t="s">
        <v>142</v>
      </c>
      <c r="B90" s="132"/>
      <c r="C90" s="63">
        <v>4</v>
      </c>
      <c r="D90" s="55">
        <f ca="1">((100/H80)*C90)/100</f>
        <v>0.57142857142857151</v>
      </c>
      <c r="E90" s="124"/>
      <c r="F90" s="125"/>
      <c r="G90" s="124"/>
      <c r="H90" s="129"/>
      <c r="I90" s="15" t="s">
        <v>149</v>
      </c>
      <c r="J90" s="30">
        <f>(IF(B80&gt;4,(H80/(B80+2)+J89),0))</f>
        <v>0</v>
      </c>
    </row>
    <row r="91" spans="1:10" ht="15.75" customHeight="1" x14ac:dyDescent="0.25">
      <c r="A91" s="131" t="s">
        <v>137</v>
      </c>
      <c r="B91" s="132" t="s">
        <v>137</v>
      </c>
      <c r="C91" s="63">
        <v>2</v>
      </c>
      <c r="D91" s="55">
        <f ca="1">((100/(H80))*C91)/100</f>
        <v>0.28571428571428575</v>
      </c>
      <c r="E91" s="124"/>
      <c r="F91" s="125"/>
      <c r="G91" s="124"/>
      <c r="H91" s="129"/>
      <c r="I91" s="15" t="s">
        <v>151</v>
      </c>
      <c r="J91" s="30">
        <f ca="1">(IF(B80=1,(H80/(B80+3)+J86),IF(B80=0,(H80/4+J86),IF(B80&gt;1,0))))</f>
        <v>5.25</v>
      </c>
    </row>
    <row r="92" spans="1:10" ht="16.5" thickBot="1" x14ac:dyDescent="0.3">
      <c r="A92" s="133" t="s">
        <v>138</v>
      </c>
      <c r="B92" s="134"/>
      <c r="C92" s="65">
        <v>0</v>
      </c>
      <c r="D92" s="58">
        <f ca="1">((100/(H80))*C92)/100</f>
        <v>0</v>
      </c>
      <c r="E92" s="126"/>
      <c r="F92" s="127"/>
      <c r="G92" s="126"/>
      <c r="H92" s="130"/>
      <c r="I92" s="16" t="s">
        <v>105</v>
      </c>
      <c r="J92" s="32">
        <f ca="1">(IF(B80&gt;1.5,(H80/(B80+2)+J86+MAX(0,J87-J86)+MAX(0,J88-J87)+MAX(0,J89-J88)+MAX(0,J90-J89)+MAX(0,J91-J90)),IF(B80=1,(H80/(B80+3)+J91),IF(B80=0,H80/4+J91))))</f>
        <v>7</v>
      </c>
    </row>
    <row r="93" spans="1:10" x14ac:dyDescent="0.25">
      <c r="A93" s="106" t="s">
        <v>161</v>
      </c>
      <c r="B93" s="106"/>
      <c r="C93" s="106"/>
      <c r="D93" s="106"/>
      <c r="E93" s="106"/>
      <c r="F93" s="118" t="s">
        <v>166</v>
      </c>
      <c r="G93" s="118"/>
      <c r="H93" s="118"/>
    </row>
    <row r="94" spans="1:10" x14ac:dyDescent="0.25">
      <c r="A94" s="91" t="s">
        <v>164</v>
      </c>
      <c r="B94" s="91"/>
      <c r="C94" s="91"/>
      <c r="D94" s="91"/>
      <c r="E94" s="91"/>
      <c r="F94" s="105">
        <v>5500</v>
      </c>
      <c r="G94" s="105"/>
      <c r="H94" s="105"/>
      <c r="I94" s="20" t="s">
        <v>246</v>
      </c>
    </row>
    <row r="95" spans="1:10" x14ac:dyDescent="0.25">
      <c r="A95" s="91" t="s">
        <v>163</v>
      </c>
      <c r="B95" s="91"/>
      <c r="C95" s="91"/>
      <c r="D95" s="91"/>
      <c r="E95" s="91"/>
      <c r="F95" s="105">
        <v>10000</v>
      </c>
      <c r="G95" s="105"/>
      <c r="H95" s="105"/>
    </row>
    <row r="96" spans="1:10" x14ac:dyDescent="0.25">
      <c r="A96" s="91" t="s">
        <v>165</v>
      </c>
      <c r="B96" s="91"/>
      <c r="C96" s="91"/>
      <c r="D96" s="91"/>
      <c r="E96" s="91"/>
      <c r="F96" s="105">
        <v>7500</v>
      </c>
      <c r="G96" s="105"/>
      <c r="H96" s="105"/>
    </row>
    <row r="97" spans="1:12" s="33" customFormat="1" hidden="1" x14ac:dyDescent="0.25">
      <c r="A97" s="91" t="s">
        <v>162</v>
      </c>
      <c r="B97" s="91"/>
      <c r="C97" s="91"/>
      <c r="D97" s="91"/>
      <c r="E97" s="91"/>
      <c r="F97" s="105"/>
      <c r="G97" s="105"/>
      <c r="H97" s="105"/>
    </row>
    <row r="98" spans="1:12" s="33" customFormat="1" hidden="1" x14ac:dyDescent="0.25">
      <c r="A98" s="91" t="s">
        <v>95</v>
      </c>
      <c r="B98" s="91"/>
      <c r="C98" s="91"/>
      <c r="D98" s="91"/>
      <c r="E98" s="91"/>
      <c r="F98" s="105"/>
      <c r="G98" s="105"/>
      <c r="H98" s="105"/>
    </row>
    <row r="99" spans="1:12" s="33" customFormat="1" hidden="1" x14ac:dyDescent="0.25">
      <c r="A99" s="91" t="s">
        <v>96</v>
      </c>
      <c r="B99" s="91"/>
      <c r="C99" s="91"/>
      <c r="D99" s="91"/>
      <c r="E99" s="91"/>
      <c r="F99" s="105"/>
      <c r="G99" s="105"/>
      <c r="H99" s="105"/>
    </row>
    <row r="100" spans="1:12" s="33" customFormat="1" hidden="1" x14ac:dyDescent="0.25">
      <c r="A100" s="91" t="s">
        <v>167</v>
      </c>
      <c r="B100" s="91"/>
      <c r="C100" s="91"/>
      <c r="D100" s="91"/>
      <c r="E100" s="91"/>
      <c r="F100" s="105"/>
      <c r="G100" s="105"/>
      <c r="H100" s="105"/>
    </row>
    <row r="101" spans="1:12" s="33" customFormat="1" hidden="1" x14ac:dyDescent="0.25">
      <c r="A101" s="91" t="s">
        <v>97</v>
      </c>
      <c r="B101" s="91"/>
      <c r="C101" s="91"/>
      <c r="D101" s="91"/>
      <c r="E101" s="91"/>
      <c r="F101" s="105"/>
      <c r="G101" s="105"/>
      <c r="H101" s="105"/>
    </row>
    <row r="102" spans="1:12" s="33" customFormat="1" hidden="1" x14ac:dyDescent="0.25">
      <c r="A102" s="91" t="s">
        <v>98</v>
      </c>
      <c r="B102" s="91"/>
      <c r="C102" s="91"/>
      <c r="D102" s="91"/>
      <c r="E102" s="91"/>
      <c r="F102" s="105"/>
      <c r="G102" s="105"/>
      <c r="H102" s="105"/>
    </row>
    <row r="103" spans="1:12" s="33" customFormat="1" hidden="1" x14ac:dyDescent="0.25">
      <c r="A103" s="91" t="s">
        <v>99</v>
      </c>
      <c r="B103" s="91"/>
      <c r="C103" s="91"/>
      <c r="D103" s="91"/>
      <c r="E103" s="91"/>
      <c r="F103" s="105"/>
      <c r="G103" s="105"/>
      <c r="H103" s="105"/>
    </row>
    <row r="104" spans="1:12" s="33" customFormat="1" hidden="1" x14ac:dyDescent="0.25">
      <c r="A104" s="91" t="s">
        <v>100</v>
      </c>
      <c r="B104" s="91"/>
      <c r="C104" s="91"/>
      <c r="D104" s="91"/>
      <c r="E104" s="91"/>
      <c r="F104" s="105"/>
      <c r="G104" s="105"/>
      <c r="H104" s="105"/>
    </row>
    <row r="105" spans="1:12" x14ac:dyDescent="0.25">
      <c r="A105" s="91" t="s">
        <v>50</v>
      </c>
      <c r="B105" s="91"/>
      <c r="C105" s="91"/>
      <c r="D105" s="91"/>
      <c r="E105" s="91"/>
      <c r="F105" s="105">
        <v>200000</v>
      </c>
      <c r="G105" s="105"/>
      <c r="H105" s="105"/>
    </row>
    <row r="106" spans="1:12" s="34" customFormat="1" x14ac:dyDescent="0.25">
      <c r="A106" s="151" t="s">
        <v>51</v>
      </c>
      <c r="B106" s="151"/>
      <c r="C106" s="151"/>
      <c r="D106" s="151"/>
      <c r="E106" s="151"/>
      <c r="F106" s="105">
        <f>F94*0.8</f>
        <v>4400</v>
      </c>
      <c r="G106" s="105"/>
      <c r="H106" s="105"/>
    </row>
    <row r="107" spans="1:12" s="35" customFormat="1" ht="15.75" customHeight="1" x14ac:dyDescent="0.25">
      <c r="A107" s="99" t="s">
        <v>75</v>
      </c>
      <c r="B107" s="99"/>
      <c r="C107" s="99"/>
      <c r="D107" s="99"/>
      <c r="E107" s="99"/>
      <c r="F107" s="99"/>
      <c r="G107" s="99"/>
      <c r="H107" s="99"/>
    </row>
    <row r="108" spans="1:12" s="35" customFormat="1" ht="15.75" customHeight="1" x14ac:dyDescent="0.25">
      <c r="A108" s="119" t="s">
        <v>52</v>
      </c>
      <c r="B108" s="119"/>
      <c r="C108" s="104" t="s">
        <v>78</v>
      </c>
      <c r="D108" s="104"/>
      <c r="E108" s="120" t="s">
        <v>53</v>
      </c>
      <c r="F108" s="120"/>
      <c r="G108" s="119" t="s">
        <v>54</v>
      </c>
      <c r="H108" s="119"/>
      <c r="J108" s="35" t="s">
        <v>227</v>
      </c>
    </row>
    <row r="109" spans="1:12" s="35" customFormat="1" x14ac:dyDescent="0.25">
      <c r="A109" s="80" t="s">
        <v>192</v>
      </c>
      <c r="B109" s="50" t="s">
        <v>187</v>
      </c>
      <c r="C109" s="95">
        <f>COUNT(D122:D149)</f>
        <v>28</v>
      </c>
      <c r="D109" s="96"/>
      <c r="E109" s="97">
        <f>SUM(D122:D149)</f>
        <v>10059.765299999999</v>
      </c>
      <c r="F109" s="98"/>
      <c r="G109" s="97">
        <f>SUM(F122:F149)</f>
        <v>22025</v>
      </c>
      <c r="H109" s="98"/>
      <c r="J109" s="35" t="s">
        <v>229</v>
      </c>
      <c r="K109" s="35" t="s">
        <v>232</v>
      </c>
      <c r="L109" s="35" t="s">
        <v>234</v>
      </c>
    </row>
    <row r="110" spans="1:12" s="35" customFormat="1" x14ac:dyDescent="0.25">
      <c r="A110" s="81"/>
      <c r="B110" s="50" t="s">
        <v>190</v>
      </c>
      <c r="C110" s="95">
        <f>COUNT(D151:D168)</f>
        <v>18</v>
      </c>
      <c r="D110" s="96"/>
      <c r="E110" s="97">
        <f>SUM(D151:D168)</f>
        <v>5693.7146759999996</v>
      </c>
      <c r="F110" s="98"/>
      <c r="G110" s="97">
        <f>SUM(F151:F168)</f>
        <v>12241.4865534</v>
      </c>
      <c r="H110" s="98"/>
      <c r="I110" s="35" t="s">
        <v>228</v>
      </c>
      <c r="J110" s="35">
        <v>12000</v>
      </c>
    </row>
    <row r="111" spans="1:12" s="35" customFormat="1" x14ac:dyDescent="0.25">
      <c r="A111" s="99" t="s">
        <v>154</v>
      </c>
      <c r="B111" s="99"/>
      <c r="C111" s="100">
        <f>SUM(C109:C110)</f>
        <v>46</v>
      </c>
      <c r="D111" s="101"/>
      <c r="E111" s="94">
        <f>SUM(E109:E110)</f>
        <v>15753.479975999999</v>
      </c>
      <c r="F111" s="102"/>
      <c r="G111" s="94">
        <f>SUM(G109:G110)</f>
        <v>34266.486553399998</v>
      </c>
      <c r="H111" s="94"/>
      <c r="I111" s="35" t="s">
        <v>231</v>
      </c>
    </row>
    <row r="112" spans="1:12" s="35" customFormat="1" x14ac:dyDescent="0.25">
      <c r="A112" s="99" t="s">
        <v>70</v>
      </c>
      <c r="B112" s="99"/>
      <c r="C112" s="99"/>
      <c r="D112" s="99"/>
      <c r="E112" s="99"/>
      <c r="F112" s="99"/>
      <c r="G112" s="99"/>
      <c r="H112" s="99"/>
      <c r="I112" s="35" t="s">
        <v>230</v>
      </c>
      <c r="J112" s="35">
        <v>8000</v>
      </c>
      <c r="K112" s="35">
        <v>4200</v>
      </c>
      <c r="L112" s="35">
        <v>4200</v>
      </c>
    </row>
    <row r="113" spans="1:14" s="35" customFormat="1" ht="15.75" customHeight="1" x14ac:dyDescent="0.25">
      <c r="A113" s="119" t="s">
        <v>52</v>
      </c>
      <c r="B113" s="119"/>
      <c r="C113" s="104" t="s">
        <v>78</v>
      </c>
      <c r="D113" s="104"/>
      <c r="E113" s="120" t="s">
        <v>53</v>
      </c>
      <c r="F113" s="120"/>
      <c r="G113" s="119" t="s">
        <v>54</v>
      </c>
      <c r="H113" s="119"/>
    </row>
    <row r="114" spans="1:14" s="35" customFormat="1" x14ac:dyDescent="0.25">
      <c r="A114" s="103" t="s">
        <v>192</v>
      </c>
      <c r="B114" s="103"/>
      <c r="C114" s="95">
        <f>COUNT(D173:D182)+COUNT(D184:D193)*2+COUNT(D195:D204)*2+COUNT(D206:D215)</f>
        <v>60</v>
      </c>
      <c r="D114" s="95"/>
      <c r="E114" s="97">
        <f>SUM(D173:D182)+SUM(D184:D193)*2+SUM(D195:D204)*2+SUM(D206:D215)</f>
        <v>34016.971364999998</v>
      </c>
      <c r="F114" s="97"/>
      <c r="G114" s="97">
        <f>SUM(F173:F182)+SUM(F184:F193)*2+SUM(F195:F204)*2+SUM(F206:F215)</f>
        <v>57495</v>
      </c>
      <c r="H114" s="97"/>
    </row>
    <row r="115" spans="1:14" s="35" customFormat="1" x14ac:dyDescent="0.25">
      <c r="A115" s="103" t="s">
        <v>193</v>
      </c>
      <c r="B115" s="103"/>
      <c r="C115" s="95">
        <f>COUNT(D219:D226)+COUNT(D228:D239)+COUNT(D241:D252)*2+COUNT(D254:D265)*2+COUNT(D267:D278)</f>
        <v>80</v>
      </c>
      <c r="D115" s="95"/>
      <c r="E115" s="97">
        <f>SUM(D219:D226)+SUM(D228:D239)+SUM(D241:D252)*2+SUM(D254:D265)*2+SUM(D267:D278)</f>
        <v>31884.448049999992</v>
      </c>
      <c r="F115" s="97"/>
      <c r="G115" s="97">
        <f>SUM(F219:F226)+SUM(F228:F239)+SUM(F241:F252)*2+SUM(F254:F265)*2+SUM(F267:F278)</f>
        <v>52760</v>
      </c>
      <c r="H115" s="97"/>
    </row>
    <row r="116" spans="1:14" s="35" customFormat="1" x14ac:dyDescent="0.25">
      <c r="A116" s="99" t="s">
        <v>154</v>
      </c>
      <c r="B116" s="99"/>
      <c r="C116" s="100">
        <f>SUM(C114:C115)</f>
        <v>140</v>
      </c>
      <c r="D116" s="101"/>
      <c r="E116" s="94">
        <f>SUM(E114:E115)</f>
        <v>65901.419414999982</v>
      </c>
      <c r="F116" s="102"/>
      <c r="G116" s="94">
        <f>SUM(G114:G115)</f>
        <v>110255</v>
      </c>
      <c r="H116" s="94"/>
    </row>
    <row r="117" spans="1:14" s="34" customFormat="1" x14ac:dyDescent="0.25">
      <c r="A117" s="177" t="s">
        <v>55</v>
      </c>
      <c r="B117" s="177"/>
      <c r="C117" s="177"/>
      <c r="D117" s="177"/>
      <c r="E117" s="177"/>
      <c r="F117" s="177"/>
      <c r="G117" s="177"/>
      <c r="H117" s="177"/>
    </row>
    <row r="118" spans="1:14" x14ac:dyDescent="0.25">
      <c r="A118" s="177" t="s">
        <v>56</v>
      </c>
      <c r="B118" s="177"/>
      <c r="C118" s="177"/>
      <c r="D118" s="177"/>
      <c r="E118" s="177"/>
      <c r="F118" s="177"/>
      <c r="G118" s="177"/>
      <c r="H118" s="177"/>
    </row>
    <row r="119" spans="1:14" ht="47.25" customHeight="1" x14ac:dyDescent="0.25">
      <c r="A119" s="49" t="s">
        <v>122</v>
      </c>
      <c r="B119" s="49" t="s">
        <v>121</v>
      </c>
      <c r="C119" s="49" t="s">
        <v>57</v>
      </c>
      <c r="D119" s="49" t="s">
        <v>58</v>
      </c>
      <c r="E119" s="52" t="s">
        <v>160</v>
      </c>
      <c r="F119" s="49" t="s">
        <v>226</v>
      </c>
      <c r="G119" s="116" t="s">
        <v>60</v>
      </c>
      <c r="H119" s="117"/>
    </row>
    <row r="120" spans="1:14" s="46" customFormat="1" ht="15.75" customHeight="1" x14ac:dyDescent="0.25">
      <c r="A120" s="84" t="s">
        <v>188</v>
      </c>
      <c r="B120" s="85"/>
      <c r="C120" s="85"/>
      <c r="D120" s="85"/>
      <c r="E120" s="85"/>
      <c r="F120" s="85"/>
      <c r="G120" s="85"/>
      <c r="H120" s="86"/>
      <c r="J120" s="36"/>
    </row>
    <row r="121" spans="1:14" s="46" customFormat="1" ht="15.75" customHeight="1" x14ac:dyDescent="0.25">
      <c r="A121" s="84" t="s">
        <v>223</v>
      </c>
      <c r="B121" s="85"/>
      <c r="C121" s="85"/>
      <c r="D121" s="85"/>
      <c r="E121" s="85"/>
      <c r="F121" s="85"/>
      <c r="G121" s="85"/>
      <c r="H121" s="86"/>
      <c r="J121" s="36"/>
    </row>
    <row r="122" spans="1:14" s="46" customFormat="1" x14ac:dyDescent="0.25">
      <c r="A122" s="82">
        <v>1</v>
      </c>
      <c r="B122" s="83"/>
      <c r="C122" s="48" t="s">
        <v>187</v>
      </c>
      <c r="D122" s="48">
        <f>34.805*10.764</f>
        <v>374.64101999999997</v>
      </c>
      <c r="E122" s="48">
        <v>0</v>
      </c>
      <c r="F122" s="62">
        <v>810</v>
      </c>
      <c r="G122" s="82" t="str">
        <f>A121</f>
        <v>Ground Floor For Commercial &amp; Parking</v>
      </c>
      <c r="H122" s="83"/>
      <c r="I122" s="61">
        <f>F122/D122</f>
        <v>2.1620697060882441</v>
      </c>
      <c r="K122" s="61"/>
      <c r="L122" s="87"/>
      <c r="M122" s="87"/>
      <c r="N122" s="36"/>
    </row>
    <row r="123" spans="1:14" s="46" customFormat="1" x14ac:dyDescent="0.25">
      <c r="A123" s="82">
        <f t="shared" ref="A123:A149" si="0">A122+1</f>
        <v>2</v>
      </c>
      <c r="B123" s="83"/>
      <c r="C123" s="48" t="s">
        <v>187</v>
      </c>
      <c r="D123" s="48">
        <f>26.052*10.764</f>
        <v>280.42372799999998</v>
      </c>
      <c r="E123" s="48">
        <v>0</v>
      </c>
      <c r="F123" s="62">
        <v>610</v>
      </c>
      <c r="G123" s="82" t="str">
        <f t="shared" ref="G123:G149" si="1">G122</f>
        <v>Ground Floor For Commercial &amp; Parking</v>
      </c>
      <c r="H123" s="83"/>
      <c r="I123" s="61">
        <f t="shared" ref="I123:I149" si="2">F123/D123</f>
        <v>2.1752795469575958</v>
      </c>
      <c r="K123" s="61"/>
      <c r="L123" s="87"/>
      <c r="M123" s="87"/>
      <c r="N123" s="36"/>
    </row>
    <row r="124" spans="1:14" s="46" customFormat="1" x14ac:dyDescent="0.25">
      <c r="A124" s="82">
        <f t="shared" si="0"/>
        <v>3</v>
      </c>
      <c r="B124" s="83"/>
      <c r="C124" s="48" t="s">
        <v>187</v>
      </c>
      <c r="D124" s="48">
        <f>33.381*10.764</f>
        <v>359.313084</v>
      </c>
      <c r="E124" s="48">
        <v>0</v>
      </c>
      <c r="F124" s="62">
        <v>775</v>
      </c>
      <c r="G124" s="82" t="str">
        <f t="shared" si="1"/>
        <v>Ground Floor For Commercial &amp; Parking</v>
      </c>
      <c r="H124" s="83"/>
      <c r="I124" s="61">
        <f t="shared" si="2"/>
        <v>2.1568933459712256</v>
      </c>
      <c r="K124" s="61"/>
      <c r="L124" s="87"/>
      <c r="M124" s="87"/>
      <c r="N124" s="36"/>
    </row>
    <row r="125" spans="1:14" s="46" customFormat="1" x14ac:dyDescent="0.25">
      <c r="A125" s="82">
        <f t="shared" si="0"/>
        <v>4</v>
      </c>
      <c r="B125" s="83"/>
      <c r="C125" s="48" t="s">
        <v>187</v>
      </c>
      <c r="D125" s="48">
        <f>34.5*10.764</f>
        <v>371.358</v>
      </c>
      <c r="E125" s="48">
        <v>0</v>
      </c>
      <c r="F125" s="62">
        <v>800</v>
      </c>
      <c r="G125" s="82" t="str">
        <f t="shared" si="1"/>
        <v>Ground Floor For Commercial &amp; Parking</v>
      </c>
      <c r="H125" s="83"/>
      <c r="I125" s="61">
        <f t="shared" si="2"/>
        <v>2.1542554623840067</v>
      </c>
      <c r="K125" s="61"/>
      <c r="L125" s="87"/>
      <c r="M125" s="87"/>
      <c r="N125" s="36"/>
    </row>
    <row r="126" spans="1:14" s="46" customFormat="1" x14ac:dyDescent="0.25">
      <c r="A126" s="82">
        <f t="shared" si="0"/>
        <v>5</v>
      </c>
      <c r="B126" s="83"/>
      <c r="C126" s="48" t="s">
        <v>187</v>
      </c>
      <c r="D126" s="48">
        <f>35.618*10.764</f>
        <v>383.39215200000001</v>
      </c>
      <c r="E126" s="48">
        <v>0</v>
      </c>
      <c r="F126" s="62">
        <v>825</v>
      </c>
      <c r="G126" s="82" t="str">
        <f t="shared" si="1"/>
        <v>Ground Floor For Commercial &amp; Parking</v>
      </c>
      <c r="H126" s="83"/>
      <c r="I126" s="61">
        <f t="shared" si="2"/>
        <v>2.1518437341409116</v>
      </c>
      <c r="K126" s="61"/>
      <c r="L126" s="87"/>
      <c r="M126" s="87"/>
      <c r="N126" s="36"/>
    </row>
    <row r="127" spans="1:14" s="46" customFormat="1" x14ac:dyDescent="0.25">
      <c r="A127" s="82">
        <f t="shared" si="0"/>
        <v>6</v>
      </c>
      <c r="B127" s="83"/>
      <c r="C127" s="48" t="s">
        <v>187</v>
      </c>
      <c r="D127" s="48">
        <f>32.199*10.764</f>
        <v>346.59003599999994</v>
      </c>
      <c r="E127" s="48">
        <v>0</v>
      </c>
      <c r="F127" s="62">
        <v>745</v>
      </c>
      <c r="G127" s="82" t="str">
        <f t="shared" si="1"/>
        <v>Ground Floor For Commercial &amp; Parking</v>
      </c>
      <c r="H127" s="83"/>
      <c r="I127" s="61">
        <f t="shared" si="2"/>
        <v>2.149513611522289</v>
      </c>
      <c r="K127" s="61"/>
      <c r="L127" s="87"/>
      <c r="M127" s="87"/>
      <c r="N127" s="36"/>
    </row>
    <row r="128" spans="1:14" s="46" customFormat="1" x14ac:dyDescent="0.25">
      <c r="A128" s="82">
        <f t="shared" si="0"/>
        <v>7</v>
      </c>
      <c r="B128" s="83"/>
      <c r="C128" s="48" t="s">
        <v>187</v>
      </c>
      <c r="D128" s="48">
        <f>33.066*10.764</f>
        <v>355.92242399999998</v>
      </c>
      <c r="E128" s="48">
        <v>0</v>
      </c>
      <c r="F128" s="62">
        <v>765</v>
      </c>
      <c r="G128" s="82" t="str">
        <f t="shared" si="1"/>
        <v>Ground Floor For Commercial &amp; Parking</v>
      </c>
      <c r="H128" s="83"/>
      <c r="I128" s="61">
        <f t="shared" si="2"/>
        <v>2.1493447684543754</v>
      </c>
      <c r="K128" s="61"/>
      <c r="L128" s="87"/>
      <c r="M128" s="87"/>
      <c r="N128" s="36"/>
    </row>
    <row r="129" spans="1:14" s="46" customFormat="1" x14ac:dyDescent="0.25">
      <c r="A129" s="82">
        <f t="shared" si="0"/>
        <v>8</v>
      </c>
      <c r="B129" s="83"/>
      <c r="C129" s="48" t="s">
        <v>187</v>
      </c>
      <c r="D129" s="48">
        <f>27.903*10.764</f>
        <v>300.34789199999994</v>
      </c>
      <c r="E129" s="48">
        <v>0</v>
      </c>
      <c r="F129" s="62">
        <v>650</v>
      </c>
      <c r="G129" s="82" t="str">
        <f t="shared" si="1"/>
        <v>Ground Floor For Commercial &amp; Parking</v>
      </c>
      <c r="H129" s="83"/>
      <c r="I129" s="61">
        <f t="shared" si="2"/>
        <v>2.1641570236158012</v>
      </c>
      <c r="K129" s="61"/>
      <c r="L129" s="87"/>
      <c r="M129" s="87"/>
      <c r="N129" s="36"/>
    </row>
    <row r="130" spans="1:14" s="46" customFormat="1" ht="15" customHeight="1" x14ac:dyDescent="0.25">
      <c r="A130" s="82">
        <f t="shared" si="0"/>
        <v>9</v>
      </c>
      <c r="B130" s="83"/>
      <c r="C130" s="48" t="s">
        <v>187</v>
      </c>
      <c r="D130" s="48">
        <f>29.585*10.764</f>
        <v>318.45294000000001</v>
      </c>
      <c r="E130" s="48">
        <v>0</v>
      </c>
      <c r="F130" s="62">
        <v>685</v>
      </c>
      <c r="G130" s="82" t="str">
        <f t="shared" si="1"/>
        <v>Ground Floor For Commercial &amp; Parking</v>
      </c>
      <c r="H130" s="83"/>
      <c r="I130" s="61">
        <f t="shared" si="2"/>
        <v>2.1510242612299324</v>
      </c>
      <c r="K130" s="61"/>
      <c r="L130" s="87"/>
      <c r="M130" s="87"/>
      <c r="N130" s="36"/>
    </row>
    <row r="131" spans="1:14" s="46" customFormat="1" x14ac:dyDescent="0.25">
      <c r="A131" s="82">
        <f t="shared" si="0"/>
        <v>10</v>
      </c>
      <c r="B131" s="83"/>
      <c r="C131" s="48" t="s">
        <v>187</v>
      </c>
      <c r="D131" s="48">
        <f>30.423*10.764</f>
        <v>327.47317199999998</v>
      </c>
      <c r="E131" s="48">
        <v>0</v>
      </c>
      <c r="F131" s="62">
        <v>705</v>
      </c>
      <c r="G131" s="82" t="str">
        <f t="shared" si="1"/>
        <v>Ground Floor For Commercial &amp; Parking</v>
      </c>
      <c r="H131" s="83"/>
      <c r="I131" s="61">
        <f t="shared" si="2"/>
        <v>2.1528481117836429</v>
      </c>
      <c r="K131" s="61"/>
      <c r="L131" s="87"/>
      <c r="M131" s="87"/>
      <c r="N131" s="36"/>
    </row>
    <row r="132" spans="1:14" s="46" customFormat="1" x14ac:dyDescent="0.25">
      <c r="A132" s="82">
        <f t="shared" si="0"/>
        <v>11</v>
      </c>
      <c r="B132" s="83"/>
      <c r="C132" s="48" t="s">
        <v>187</v>
      </c>
      <c r="D132" s="48">
        <f>31.29*10.764</f>
        <v>336.80555999999996</v>
      </c>
      <c r="E132" s="48">
        <v>0</v>
      </c>
      <c r="F132" s="62">
        <v>725</v>
      </c>
      <c r="G132" s="82" t="str">
        <f t="shared" si="1"/>
        <v>Ground Floor For Commercial &amp; Parking</v>
      </c>
      <c r="H132" s="83"/>
      <c r="I132" s="61">
        <f t="shared" si="2"/>
        <v>2.1525772911824856</v>
      </c>
      <c r="K132" s="61"/>
      <c r="L132" s="87"/>
      <c r="M132" s="87"/>
      <c r="N132" s="36"/>
    </row>
    <row r="133" spans="1:14" s="46" customFormat="1" x14ac:dyDescent="0.25">
      <c r="A133" s="82">
        <f t="shared" si="0"/>
        <v>12</v>
      </c>
      <c r="B133" s="83"/>
      <c r="C133" s="48" t="s">
        <v>187</v>
      </c>
      <c r="D133" s="48">
        <f>53.502*10.764</f>
        <v>575.89552800000001</v>
      </c>
      <c r="E133" s="48">
        <v>0</v>
      </c>
      <c r="F133" s="62">
        <v>1235</v>
      </c>
      <c r="G133" s="82" t="str">
        <f t="shared" si="1"/>
        <v>Ground Floor For Commercial &amp; Parking</v>
      </c>
      <c r="H133" s="83"/>
      <c r="I133" s="61">
        <f t="shared" si="2"/>
        <v>2.14448617840283</v>
      </c>
      <c r="K133" s="61"/>
      <c r="L133" s="87"/>
      <c r="M133" s="87"/>
      <c r="N133" s="36"/>
    </row>
    <row r="134" spans="1:14" s="46" customFormat="1" x14ac:dyDescent="0.25">
      <c r="A134" s="82">
        <f t="shared" si="0"/>
        <v>13</v>
      </c>
      <c r="B134" s="83"/>
      <c r="C134" s="48" t="s">
        <v>187</v>
      </c>
      <c r="D134" s="48">
        <f>59.454*10.764</f>
        <v>639.96285599999999</v>
      </c>
      <c r="E134" s="48">
        <v>0</v>
      </c>
      <c r="F134" s="62">
        <v>1595</v>
      </c>
      <c r="G134" s="82" t="str">
        <f t="shared" si="1"/>
        <v>Ground Floor For Commercial &amp; Parking</v>
      </c>
      <c r="H134" s="83"/>
      <c r="I134" s="61">
        <f t="shared" si="2"/>
        <v>2.492332148727082</v>
      </c>
      <c r="K134" s="61"/>
      <c r="L134" s="87"/>
      <c r="M134" s="87"/>
      <c r="N134" s="36"/>
    </row>
    <row r="135" spans="1:14" s="46" customFormat="1" x14ac:dyDescent="0.25">
      <c r="A135" s="82">
        <f t="shared" si="0"/>
        <v>14</v>
      </c>
      <c r="B135" s="83"/>
      <c r="C135" s="48" t="s">
        <v>187</v>
      </c>
      <c r="D135" s="48">
        <f>38.959*10.764</f>
        <v>419.35467599999998</v>
      </c>
      <c r="E135" s="48">
        <v>0</v>
      </c>
      <c r="F135" s="62">
        <v>955</v>
      </c>
      <c r="G135" s="82" t="str">
        <f t="shared" si="1"/>
        <v>Ground Floor For Commercial &amp; Parking</v>
      </c>
      <c r="H135" s="83"/>
      <c r="I135" s="61">
        <f t="shared" si="2"/>
        <v>2.2773085759034197</v>
      </c>
      <c r="K135" s="61"/>
      <c r="L135" s="87"/>
      <c r="M135" s="87"/>
      <c r="N135" s="36"/>
    </row>
    <row r="136" spans="1:14" s="46" customFormat="1" x14ac:dyDescent="0.25">
      <c r="A136" s="82">
        <f t="shared" si="0"/>
        <v>15</v>
      </c>
      <c r="B136" s="83"/>
      <c r="C136" s="48" t="s">
        <v>187</v>
      </c>
      <c r="D136" s="48">
        <f>26.55*10.764</f>
        <v>285.7842</v>
      </c>
      <c r="E136" s="48">
        <v>0</v>
      </c>
      <c r="F136" s="62">
        <v>600</v>
      </c>
      <c r="G136" s="82" t="str">
        <f t="shared" si="1"/>
        <v>Ground Floor For Commercial &amp; Parking</v>
      </c>
      <c r="H136" s="83"/>
      <c r="I136" s="61">
        <f t="shared" si="2"/>
        <v>2.0994862557132268</v>
      </c>
      <c r="K136" s="61"/>
      <c r="L136" s="87"/>
      <c r="M136" s="87"/>
      <c r="N136" s="36"/>
    </row>
    <row r="137" spans="1:14" s="46" customFormat="1" x14ac:dyDescent="0.25">
      <c r="A137" s="82">
        <f t="shared" si="0"/>
        <v>16</v>
      </c>
      <c r="B137" s="83"/>
      <c r="C137" s="48" t="s">
        <v>187</v>
      </c>
      <c r="D137" s="48">
        <f>26.576*10.764</f>
        <v>286.06406399999997</v>
      </c>
      <c r="E137" s="48">
        <v>0</v>
      </c>
      <c r="F137" s="62">
        <v>630</v>
      </c>
      <c r="G137" s="82" t="str">
        <f t="shared" si="1"/>
        <v>Ground Floor For Commercial &amp; Parking</v>
      </c>
      <c r="H137" s="83"/>
      <c r="I137" s="61">
        <f t="shared" si="2"/>
        <v>2.2023038867265763</v>
      </c>
      <c r="K137" s="61"/>
      <c r="L137" s="87"/>
      <c r="M137" s="87"/>
      <c r="N137" s="36"/>
    </row>
    <row r="138" spans="1:14" s="46" customFormat="1" x14ac:dyDescent="0.25">
      <c r="A138" s="82">
        <f t="shared" si="0"/>
        <v>17</v>
      </c>
      <c r="B138" s="83"/>
      <c r="C138" s="48" t="s">
        <v>187</v>
      </c>
      <c r="D138" s="48">
        <f>22.126*10.764</f>
        <v>238.164264</v>
      </c>
      <c r="E138" s="48">
        <v>0</v>
      </c>
      <c r="F138" s="62">
        <v>525</v>
      </c>
      <c r="G138" s="82" t="str">
        <f t="shared" si="1"/>
        <v>Ground Floor For Commercial &amp; Parking</v>
      </c>
      <c r="H138" s="83"/>
      <c r="I138" s="61">
        <f t="shared" si="2"/>
        <v>2.2043609363661711</v>
      </c>
      <c r="K138" s="61"/>
      <c r="L138" s="87"/>
      <c r="M138" s="87"/>
      <c r="N138" s="36"/>
    </row>
    <row r="139" spans="1:14" s="46" customFormat="1" x14ac:dyDescent="0.25">
      <c r="A139" s="82">
        <f t="shared" si="0"/>
        <v>18</v>
      </c>
      <c r="B139" s="83"/>
      <c r="C139" s="48" t="s">
        <v>187</v>
      </c>
      <c r="D139" s="48">
        <f>21.761*10.764</f>
        <v>234.23540399999999</v>
      </c>
      <c r="E139" s="48">
        <v>0</v>
      </c>
      <c r="F139" s="62">
        <v>515</v>
      </c>
      <c r="G139" s="82" t="str">
        <f t="shared" si="1"/>
        <v>Ground Floor For Commercial &amp; Parking</v>
      </c>
      <c r="H139" s="83"/>
      <c r="I139" s="61">
        <f t="shared" si="2"/>
        <v>2.1986428661313728</v>
      </c>
      <c r="K139" s="61"/>
      <c r="L139" s="87"/>
      <c r="M139" s="87"/>
      <c r="N139" s="36"/>
    </row>
    <row r="140" spans="1:14" s="46" customFormat="1" x14ac:dyDescent="0.25">
      <c r="A140" s="82">
        <f t="shared" si="0"/>
        <v>19</v>
      </c>
      <c r="B140" s="83"/>
      <c r="C140" s="48" t="s">
        <v>187</v>
      </c>
      <c r="D140" s="48">
        <f>39.529*10.764</f>
        <v>425.49015600000001</v>
      </c>
      <c r="E140" s="48">
        <v>0</v>
      </c>
      <c r="F140" s="62">
        <v>900</v>
      </c>
      <c r="G140" s="82" t="str">
        <f t="shared" si="1"/>
        <v>Ground Floor For Commercial &amp; Parking</v>
      </c>
      <c r="H140" s="83"/>
      <c r="I140" s="61">
        <f t="shared" si="2"/>
        <v>2.1152075725107964</v>
      </c>
      <c r="K140" s="61"/>
      <c r="L140" s="87"/>
      <c r="M140" s="87"/>
      <c r="N140" s="36"/>
    </row>
    <row r="141" spans="1:14" s="46" customFormat="1" x14ac:dyDescent="0.25">
      <c r="A141" s="82">
        <f t="shared" si="0"/>
        <v>20</v>
      </c>
      <c r="B141" s="83"/>
      <c r="C141" s="48" t="s">
        <v>187</v>
      </c>
      <c r="D141" s="48">
        <f>39.422*10.764</f>
        <v>424.33840799999996</v>
      </c>
      <c r="E141" s="48">
        <v>0</v>
      </c>
      <c r="F141" s="62">
        <v>895</v>
      </c>
      <c r="G141" s="82" t="str">
        <f t="shared" si="1"/>
        <v>Ground Floor For Commercial &amp; Parking</v>
      </c>
      <c r="H141" s="83"/>
      <c r="I141" s="61">
        <f t="shared" si="2"/>
        <v>2.1091656638349834</v>
      </c>
      <c r="K141" s="61"/>
      <c r="L141" s="87"/>
      <c r="M141" s="87"/>
      <c r="N141" s="36"/>
    </row>
    <row r="142" spans="1:14" s="46" customFormat="1" x14ac:dyDescent="0.25">
      <c r="A142" s="82">
        <f t="shared" si="0"/>
        <v>21</v>
      </c>
      <c r="B142" s="83"/>
      <c r="C142" s="48" t="s">
        <v>187</v>
      </c>
      <c r="D142" s="48">
        <f>26.399*10.764</f>
        <v>284.15883600000001</v>
      </c>
      <c r="E142" s="48">
        <v>0</v>
      </c>
      <c r="F142" s="62">
        <v>625</v>
      </c>
      <c r="G142" s="82" t="str">
        <f t="shared" si="1"/>
        <v>Ground Floor For Commercial &amp; Parking</v>
      </c>
      <c r="H142" s="83"/>
      <c r="I142" s="61">
        <f t="shared" si="2"/>
        <v>2.1994740997601778</v>
      </c>
      <c r="K142" s="61"/>
      <c r="L142" s="87"/>
      <c r="M142" s="87"/>
      <c r="N142" s="36"/>
    </row>
    <row r="143" spans="1:14" s="46" customFormat="1" x14ac:dyDescent="0.25">
      <c r="A143" s="82">
        <f t="shared" si="0"/>
        <v>22</v>
      </c>
      <c r="B143" s="83"/>
      <c r="C143" s="48" t="s">
        <v>187</v>
      </c>
      <c r="D143" s="48">
        <f>26.399*10.764</f>
        <v>284.15883600000001</v>
      </c>
      <c r="E143" s="48">
        <v>0</v>
      </c>
      <c r="F143" s="62">
        <v>625</v>
      </c>
      <c r="G143" s="82" t="str">
        <f t="shared" si="1"/>
        <v>Ground Floor For Commercial &amp; Parking</v>
      </c>
      <c r="H143" s="83"/>
      <c r="I143" s="61">
        <f t="shared" si="2"/>
        <v>2.1994740997601778</v>
      </c>
      <c r="K143" s="61"/>
      <c r="L143" s="87"/>
      <c r="M143" s="87"/>
      <c r="N143" s="36"/>
    </row>
    <row r="144" spans="1:14" s="46" customFormat="1" x14ac:dyDescent="0.25">
      <c r="A144" s="82">
        <f t="shared" si="0"/>
        <v>23</v>
      </c>
      <c r="B144" s="83"/>
      <c r="C144" s="48" t="s">
        <v>187</v>
      </c>
      <c r="D144" s="48">
        <f>26.399*10.764</f>
        <v>284.15883600000001</v>
      </c>
      <c r="E144" s="48">
        <v>0</v>
      </c>
      <c r="F144" s="62">
        <v>625</v>
      </c>
      <c r="G144" s="82" t="str">
        <f t="shared" si="1"/>
        <v>Ground Floor For Commercial &amp; Parking</v>
      </c>
      <c r="H144" s="83"/>
      <c r="I144" s="61">
        <f t="shared" si="2"/>
        <v>2.1994740997601778</v>
      </c>
      <c r="K144" s="61"/>
      <c r="L144" s="87"/>
      <c r="M144" s="87"/>
      <c r="N144" s="36"/>
    </row>
    <row r="145" spans="1:14" s="46" customFormat="1" x14ac:dyDescent="0.25">
      <c r="A145" s="82">
        <f t="shared" si="0"/>
        <v>24</v>
      </c>
      <c r="B145" s="83"/>
      <c r="C145" s="48" t="s">
        <v>187</v>
      </c>
      <c r="D145" s="48">
        <f>47.653*10.764</f>
        <v>512.93689199999994</v>
      </c>
      <c r="E145" s="48">
        <v>0</v>
      </c>
      <c r="F145" s="62">
        <v>1165</v>
      </c>
      <c r="G145" s="82" t="str">
        <f t="shared" si="1"/>
        <v>Ground Floor For Commercial &amp; Parking</v>
      </c>
      <c r="H145" s="83"/>
      <c r="I145" s="61">
        <f t="shared" si="2"/>
        <v>2.2712345673900174</v>
      </c>
      <c r="K145" s="61"/>
      <c r="L145" s="87"/>
      <c r="M145" s="87"/>
      <c r="N145" s="36"/>
    </row>
    <row r="146" spans="1:14" s="46" customFormat="1" x14ac:dyDescent="0.25">
      <c r="A146" s="82">
        <f t="shared" si="0"/>
        <v>25</v>
      </c>
      <c r="B146" s="83"/>
      <c r="C146" s="48" t="s">
        <v>187</v>
      </c>
      <c r="D146" s="48">
        <f>32.756*10.764</f>
        <v>352.58558399999998</v>
      </c>
      <c r="E146" s="48">
        <v>0</v>
      </c>
      <c r="F146" s="62">
        <v>760</v>
      </c>
      <c r="G146" s="82" t="str">
        <f t="shared" si="1"/>
        <v>Ground Floor For Commercial &amp; Parking</v>
      </c>
      <c r="H146" s="83"/>
      <c r="I146" s="61">
        <f t="shared" si="2"/>
        <v>2.1555050305176402</v>
      </c>
      <c r="K146" s="61"/>
      <c r="L146" s="87"/>
      <c r="M146" s="87"/>
      <c r="N146" s="36"/>
    </row>
    <row r="147" spans="1:14" s="46" customFormat="1" x14ac:dyDescent="0.25">
      <c r="A147" s="82">
        <f t="shared" si="0"/>
        <v>26</v>
      </c>
      <c r="B147" s="83"/>
      <c r="C147" s="48" t="s">
        <v>187</v>
      </c>
      <c r="D147" s="48">
        <f>32.756*10.764</f>
        <v>352.58558399999998</v>
      </c>
      <c r="E147" s="48">
        <v>0</v>
      </c>
      <c r="F147" s="62">
        <v>760</v>
      </c>
      <c r="G147" s="82" t="str">
        <f t="shared" si="1"/>
        <v>Ground Floor For Commercial &amp; Parking</v>
      </c>
      <c r="H147" s="83"/>
      <c r="I147" s="61">
        <f t="shared" si="2"/>
        <v>2.1555050305176402</v>
      </c>
      <c r="K147" s="61"/>
      <c r="L147" s="87"/>
      <c r="M147" s="87"/>
      <c r="N147" s="36"/>
    </row>
    <row r="148" spans="1:14" s="46" customFormat="1" x14ac:dyDescent="0.25">
      <c r="A148" s="82">
        <f t="shared" si="0"/>
        <v>27</v>
      </c>
      <c r="B148" s="83"/>
      <c r="C148" s="48" t="s">
        <v>187</v>
      </c>
      <c r="D148" s="48">
        <f>32.756*10.764</f>
        <v>352.58558399999998</v>
      </c>
      <c r="E148" s="48">
        <v>0</v>
      </c>
      <c r="F148" s="62">
        <v>760</v>
      </c>
      <c r="G148" s="82" t="str">
        <f t="shared" si="1"/>
        <v>Ground Floor For Commercial &amp; Parking</v>
      </c>
      <c r="H148" s="83"/>
      <c r="I148" s="61">
        <f t="shared" si="2"/>
        <v>2.1555050305176402</v>
      </c>
      <c r="K148" s="61"/>
      <c r="L148" s="87"/>
      <c r="M148" s="87"/>
      <c r="N148" s="36"/>
    </row>
    <row r="149" spans="1:14" s="46" customFormat="1" x14ac:dyDescent="0.25">
      <c r="A149" s="82">
        <f t="shared" si="0"/>
        <v>28</v>
      </c>
      <c r="B149" s="83"/>
      <c r="C149" s="48" t="s">
        <v>187</v>
      </c>
      <c r="D149" s="48">
        <f>32.756*10.764</f>
        <v>352.58558399999998</v>
      </c>
      <c r="E149" s="48">
        <v>0</v>
      </c>
      <c r="F149" s="62">
        <v>760</v>
      </c>
      <c r="G149" s="82" t="str">
        <f t="shared" si="1"/>
        <v>Ground Floor For Commercial &amp; Parking</v>
      </c>
      <c r="H149" s="83"/>
      <c r="I149" s="61">
        <f t="shared" si="2"/>
        <v>2.1555050305176402</v>
      </c>
      <c r="K149" s="61"/>
      <c r="L149" s="87"/>
      <c r="M149" s="87"/>
      <c r="N149" s="36"/>
    </row>
    <row r="150" spans="1:14" s="46" customFormat="1" ht="15.75" customHeight="1" x14ac:dyDescent="0.25">
      <c r="A150" s="84" t="s">
        <v>189</v>
      </c>
      <c r="B150" s="85"/>
      <c r="C150" s="85"/>
      <c r="D150" s="85"/>
      <c r="E150" s="85"/>
      <c r="F150" s="85"/>
      <c r="G150" s="85"/>
      <c r="H150" s="86"/>
      <c r="J150" s="36"/>
    </row>
    <row r="151" spans="1:14" s="46" customFormat="1" x14ac:dyDescent="0.25">
      <c r="A151" s="82">
        <v>1</v>
      </c>
      <c r="B151" s="83"/>
      <c r="C151" s="48" t="s">
        <v>190</v>
      </c>
      <c r="D151" s="48">
        <f>21.524*10.764</f>
        <v>231.684336</v>
      </c>
      <c r="E151" s="48">
        <v>0</v>
      </c>
      <c r="F151" s="48">
        <f>D151*2.15+E151</f>
        <v>498.1213224</v>
      </c>
      <c r="G151" s="82" t="str">
        <f>A150</f>
        <v>1st Floor For Commercial</v>
      </c>
      <c r="H151" s="83"/>
      <c r="I151" s="36"/>
      <c r="L151" s="87"/>
      <c r="M151" s="87"/>
      <c r="N151" s="36"/>
    </row>
    <row r="152" spans="1:14" s="46" customFormat="1" x14ac:dyDescent="0.25">
      <c r="A152" s="82">
        <f t="shared" ref="A152:A168" si="3">A151+1</f>
        <v>2</v>
      </c>
      <c r="B152" s="83"/>
      <c r="C152" s="48" t="s">
        <v>190</v>
      </c>
      <c r="D152" s="48">
        <f>21.994*10.764</f>
        <v>236.743416</v>
      </c>
      <c r="E152" s="48">
        <v>0</v>
      </c>
      <c r="F152" s="48">
        <f t="shared" ref="F152:F168" si="4">D152*2.15+E152</f>
        <v>508.99834439999995</v>
      </c>
      <c r="G152" s="82" t="str">
        <f t="shared" ref="G152:G168" si="5">G151</f>
        <v>1st Floor For Commercial</v>
      </c>
      <c r="H152" s="83"/>
      <c r="I152" s="36"/>
      <c r="L152" s="87"/>
      <c r="M152" s="87"/>
      <c r="N152" s="36"/>
    </row>
    <row r="153" spans="1:14" s="46" customFormat="1" x14ac:dyDescent="0.25">
      <c r="A153" s="82">
        <f t="shared" si="3"/>
        <v>3</v>
      </c>
      <c r="B153" s="83"/>
      <c r="C153" s="48" t="s">
        <v>190</v>
      </c>
      <c r="D153" s="48">
        <f>26.26*10.764</f>
        <v>282.66264000000001</v>
      </c>
      <c r="E153" s="48">
        <v>0</v>
      </c>
      <c r="F153" s="48">
        <f t="shared" si="4"/>
        <v>607.72467600000004</v>
      </c>
      <c r="G153" s="82" t="str">
        <f t="shared" si="5"/>
        <v>1st Floor For Commercial</v>
      </c>
      <c r="H153" s="83"/>
      <c r="I153" s="36"/>
      <c r="L153" s="87"/>
      <c r="M153" s="87"/>
      <c r="N153" s="36"/>
    </row>
    <row r="154" spans="1:14" s="46" customFormat="1" x14ac:dyDescent="0.25">
      <c r="A154" s="82">
        <f t="shared" si="3"/>
        <v>4</v>
      </c>
      <c r="B154" s="83"/>
      <c r="C154" s="48" t="s">
        <v>190</v>
      </c>
      <c r="D154" s="48">
        <f>26.24*10.764</f>
        <v>282.44735999999995</v>
      </c>
      <c r="E154" s="48">
        <v>0</v>
      </c>
      <c r="F154" s="48">
        <f t="shared" si="4"/>
        <v>607.26182399999982</v>
      </c>
      <c r="G154" s="82" t="str">
        <f t="shared" si="5"/>
        <v>1st Floor For Commercial</v>
      </c>
      <c r="H154" s="83"/>
      <c r="I154" s="36"/>
      <c r="L154" s="87"/>
      <c r="M154" s="87"/>
      <c r="N154" s="36"/>
    </row>
    <row r="155" spans="1:14" s="46" customFormat="1" x14ac:dyDescent="0.25">
      <c r="A155" s="82">
        <f t="shared" si="3"/>
        <v>5</v>
      </c>
      <c r="B155" s="83"/>
      <c r="C155" s="48" t="s">
        <v>190</v>
      </c>
      <c r="D155" s="48">
        <f>38.066*10.764</f>
        <v>409.74242400000003</v>
      </c>
      <c r="E155" s="48">
        <v>0</v>
      </c>
      <c r="F155" s="48">
        <f t="shared" si="4"/>
        <v>880.94621159999997</v>
      </c>
      <c r="G155" s="82" t="str">
        <f t="shared" si="5"/>
        <v>1st Floor For Commercial</v>
      </c>
      <c r="H155" s="83"/>
      <c r="I155" s="36"/>
      <c r="L155" s="87"/>
      <c r="M155" s="87"/>
      <c r="N155" s="36"/>
    </row>
    <row r="156" spans="1:14" s="46" customFormat="1" x14ac:dyDescent="0.25">
      <c r="A156" s="82">
        <f t="shared" si="3"/>
        <v>6</v>
      </c>
      <c r="B156" s="83"/>
      <c r="C156" s="48" t="s">
        <v>190</v>
      </c>
      <c r="D156" s="48">
        <f>56.901*10.764</f>
        <v>612.48236399999996</v>
      </c>
      <c r="E156" s="48">
        <v>0</v>
      </c>
      <c r="F156" s="48">
        <f t="shared" si="4"/>
        <v>1316.8370825999998</v>
      </c>
      <c r="G156" s="82" t="str">
        <f t="shared" si="5"/>
        <v>1st Floor For Commercial</v>
      </c>
      <c r="H156" s="83"/>
      <c r="I156" s="36"/>
      <c r="L156" s="87"/>
      <c r="M156" s="87"/>
      <c r="N156" s="36"/>
    </row>
    <row r="157" spans="1:14" s="46" customFormat="1" x14ac:dyDescent="0.25">
      <c r="A157" s="82">
        <f t="shared" si="3"/>
        <v>7</v>
      </c>
      <c r="B157" s="83"/>
      <c r="C157" s="48" t="s">
        <v>190</v>
      </c>
      <c r="D157" s="48">
        <f>43.284*10.764</f>
        <v>465.90897599999994</v>
      </c>
      <c r="E157" s="48">
        <v>0</v>
      </c>
      <c r="F157" s="48">
        <f t="shared" si="4"/>
        <v>1001.7042983999999</v>
      </c>
      <c r="G157" s="82" t="str">
        <f t="shared" si="5"/>
        <v>1st Floor For Commercial</v>
      </c>
      <c r="H157" s="83"/>
      <c r="I157" s="36"/>
      <c r="L157" s="87"/>
      <c r="M157" s="87"/>
      <c r="N157" s="36"/>
    </row>
    <row r="158" spans="1:14" s="46" customFormat="1" x14ac:dyDescent="0.25">
      <c r="A158" s="82">
        <f t="shared" si="3"/>
        <v>8</v>
      </c>
      <c r="B158" s="83"/>
      <c r="C158" s="48" t="s">
        <v>190</v>
      </c>
      <c r="D158" s="48">
        <f>25.168*10.764</f>
        <v>270.90835199999998</v>
      </c>
      <c r="E158" s="48">
        <v>0</v>
      </c>
      <c r="F158" s="48">
        <f t="shared" si="4"/>
        <v>582.45295679999992</v>
      </c>
      <c r="G158" s="82" t="str">
        <f t="shared" si="5"/>
        <v>1st Floor For Commercial</v>
      </c>
      <c r="H158" s="83"/>
      <c r="I158" s="36"/>
      <c r="L158" s="87"/>
      <c r="M158" s="87"/>
      <c r="N158" s="36"/>
    </row>
    <row r="159" spans="1:14" s="46" customFormat="1" ht="15" customHeight="1" x14ac:dyDescent="0.25">
      <c r="A159" s="82">
        <f t="shared" si="3"/>
        <v>9</v>
      </c>
      <c r="B159" s="83"/>
      <c r="C159" s="48" t="s">
        <v>190</v>
      </c>
      <c r="D159" s="48">
        <f>24.301*10.764</f>
        <v>261.57596399999994</v>
      </c>
      <c r="E159" s="48">
        <v>0</v>
      </c>
      <c r="F159" s="48">
        <f t="shared" si="4"/>
        <v>562.38832259999981</v>
      </c>
      <c r="G159" s="82" t="str">
        <f t="shared" si="5"/>
        <v>1st Floor For Commercial</v>
      </c>
      <c r="H159" s="83"/>
      <c r="I159" s="36"/>
      <c r="L159" s="87"/>
      <c r="M159" s="87"/>
      <c r="N159" s="36"/>
    </row>
    <row r="160" spans="1:14" s="46" customFormat="1" x14ac:dyDescent="0.25">
      <c r="A160" s="82">
        <f t="shared" si="3"/>
        <v>10</v>
      </c>
      <c r="B160" s="83"/>
      <c r="C160" s="48" t="s">
        <v>190</v>
      </c>
      <c r="D160" s="48">
        <f>23.448*10.764</f>
        <v>252.394272</v>
      </c>
      <c r="E160" s="48">
        <v>0</v>
      </c>
      <c r="F160" s="48">
        <f t="shared" si="4"/>
        <v>542.64768479999998</v>
      </c>
      <c r="G160" s="82" t="str">
        <f t="shared" si="5"/>
        <v>1st Floor For Commercial</v>
      </c>
      <c r="H160" s="83"/>
      <c r="I160" s="36"/>
      <c r="L160" s="87"/>
      <c r="M160" s="87"/>
      <c r="N160" s="36"/>
    </row>
    <row r="161" spans="1:14" s="46" customFormat="1" x14ac:dyDescent="0.25">
      <c r="A161" s="82">
        <f t="shared" si="3"/>
        <v>11</v>
      </c>
      <c r="B161" s="83"/>
      <c r="C161" s="48" t="s">
        <v>190</v>
      </c>
      <c r="D161" s="48">
        <f>22.126*10.764</f>
        <v>238.164264</v>
      </c>
      <c r="E161" s="48">
        <v>0</v>
      </c>
      <c r="F161" s="48">
        <f t="shared" si="4"/>
        <v>512.05316759999994</v>
      </c>
      <c r="G161" s="82" t="str">
        <f t="shared" si="5"/>
        <v>1st Floor For Commercial</v>
      </c>
      <c r="H161" s="83"/>
      <c r="I161" s="36"/>
      <c r="L161" s="87"/>
      <c r="M161" s="87"/>
      <c r="N161" s="36"/>
    </row>
    <row r="162" spans="1:14" s="46" customFormat="1" x14ac:dyDescent="0.25">
      <c r="A162" s="82">
        <f t="shared" si="3"/>
        <v>12</v>
      </c>
      <c r="B162" s="83"/>
      <c r="C162" s="48" t="s">
        <v>190</v>
      </c>
      <c r="D162" s="48">
        <f>27.191*10.764</f>
        <v>292.68392399999999</v>
      </c>
      <c r="E162" s="48">
        <v>0</v>
      </c>
      <c r="F162" s="48">
        <f>D162*2.15+E162</f>
        <v>629.27043659999993</v>
      </c>
      <c r="G162" s="82" t="str">
        <f t="shared" si="5"/>
        <v>1st Floor For Commercial</v>
      </c>
      <c r="H162" s="83"/>
      <c r="I162" s="36"/>
      <c r="L162" s="87"/>
      <c r="M162" s="87"/>
      <c r="N162" s="36"/>
    </row>
    <row r="163" spans="1:14" s="46" customFormat="1" x14ac:dyDescent="0.25">
      <c r="A163" s="82">
        <f t="shared" si="3"/>
        <v>13</v>
      </c>
      <c r="B163" s="83"/>
      <c r="C163" s="48" t="s">
        <v>190</v>
      </c>
      <c r="D163" s="48">
        <f>26.324*10.764</f>
        <v>283.35153600000001</v>
      </c>
      <c r="E163" s="48">
        <v>0</v>
      </c>
      <c r="F163" s="48">
        <f t="shared" si="4"/>
        <v>609.20580240000004</v>
      </c>
      <c r="G163" s="82" t="str">
        <f t="shared" si="5"/>
        <v>1st Floor For Commercial</v>
      </c>
      <c r="H163" s="83"/>
      <c r="I163" s="36"/>
      <c r="L163" s="87"/>
      <c r="M163" s="87"/>
      <c r="N163" s="36"/>
    </row>
    <row r="164" spans="1:14" s="46" customFormat="1" x14ac:dyDescent="0.25">
      <c r="A164" s="82">
        <f t="shared" si="3"/>
        <v>14</v>
      </c>
      <c r="B164" s="83"/>
      <c r="C164" s="48" t="s">
        <v>190</v>
      </c>
      <c r="D164" s="48">
        <f>28.927*10.764</f>
        <v>311.370228</v>
      </c>
      <c r="E164" s="48">
        <v>0</v>
      </c>
      <c r="F164" s="48">
        <f t="shared" si="4"/>
        <v>669.44599019999998</v>
      </c>
      <c r="G164" s="82" t="str">
        <f t="shared" si="5"/>
        <v>1st Floor For Commercial</v>
      </c>
      <c r="H164" s="83"/>
      <c r="I164" s="36"/>
      <c r="L164" s="87"/>
      <c r="M164" s="87"/>
      <c r="N164" s="36"/>
    </row>
    <row r="165" spans="1:14" s="46" customFormat="1" ht="16.5" customHeight="1" x14ac:dyDescent="0.25">
      <c r="A165" s="82">
        <f t="shared" si="3"/>
        <v>15</v>
      </c>
      <c r="B165" s="83"/>
      <c r="C165" s="48" t="s">
        <v>190</v>
      </c>
      <c r="D165" s="48">
        <f>27.909*10.764</f>
        <v>300.41247599999997</v>
      </c>
      <c r="E165" s="48">
        <v>0</v>
      </c>
      <c r="F165" s="48">
        <f t="shared" si="4"/>
        <v>645.88682339999991</v>
      </c>
      <c r="G165" s="82" t="str">
        <f t="shared" si="5"/>
        <v>1st Floor For Commercial</v>
      </c>
      <c r="H165" s="83"/>
      <c r="I165" s="36"/>
      <c r="L165" s="87"/>
      <c r="M165" s="87"/>
      <c r="N165" s="36"/>
    </row>
    <row r="166" spans="1:14" s="46" customFormat="1" x14ac:dyDescent="0.25">
      <c r="A166" s="82">
        <f t="shared" si="3"/>
        <v>16</v>
      </c>
      <c r="B166" s="83"/>
      <c r="C166" s="48" t="s">
        <v>190</v>
      </c>
      <c r="D166" s="48">
        <f>26.691*10.764</f>
        <v>287.30192399999999</v>
      </c>
      <c r="E166" s="48">
        <v>0</v>
      </c>
      <c r="F166" s="48">
        <f t="shared" si="4"/>
        <v>617.69913659999997</v>
      </c>
      <c r="G166" s="82" t="str">
        <f t="shared" si="5"/>
        <v>1st Floor For Commercial</v>
      </c>
      <c r="H166" s="83"/>
      <c r="I166" s="36"/>
      <c r="L166" s="87"/>
      <c r="M166" s="87"/>
      <c r="N166" s="36"/>
    </row>
    <row r="167" spans="1:14" s="46" customFormat="1" x14ac:dyDescent="0.25">
      <c r="A167" s="82">
        <f t="shared" si="3"/>
        <v>17</v>
      </c>
      <c r="B167" s="83"/>
      <c r="C167" s="48" t="s">
        <v>190</v>
      </c>
      <c r="D167" s="48">
        <f>26.691*10.764</f>
        <v>287.30192399999999</v>
      </c>
      <c r="E167" s="48">
        <v>0</v>
      </c>
      <c r="F167" s="48">
        <f>D167*2.15+E167</f>
        <v>617.69913659999997</v>
      </c>
      <c r="G167" s="82" t="str">
        <f t="shared" si="5"/>
        <v>1st Floor For Commercial</v>
      </c>
      <c r="H167" s="83"/>
      <c r="I167" s="36"/>
      <c r="L167" s="87"/>
      <c r="M167" s="87"/>
      <c r="N167" s="36"/>
    </row>
    <row r="168" spans="1:14" s="46" customFormat="1" x14ac:dyDescent="0.25">
      <c r="A168" s="82">
        <f t="shared" si="3"/>
        <v>18</v>
      </c>
      <c r="B168" s="83"/>
      <c r="C168" s="48" t="s">
        <v>190</v>
      </c>
      <c r="D168" s="48">
        <f>35.914*10.764</f>
        <v>386.57829599999997</v>
      </c>
      <c r="E168" s="48">
        <v>0</v>
      </c>
      <c r="F168" s="48">
        <f t="shared" si="4"/>
        <v>831.14333639999984</v>
      </c>
      <c r="G168" s="82" t="str">
        <f t="shared" si="5"/>
        <v>1st Floor For Commercial</v>
      </c>
      <c r="H168" s="83"/>
      <c r="I168" s="36"/>
      <c r="L168" s="87"/>
      <c r="M168" s="87"/>
      <c r="N168" s="36"/>
    </row>
    <row r="169" spans="1:14" s="46" customFormat="1" x14ac:dyDescent="0.25">
      <c r="A169" s="82"/>
      <c r="B169" s="184"/>
      <c r="C169" s="184"/>
      <c r="D169" s="184"/>
      <c r="E169" s="184"/>
      <c r="F169" s="184"/>
      <c r="G169" s="184"/>
      <c r="H169" s="83"/>
      <c r="I169" s="36"/>
      <c r="N169" s="36"/>
    </row>
    <row r="170" spans="1:14" ht="47.25" customHeight="1" x14ac:dyDescent="0.25">
      <c r="A170" s="51" t="s">
        <v>123</v>
      </c>
      <c r="B170" s="51" t="s">
        <v>124</v>
      </c>
      <c r="C170" s="49" t="s">
        <v>57</v>
      </c>
      <c r="D170" s="49" t="s">
        <v>58</v>
      </c>
      <c r="E170" s="52" t="s">
        <v>59</v>
      </c>
      <c r="F170" s="49" t="s">
        <v>226</v>
      </c>
      <c r="G170" s="116" t="s">
        <v>60</v>
      </c>
      <c r="H170" s="117"/>
      <c r="I170" s="36"/>
    </row>
    <row r="171" spans="1:14" s="46" customFormat="1" ht="16.5" customHeight="1" x14ac:dyDescent="0.25">
      <c r="A171" s="84" t="s">
        <v>188</v>
      </c>
      <c r="B171" s="85"/>
      <c r="C171" s="85"/>
      <c r="D171" s="85"/>
      <c r="E171" s="85"/>
      <c r="F171" s="85"/>
      <c r="G171" s="85"/>
      <c r="H171" s="86"/>
      <c r="J171" s="36"/>
    </row>
    <row r="172" spans="1:14" s="46" customFormat="1" x14ac:dyDescent="0.25">
      <c r="A172" s="185" t="s">
        <v>205</v>
      </c>
      <c r="B172" s="185"/>
      <c r="C172" s="185"/>
      <c r="D172" s="185"/>
      <c r="E172" s="185"/>
      <c r="F172" s="185"/>
      <c r="G172" s="185"/>
      <c r="H172" s="185"/>
      <c r="I172" s="36"/>
      <c r="L172" s="87"/>
      <c r="M172" s="87"/>
    </row>
    <row r="173" spans="1:14" s="46" customFormat="1" ht="15.75" customHeight="1" x14ac:dyDescent="0.25">
      <c r="A173" s="186">
        <f>LEFT(A172,SUM(LEN(A172)-LEN(SUBSTITUTE(A172,{"0","1","2","3","4","5","6","7","8","9"},""))))*100+1</f>
        <v>201</v>
      </c>
      <c r="B173" s="186"/>
      <c r="C173" s="45">
        <v>1</v>
      </c>
      <c r="D173" s="48">
        <f>(4.3*2.75+3.05*2.2+3.05*3+1.8*1.2+1.8*1.2+1.1*5+3.25*1.2)*10.764</f>
        <v>445.6834199999999</v>
      </c>
      <c r="E173" s="48">
        <v>0</v>
      </c>
      <c r="F173" s="62">
        <v>710</v>
      </c>
      <c r="G173" s="74" t="str">
        <f>A172</f>
        <v>2nd Floor For Residential</v>
      </c>
      <c r="H173" s="75"/>
      <c r="I173" s="61"/>
      <c r="J173" s="46">
        <f>3050000/F173</f>
        <v>4295.7746478873241</v>
      </c>
      <c r="K173" s="46">
        <f>J173/D173</f>
        <v>9.6386234154443642</v>
      </c>
      <c r="L173" s="46" t="s">
        <v>233</v>
      </c>
      <c r="N173" s="36"/>
    </row>
    <row r="174" spans="1:14" s="46" customFormat="1" ht="15.75" customHeight="1" x14ac:dyDescent="0.25">
      <c r="A174" s="186">
        <f t="shared" ref="A174:A182" si="6">A173+1</f>
        <v>202</v>
      </c>
      <c r="B174" s="186"/>
      <c r="C174" s="45">
        <v>1</v>
      </c>
      <c r="D174" s="48">
        <f>(4.6*2.75+3.05*2.2+3.05*3+1.8*1.2+1.8*1.2+2.775*2.2+1.1*0.5)*10.764</f>
        <v>425.01653999999996</v>
      </c>
      <c r="E174" s="48">
        <v>0</v>
      </c>
      <c r="F174" s="62">
        <v>720</v>
      </c>
      <c r="G174" s="76"/>
      <c r="H174" s="77"/>
      <c r="I174" s="61"/>
      <c r="K174" s="46">
        <f t="shared" ref="K174:K183" si="7">J174/D174</f>
        <v>0</v>
      </c>
      <c r="N174" s="36"/>
    </row>
    <row r="175" spans="1:14" s="46" customFormat="1" ht="15.75" customHeight="1" x14ac:dyDescent="0.25">
      <c r="A175" s="186">
        <f t="shared" si="6"/>
        <v>203</v>
      </c>
      <c r="B175" s="186"/>
      <c r="C175" s="45">
        <v>2</v>
      </c>
      <c r="D175" s="48">
        <f>(4.6*2.8+2.75*2.1+2.75*3.35+3.1*3.3+2.1*1.2+2*1.15+3.3*0.9+2.85*1.2+2.35*1.2+2.825*1.35)*10.764</f>
        <v>602.15161499999988</v>
      </c>
      <c r="E175" s="48">
        <v>530</v>
      </c>
      <c r="F175" s="62">
        <v>1525</v>
      </c>
      <c r="G175" s="76"/>
      <c r="H175" s="77"/>
      <c r="I175" s="61"/>
      <c r="K175" s="46">
        <f t="shared" si="7"/>
        <v>0</v>
      </c>
      <c r="N175" s="36"/>
    </row>
    <row r="176" spans="1:14" s="46" customFormat="1" ht="15.75" customHeight="1" x14ac:dyDescent="0.25">
      <c r="A176" s="186">
        <f t="shared" si="6"/>
        <v>204</v>
      </c>
      <c r="B176" s="186"/>
      <c r="C176" s="45">
        <v>3</v>
      </c>
      <c r="D176" s="48">
        <f>(6.25*3+3.1*2.3+3.05*2.15+3.05*2.75+3.05*3.6+3.3*2.85+2.1*1.2+2.4*1.35+2.1*1.15+2.35*1.2+3.85*1.2+3.4*1)*10.764</f>
        <v>863.54190000000017</v>
      </c>
      <c r="E176" s="48">
        <v>596</v>
      </c>
      <c r="F176" s="62">
        <v>2050</v>
      </c>
      <c r="G176" s="76"/>
      <c r="H176" s="77"/>
      <c r="I176" s="61"/>
      <c r="K176" s="46">
        <f t="shared" si="7"/>
        <v>0</v>
      </c>
      <c r="N176" s="36"/>
    </row>
    <row r="177" spans="1:16" s="46" customFormat="1" ht="15.75" customHeight="1" x14ac:dyDescent="0.25">
      <c r="A177" s="186">
        <f t="shared" si="6"/>
        <v>205</v>
      </c>
      <c r="B177" s="186"/>
      <c r="C177" s="45">
        <v>2</v>
      </c>
      <c r="D177" s="48">
        <f>(6.25*3+3.1*1.3+3.05*2.15+3.05*3+4.05*3.05+2.1*1.2+2.1*1.2+4.1*0.9+2.4*1.2+3.3*1.2)*10.764</f>
        <v>714.83723999999995</v>
      </c>
      <c r="E177" s="48">
        <v>324</v>
      </c>
      <c r="F177" s="62">
        <v>1570</v>
      </c>
      <c r="G177" s="76"/>
      <c r="H177" s="77"/>
      <c r="I177" s="61"/>
      <c r="K177" s="46">
        <f t="shared" si="7"/>
        <v>0</v>
      </c>
      <c r="N177" s="36"/>
    </row>
    <row r="178" spans="1:16" s="46" customFormat="1" ht="15.75" customHeight="1" x14ac:dyDescent="0.25">
      <c r="A178" s="186">
        <f t="shared" si="6"/>
        <v>206</v>
      </c>
      <c r="B178" s="186"/>
      <c r="C178" s="45">
        <v>2</v>
      </c>
      <c r="D178" s="48">
        <f>(6.25*3+3.1*1.3+3.05*2.15+3.05*3+4.05*3.05+2.1*1.2+2.1*1.2+4.1*0.9+2.4*1.2+3.3*1.2)*10.764</f>
        <v>714.83723999999995</v>
      </c>
      <c r="E178" s="48">
        <v>192</v>
      </c>
      <c r="F178" s="62">
        <v>1440</v>
      </c>
      <c r="G178" s="76"/>
      <c r="H178" s="77"/>
      <c r="I178" s="61"/>
      <c r="K178" s="46">
        <f t="shared" si="7"/>
        <v>0</v>
      </c>
      <c r="N178" s="36"/>
    </row>
    <row r="179" spans="1:16" s="46" customFormat="1" ht="15.75" customHeight="1" x14ac:dyDescent="0.25">
      <c r="A179" s="186">
        <f t="shared" si="6"/>
        <v>207</v>
      </c>
      <c r="B179" s="186"/>
      <c r="C179" s="45">
        <v>3</v>
      </c>
      <c r="D179" s="48">
        <f>(6.25*3+3.1*2.3+3.05*2.15+3.05*2.75+3.05*3.6+3.3*2.85+2.1*1.2+2.4*1.35+2.1*1.15+3.9*0.9+3.4*1+3.85*1.2+2.35*1.2)*10.764</f>
        <v>901.32354000000021</v>
      </c>
      <c r="E179" s="48">
        <f>(45+29)</f>
        <v>74</v>
      </c>
      <c r="F179" s="62">
        <v>1670</v>
      </c>
      <c r="G179" s="76"/>
      <c r="H179" s="77"/>
      <c r="I179" s="61"/>
      <c r="K179" s="46">
        <f t="shared" si="7"/>
        <v>0</v>
      </c>
      <c r="N179" s="36"/>
    </row>
    <row r="180" spans="1:16" s="46" customFormat="1" ht="15.75" customHeight="1" x14ac:dyDescent="0.25">
      <c r="A180" s="186">
        <f t="shared" si="6"/>
        <v>208</v>
      </c>
      <c r="B180" s="186"/>
      <c r="C180" s="45">
        <v>1</v>
      </c>
      <c r="D180" s="48">
        <f>(2.75*4.3+2.2*3.3+2.75*3.3+1.2*0.9+1.2*1.5+2.45*1)*10.764</f>
        <v>360.48635999999999</v>
      </c>
      <c r="E180" s="48">
        <v>0</v>
      </c>
      <c r="F180" s="62">
        <v>640</v>
      </c>
      <c r="G180" s="76"/>
      <c r="H180" s="77"/>
      <c r="I180" s="61"/>
      <c r="K180" s="46">
        <f t="shared" si="7"/>
        <v>0</v>
      </c>
      <c r="N180" s="36"/>
    </row>
    <row r="181" spans="1:16" s="46" customFormat="1" ht="15.75" customHeight="1" x14ac:dyDescent="0.25">
      <c r="A181" s="186">
        <f t="shared" si="6"/>
        <v>209</v>
      </c>
      <c r="B181" s="186"/>
      <c r="C181" s="45">
        <v>1</v>
      </c>
      <c r="D181" s="48">
        <f>(2.75*4.3+2.2*3.3+2.75*3.3+1.2*0.9+1.2*1.5+2.45*1)*10.764</f>
        <v>360.48635999999999</v>
      </c>
      <c r="E181" s="48">
        <v>0</v>
      </c>
      <c r="F181" s="62">
        <v>585</v>
      </c>
      <c r="G181" s="76"/>
      <c r="H181" s="77"/>
      <c r="I181" s="61"/>
      <c r="K181" s="46">
        <f t="shared" si="7"/>
        <v>0</v>
      </c>
      <c r="N181" s="36"/>
    </row>
    <row r="182" spans="1:16" s="46" customFormat="1" ht="15.75" customHeight="1" x14ac:dyDescent="0.25">
      <c r="A182" s="186">
        <f t="shared" si="6"/>
        <v>210</v>
      </c>
      <c r="B182" s="186"/>
      <c r="C182" s="45">
        <v>1</v>
      </c>
      <c r="D182" s="48">
        <f>(2.75*4.3+2.2*3.05+3*3.05+1.8*1.2+1.8*1.2+1.2*0.5+2.85*1.2)*10.764</f>
        <v>387.77309999999994</v>
      </c>
      <c r="E182" s="48">
        <v>0</v>
      </c>
      <c r="F182" s="62">
        <v>630</v>
      </c>
      <c r="G182" s="78"/>
      <c r="H182" s="79"/>
      <c r="I182" s="61"/>
      <c r="K182" s="46">
        <f t="shared" si="7"/>
        <v>0</v>
      </c>
      <c r="N182" s="36"/>
    </row>
    <row r="183" spans="1:16" s="46" customFormat="1" ht="15.75" customHeight="1" x14ac:dyDescent="0.25">
      <c r="A183" s="84" t="s">
        <v>224</v>
      </c>
      <c r="B183" s="85"/>
      <c r="C183" s="85"/>
      <c r="D183" s="85"/>
      <c r="E183" s="85"/>
      <c r="F183" s="85"/>
      <c r="G183" s="85"/>
      <c r="H183" s="86"/>
      <c r="I183" s="61"/>
      <c r="K183" s="46" t="e">
        <f t="shared" si="7"/>
        <v>#DIV/0!</v>
      </c>
      <c r="P183" s="37"/>
    </row>
    <row r="184" spans="1:16" s="46" customFormat="1" ht="15.75" customHeight="1" x14ac:dyDescent="0.25">
      <c r="A184" s="82" t="str">
        <f>M184</f>
        <v>401 &amp; 601</v>
      </c>
      <c r="B184" s="83"/>
      <c r="C184" s="45">
        <v>1</v>
      </c>
      <c r="D184" s="48">
        <f>(4.3*2.75+3.05*2.2+3.05*3+1.8*1.2+1.8*1.2+1.1*5+3.25*1.2)*10.764</f>
        <v>445.6834199999999</v>
      </c>
      <c r="E184" s="48">
        <v>0</v>
      </c>
      <c r="F184" s="48">
        <v>640</v>
      </c>
      <c r="G184" s="74" t="str">
        <f>A183</f>
        <v>4th &amp; 6th Floor</v>
      </c>
      <c r="H184" s="75"/>
      <c r="I184" s="61"/>
      <c r="J184" s="46">
        <v>401</v>
      </c>
      <c r="K184" s="46">
        <v>601</v>
      </c>
      <c r="M184" s="46" t="str">
        <f>J184&amp;""&amp;" &amp; "&amp;""&amp;K184</f>
        <v>401 &amp; 601</v>
      </c>
    </row>
    <row r="185" spans="1:16" s="46" customFormat="1" ht="15.75" customHeight="1" x14ac:dyDescent="0.25">
      <c r="A185" s="82" t="str">
        <f t="shared" ref="A185:A193" si="8">M185</f>
        <v>402 &amp; 602</v>
      </c>
      <c r="B185" s="83"/>
      <c r="C185" s="45">
        <v>1</v>
      </c>
      <c r="D185" s="48">
        <f>(4.6*2.75+3.05*2.2+3.05*3+1.8*1.2+1.8*1.2+2.775*2.2+1.1*0.5)*10.764</f>
        <v>425.01653999999996</v>
      </c>
      <c r="E185" s="48">
        <v>0</v>
      </c>
      <c r="F185" s="48">
        <v>650</v>
      </c>
      <c r="G185" s="76"/>
      <c r="H185" s="77"/>
      <c r="I185" s="61">
        <f>3005000/F185</f>
        <v>4623.0769230769229</v>
      </c>
      <c r="J185" s="46">
        <v>402</v>
      </c>
      <c r="K185" s="46">
        <v>602</v>
      </c>
      <c r="M185" s="46" t="str">
        <f t="shared" ref="M185:M193" si="9">J185&amp;""&amp;" &amp; "&amp;""&amp;K185</f>
        <v>402 &amp; 602</v>
      </c>
    </row>
    <row r="186" spans="1:16" s="46" customFormat="1" ht="15.75" customHeight="1" x14ac:dyDescent="0.25">
      <c r="A186" s="82" t="str">
        <f t="shared" si="8"/>
        <v>403 &amp; 603</v>
      </c>
      <c r="B186" s="83"/>
      <c r="C186" s="45">
        <v>2</v>
      </c>
      <c r="D186" s="48">
        <f>(4.6*2.8+2.75*2.1+2.75*3.35+3.1*3.3+2.1*1.2+2*1.15+3.3*0.9+2.85*1.2+2.35*1.2+2.825*1.35)*10.764</f>
        <v>602.15161499999988</v>
      </c>
      <c r="E186" s="48">
        <v>0</v>
      </c>
      <c r="F186" s="48">
        <v>975</v>
      </c>
      <c r="G186" s="76"/>
      <c r="H186" s="77"/>
      <c r="I186" s="61"/>
      <c r="J186" s="46">
        <v>403</v>
      </c>
      <c r="K186" s="46">
        <v>603</v>
      </c>
      <c r="M186" s="46" t="str">
        <f t="shared" si="9"/>
        <v>403 &amp; 603</v>
      </c>
    </row>
    <row r="187" spans="1:16" s="46" customFormat="1" ht="15.75" customHeight="1" x14ac:dyDescent="0.25">
      <c r="A187" s="82" t="str">
        <f t="shared" si="8"/>
        <v>404 &amp; 604</v>
      </c>
      <c r="B187" s="83"/>
      <c r="C187" s="45">
        <v>3</v>
      </c>
      <c r="D187" s="48">
        <f>(6.25*3+3.1*2.3+3.05*2.15+3.05*2.75+3.05*3.6+3.3*2.85+2.1*1.2+2.4*1.35+2.1*1.15+2.35*1.2+3.85*1.2+3.4*1)*10.764</f>
        <v>863.54190000000017</v>
      </c>
      <c r="E187" s="48">
        <v>0</v>
      </c>
      <c r="F187" s="48">
        <v>1450</v>
      </c>
      <c r="G187" s="76"/>
      <c r="H187" s="77"/>
      <c r="I187" s="61"/>
      <c r="J187" s="46">
        <v>404</v>
      </c>
      <c r="K187" s="46">
        <v>604</v>
      </c>
      <c r="M187" s="46" t="str">
        <f t="shared" si="9"/>
        <v>404 &amp; 604</v>
      </c>
    </row>
    <row r="188" spans="1:16" s="46" customFormat="1" ht="15.75" customHeight="1" x14ac:dyDescent="0.25">
      <c r="A188" s="82" t="str">
        <f t="shared" si="8"/>
        <v>405 &amp; 605</v>
      </c>
      <c r="B188" s="83"/>
      <c r="C188" s="45">
        <v>2</v>
      </c>
      <c r="D188" s="48">
        <f>(6.25*3+3.1*1.3+3.05*2.15+3.05*3+4.05*3.05+2.1*1.2+2.1*1.2+4.1*0.9+2.4*1.2+3.3*1.2)*10.764</f>
        <v>714.83723999999995</v>
      </c>
      <c r="E188" s="48">
        <v>0</v>
      </c>
      <c r="F188" s="48">
        <v>1150</v>
      </c>
      <c r="G188" s="76"/>
      <c r="H188" s="77"/>
      <c r="I188" s="61"/>
      <c r="J188" s="46">
        <v>405</v>
      </c>
      <c r="K188" s="46">
        <v>605</v>
      </c>
      <c r="M188" s="46" t="str">
        <f t="shared" si="9"/>
        <v>405 &amp; 605</v>
      </c>
    </row>
    <row r="189" spans="1:16" s="46" customFormat="1" ht="15.75" customHeight="1" x14ac:dyDescent="0.25">
      <c r="A189" s="82" t="str">
        <f t="shared" si="8"/>
        <v>406 &amp; 606</v>
      </c>
      <c r="B189" s="83"/>
      <c r="C189" s="45">
        <v>2</v>
      </c>
      <c r="D189" s="48">
        <f>(6.25*3+3.1*1.3+3.05*2.15+3.05*3+4.05*3.05+2.1*1.2+2.1*1.2+4.1*0.9+2.4*1.2+3.3*1.2)*10.764</f>
        <v>714.83723999999995</v>
      </c>
      <c r="E189" s="48">
        <v>0</v>
      </c>
      <c r="F189" s="48">
        <v>1150</v>
      </c>
      <c r="G189" s="76"/>
      <c r="H189" s="77"/>
      <c r="I189" s="61">
        <f>4228000/F189</f>
        <v>3676.521739130435</v>
      </c>
      <c r="J189" s="46">
        <v>406</v>
      </c>
      <c r="K189" s="46">
        <v>606</v>
      </c>
      <c r="M189" s="46" t="str">
        <f t="shared" si="9"/>
        <v>406 &amp; 606</v>
      </c>
    </row>
    <row r="190" spans="1:16" s="46" customFormat="1" ht="15.75" customHeight="1" x14ac:dyDescent="0.25">
      <c r="A190" s="82" t="str">
        <f t="shared" si="8"/>
        <v>407 &amp; 607</v>
      </c>
      <c r="B190" s="83"/>
      <c r="C190" s="45">
        <v>3</v>
      </c>
      <c r="D190" s="48">
        <f>(6.25*3+3.1*2.3+3.05*2.15+3.05*2.75+3.05*3.6+3.3*2.85+2.1*1.2+2.4*1.35+2.1*1.15+3.9*0.9+3.4*1+3.85*1.2+2.35*1.2)*10.764</f>
        <v>901.32354000000021</v>
      </c>
      <c r="E190" s="48">
        <v>0</v>
      </c>
      <c r="F190" s="48">
        <v>1450</v>
      </c>
      <c r="G190" s="76"/>
      <c r="H190" s="77"/>
      <c r="I190" s="61">
        <f>7000000/F190</f>
        <v>4827.5862068965516</v>
      </c>
      <c r="J190" s="46">
        <v>407</v>
      </c>
      <c r="K190" s="46">
        <v>607</v>
      </c>
      <c r="M190" s="46" t="str">
        <f t="shared" si="9"/>
        <v>407 &amp; 607</v>
      </c>
    </row>
    <row r="191" spans="1:16" s="46" customFormat="1" ht="15.75" customHeight="1" x14ac:dyDescent="0.25">
      <c r="A191" s="82" t="str">
        <f t="shared" si="8"/>
        <v>408 &amp; 608</v>
      </c>
      <c r="B191" s="83"/>
      <c r="C191" s="45">
        <v>1</v>
      </c>
      <c r="D191" s="48">
        <f>(2.75*4.3+2.2*3.3+2.75*3.3+1.2*0.9+1.2*1.5+2.45*1)*10.764</f>
        <v>360.48635999999999</v>
      </c>
      <c r="E191" s="48">
        <v>0</v>
      </c>
      <c r="F191" s="48">
        <v>585</v>
      </c>
      <c r="G191" s="76"/>
      <c r="H191" s="77"/>
      <c r="I191" s="61"/>
      <c r="J191" s="46">
        <v>408</v>
      </c>
      <c r="K191" s="46">
        <v>608</v>
      </c>
      <c r="M191" s="46" t="str">
        <f t="shared" si="9"/>
        <v>408 &amp; 608</v>
      </c>
    </row>
    <row r="192" spans="1:16" s="46" customFormat="1" ht="15.75" customHeight="1" x14ac:dyDescent="0.25">
      <c r="A192" s="82" t="str">
        <f t="shared" si="8"/>
        <v>409 &amp; 609</v>
      </c>
      <c r="B192" s="83"/>
      <c r="C192" s="45">
        <v>1</v>
      </c>
      <c r="D192" s="48">
        <f>(2.75*4.3+2.2*3.3+2.75*3.3+1.2*0.9+1.2*1.5+2.45*1)*10.764</f>
        <v>360.48635999999999</v>
      </c>
      <c r="E192" s="48">
        <v>0</v>
      </c>
      <c r="F192" s="48">
        <v>585</v>
      </c>
      <c r="G192" s="76"/>
      <c r="H192" s="77"/>
      <c r="I192" s="61"/>
      <c r="J192" s="46">
        <v>409</v>
      </c>
      <c r="K192" s="46">
        <v>609</v>
      </c>
      <c r="M192" s="46" t="str">
        <f t="shared" si="9"/>
        <v>409 &amp; 609</v>
      </c>
    </row>
    <row r="193" spans="1:16" s="46" customFormat="1" ht="15.75" customHeight="1" x14ac:dyDescent="0.25">
      <c r="A193" s="82" t="str">
        <f t="shared" si="8"/>
        <v>410 &amp; 610</v>
      </c>
      <c r="B193" s="83"/>
      <c r="C193" s="45">
        <v>1</v>
      </c>
      <c r="D193" s="48">
        <f>(2.75*4.3+2.2*3.05+3*3.05+1.8*1.2+1.8*1.2+1.2*0.5+2.85*1.2)*10.764</f>
        <v>387.77309999999994</v>
      </c>
      <c r="E193" s="48">
        <v>0</v>
      </c>
      <c r="F193" s="48">
        <v>630</v>
      </c>
      <c r="G193" s="78"/>
      <c r="H193" s="79"/>
      <c r="I193" s="61"/>
      <c r="J193" s="46">
        <v>410</v>
      </c>
      <c r="K193" s="46">
        <v>610</v>
      </c>
      <c r="M193" s="46" t="str">
        <f t="shared" si="9"/>
        <v>410 &amp; 610</v>
      </c>
    </row>
    <row r="194" spans="1:16" s="46" customFormat="1" x14ac:dyDescent="0.25">
      <c r="A194" s="84" t="s">
        <v>191</v>
      </c>
      <c r="B194" s="85"/>
      <c r="C194" s="85"/>
      <c r="D194" s="85"/>
      <c r="E194" s="85"/>
      <c r="F194" s="85"/>
      <c r="G194" s="85"/>
      <c r="H194" s="86"/>
      <c r="I194" s="61"/>
      <c r="P194" s="37"/>
    </row>
    <row r="195" spans="1:16" s="46" customFormat="1" ht="15.75" customHeight="1" x14ac:dyDescent="0.25">
      <c r="A195" s="82" t="s">
        <v>194</v>
      </c>
      <c r="B195" s="83"/>
      <c r="C195" s="45">
        <v>1</v>
      </c>
      <c r="D195" s="48">
        <f>(4.3*2.75+3.05*2.2+3.05*3+1.8*1.2+1.8*1.2+1.1*5+3.25*1.2)*10.764</f>
        <v>445.6834199999999</v>
      </c>
      <c r="E195" s="48">
        <v>0</v>
      </c>
      <c r="F195" s="48">
        <v>640</v>
      </c>
      <c r="G195" s="74" t="str">
        <f>A194</f>
        <v>3rd &amp; 5th Floor</v>
      </c>
      <c r="H195" s="75"/>
      <c r="I195" s="61"/>
    </row>
    <row r="196" spans="1:16" s="46" customFormat="1" ht="15.75" customHeight="1" x14ac:dyDescent="0.25">
      <c r="A196" s="82" t="s">
        <v>195</v>
      </c>
      <c r="B196" s="83"/>
      <c r="C196" s="45">
        <v>1</v>
      </c>
      <c r="D196" s="48">
        <f>(4.6*2.75+3.05*2.2+3.05*3+1.8*1.2+1.8*1.2+2.775*2.2+1.1*0.5)*10.764</f>
        <v>425.01653999999996</v>
      </c>
      <c r="E196" s="48">
        <v>0</v>
      </c>
      <c r="F196" s="48">
        <v>650</v>
      </c>
      <c r="G196" s="76"/>
      <c r="H196" s="77"/>
      <c r="I196" s="61"/>
    </row>
    <row r="197" spans="1:16" s="46" customFormat="1" ht="15.75" customHeight="1" x14ac:dyDescent="0.25">
      <c r="A197" s="82" t="s">
        <v>196</v>
      </c>
      <c r="B197" s="83"/>
      <c r="C197" s="45">
        <v>2</v>
      </c>
      <c r="D197" s="48">
        <f>(4.6*2.8+2.75*2.1+2.75*3.35+3.1*3.3+2.1*1.2+2*1.15+3.3*0.9+2.85*1.2+2.35*1.2+2.825*1.35)*10.764</f>
        <v>602.15161499999988</v>
      </c>
      <c r="E197" s="48">
        <v>0</v>
      </c>
      <c r="F197" s="48">
        <v>975</v>
      </c>
      <c r="G197" s="76"/>
      <c r="H197" s="77"/>
      <c r="I197" s="61">
        <f>3900000/F197</f>
        <v>4000</v>
      </c>
      <c r="K197" s="46">
        <v>303</v>
      </c>
      <c r="L197" s="46">
        <v>503</v>
      </c>
    </row>
    <row r="198" spans="1:16" s="46" customFormat="1" ht="15.75" customHeight="1" x14ac:dyDescent="0.25">
      <c r="A198" s="82" t="s">
        <v>197</v>
      </c>
      <c r="B198" s="83"/>
      <c r="C198" s="45">
        <v>3</v>
      </c>
      <c r="D198" s="48">
        <f>(6.25*3+3.1*2.3+3.05*2.15+3.05*2.75+3.05*3.6+3.3*2.85+2.1*1.2+2.4*1.35+2.1*1.15+2.35*1.2+3.85*1.2+3.4*1)*10.764</f>
        <v>863.54190000000017</v>
      </c>
      <c r="E198" s="48">
        <v>0</v>
      </c>
      <c r="F198" s="48">
        <v>1450</v>
      </c>
      <c r="G198" s="76"/>
      <c r="H198" s="77"/>
      <c r="I198" s="61"/>
      <c r="K198" s="46">
        <v>304</v>
      </c>
      <c r="L198" s="46">
        <v>504</v>
      </c>
    </row>
    <row r="199" spans="1:16" s="46" customFormat="1" ht="15.75" customHeight="1" x14ac:dyDescent="0.25">
      <c r="A199" s="82" t="s">
        <v>198</v>
      </c>
      <c r="B199" s="83"/>
      <c r="C199" s="45">
        <v>2</v>
      </c>
      <c r="D199" s="48">
        <f>(6.25*3+3.1*1.3+3.05*2.15+3.05*3+4.05*3.05+2.1*1.2+2.1*1.2+4.1*0.9+2.4*1.2+3.3*1.2)*10.764</f>
        <v>714.83723999999995</v>
      </c>
      <c r="E199" s="48">
        <v>0</v>
      </c>
      <c r="F199" s="48">
        <v>1150</v>
      </c>
      <c r="G199" s="76"/>
      <c r="H199" s="77"/>
      <c r="I199" s="61"/>
      <c r="K199" s="46">
        <v>305</v>
      </c>
      <c r="L199" s="46">
        <v>505</v>
      </c>
    </row>
    <row r="200" spans="1:16" s="46" customFormat="1" ht="15.75" customHeight="1" x14ac:dyDescent="0.25">
      <c r="A200" s="82" t="s">
        <v>199</v>
      </c>
      <c r="B200" s="83"/>
      <c r="C200" s="45">
        <v>2</v>
      </c>
      <c r="D200" s="48">
        <f>(6.25*3+3.1*1.3+3.05*2.15+3.05*3+4.05*3.05+2.1*1.2+2.1*1.2+4.1*0.9+2.4*1.2+3.3*1.2)*10.764</f>
        <v>714.83723999999995</v>
      </c>
      <c r="E200" s="48">
        <v>0</v>
      </c>
      <c r="F200" s="48">
        <v>1150</v>
      </c>
      <c r="G200" s="76"/>
      <c r="H200" s="77"/>
      <c r="I200" s="61"/>
      <c r="K200" s="46">
        <v>306</v>
      </c>
      <c r="L200" s="46">
        <v>506</v>
      </c>
    </row>
    <row r="201" spans="1:16" s="46" customFormat="1" ht="15.75" customHeight="1" x14ac:dyDescent="0.25">
      <c r="A201" s="82" t="s">
        <v>200</v>
      </c>
      <c r="B201" s="83"/>
      <c r="C201" s="45">
        <v>3</v>
      </c>
      <c r="D201" s="48">
        <f>(6.25*3+3.1*2.3+3.05*2.15+3.05*2.75+3.05*3.6+3.3*2.85+2.1*1.2+2.4*1.35+2.1*1.15+3.9*0.9+3.4*1+3.85*1.2+2.35*1.2)*10.764</f>
        <v>901.32354000000021</v>
      </c>
      <c r="E201" s="48">
        <v>0</v>
      </c>
      <c r="F201" s="48">
        <v>1450</v>
      </c>
      <c r="G201" s="76"/>
      <c r="H201" s="77"/>
      <c r="I201" s="61"/>
      <c r="K201" s="46">
        <v>307</v>
      </c>
      <c r="L201" s="46">
        <v>507</v>
      </c>
    </row>
    <row r="202" spans="1:16" s="46" customFormat="1" ht="15.75" customHeight="1" x14ac:dyDescent="0.25">
      <c r="A202" s="82" t="s">
        <v>201</v>
      </c>
      <c r="B202" s="83"/>
      <c r="C202" s="45">
        <v>1</v>
      </c>
      <c r="D202" s="48">
        <f>(2.75*4.3+2.2*3.3+2.75*3.3+1.2*0.9+1.2*1.5+2.45*1+2.775*1)*10.764</f>
        <v>390.35645999999997</v>
      </c>
      <c r="E202" s="48">
        <v>0</v>
      </c>
      <c r="F202" s="48">
        <v>585</v>
      </c>
      <c r="G202" s="76"/>
      <c r="H202" s="77"/>
      <c r="I202" s="61"/>
      <c r="K202" s="46">
        <v>308</v>
      </c>
      <c r="L202" s="46">
        <v>508</v>
      </c>
    </row>
    <row r="203" spans="1:16" s="46" customFormat="1" ht="15.75" customHeight="1" x14ac:dyDescent="0.25">
      <c r="A203" s="82" t="s">
        <v>202</v>
      </c>
      <c r="B203" s="83"/>
      <c r="C203" s="45">
        <v>1</v>
      </c>
      <c r="D203" s="48">
        <f>(2.75*4.3+2.2*3.3+2.75*3.3+1.2*0.9+1.2*1.5+2.45*1+2.775*1)*10.764</f>
        <v>390.35645999999997</v>
      </c>
      <c r="E203" s="48">
        <v>0</v>
      </c>
      <c r="F203" s="48">
        <v>585</v>
      </c>
      <c r="G203" s="76"/>
      <c r="H203" s="77"/>
      <c r="I203" s="61"/>
      <c r="K203" s="46">
        <v>309</v>
      </c>
      <c r="L203" s="46">
        <v>509</v>
      </c>
    </row>
    <row r="204" spans="1:16" s="46" customFormat="1" ht="15.75" customHeight="1" x14ac:dyDescent="0.25">
      <c r="A204" s="82" t="s">
        <v>203</v>
      </c>
      <c r="B204" s="83"/>
      <c r="C204" s="45">
        <v>1</v>
      </c>
      <c r="D204" s="48">
        <f>(2.75*4.3+2.2*3.05+3*3.05+1.8*1.2+1.8*1.2+1.2*0.5+2.85*1.2)*10.764</f>
        <v>387.77309999999994</v>
      </c>
      <c r="E204" s="48">
        <v>0</v>
      </c>
      <c r="F204" s="48">
        <v>630</v>
      </c>
      <c r="G204" s="78"/>
      <c r="H204" s="79"/>
      <c r="I204" s="61"/>
      <c r="K204" s="46">
        <v>310</v>
      </c>
      <c r="L204" s="46">
        <v>510</v>
      </c>
    </row>
    <row r="205" spans="1:16" s="46" customFormat="1" x14ac:dyDescent="0.25">
      <c r="A205" s="185" t="s">
        <v>206</v>
      </c>
      <c r="B205" s="185"/>
      <c r="C205" s="185"/>
      <c r="D205" s="185"/>
      <c r="E205" s="185"/>
      <c r="F205" s="185"/>
      <c r="G205" s="185"/>
      <c r="H205" s="185"/>
      <c r="I205" s="61"/>
      <c r="L205" s="87"/>
      <c r="M205" s="87"/>
    </row>
    <row r="206" spans="1:16" s="46" customFormat="1" x14ac:dyDescent="0.25">
      <c r="A206" s="186">
        <f>LEFT(A205,SUM(LEN(A205)-LEN(SUBSTITUTE(A205,{"0","1","2","3","4","5","6","7","8","9"},""))))*100+1</f>
        <v>701</v>
      </c>
      <c r="B206" s="186"/>
      <c r="C206" s="45">
        <v>0</v>
      </c>
      <c r="D206" s="48">
        <f>(4.3*2.75+3.05*2.2+1.8*1.2+1.2*0.9+1.1*0.5)*10.764</f>
        <v>240.30629999999996</v>
      </c>
      <c r="E206" s="48">
        <f>(3*4.2+0.7*0.3)*10.764</f>
        <v>137.88684000000001</v>
      </c>
      <c r="F206" s="48">
        <v>540</v>
      </c>
      <c r="G206" s="74" t="str">
        <f>A205</f>
        <v>7th Floor</v>
      </c>
      <c r="H206" s="75"/>
      <c r="I206" s="61"/>
      <c r="N206" s="36"/>
    </row>
    <row r="207" spans="1:16" s="46" customFormat="1" x14ac:dyDescent="0.25">
      <c r="A207" s="186">
        <f t="shared" ref="A207:A215" si="10">A206+1</f>
        <v>702</v>
      </c>
      <c r="B207" s="186"/>
      <c r="C207" s="45">
        <v>0</v>
      </c>
      <c r="D207" s="48">
        <f>(4.6*2.75+3.05*2.2+1.8*1.2+1.2*0.9+2.775*1.35+1.1*0.5)*10.764</f>
        <v>289.511235</v>
      </c>
      <c r="E207" s="48">
        <f>(2.9*3+1.3*0.7)*10.764</f>
        <v>103.44203999999999</v>
      </c>
      <c r="F207" s="48">
        <v>585</v>
      </c>
      <c r="G207" s="76"/>
      <c r="H207" s="77"/>
      <c r="I207" s="61"/>
      <c r="N207" s="36"/>
    </row>
    <row r="208" spans="1:16" s="46" customFormat="1" x14ac:dyDescent="0.25">
      <c r="A208" s="186">
        <f t="shared" si="10"/>
        <v>703</v>
      </c>
      <c r="B208" s="186"/>
      <c r="C208" s="45">
        <v>2</v>
      </c>
      <c r="D208" s="48">
        <f>(4.6*2.8+2.75*2.1+2.75*3.35+3.1*3.3+2.1*1.2+2*1.15+3.3*0.9+2.85*1.2+2.35*1.2+2.825*1.35)*10.764</f>
        <v>602.15161499999988</v>
      </c>
      <c r="E208" s="48">
        <v>0</v>
      </c>
      <c r="F208" s="48">
        <v>975</v>
      </c>
      <c r="G208" s="76"/>
      <c r="H208" s="77"/>
      <c r="I208" s="61"/>
      <c r="N208" s="36"/>
    </row>
    <row r="209" spans="1:14" s="46" customFormat="1" x14ac:dyDescent="0.25">
      <c r="A209" s="186">
        <f t="shared" si="10"/>
        <v>704</v>
      </c>
      <c r="B209" s="186"/>
      <c r="C209" s="45">
        <v>3</v>
      </c>
      <c r="D209" s="48">
        <f>(6.25*3+3.1*2.3+3.05*2.15+3.05*2.75+3.05*3.6+3.3*2.85+2.1*1.2+2.4*1.35+2.1*1.15+2.35*1.2+3.85*1.2+3.4*1)*10.764</f>
        <v>863.54190000000017</v>
      </c>
      <c r="E209" s="48">
        <v>0</v>
      </c>
      <c r="F209" s="48">
        <v>1450</v>
      </c>
      <c r="G209" s="76"/>
      <c r="H209" s="77"/>
      <c r="I209" s="61"/>
      <c r="N209" s="36"/>
    </row>
    <row r="210" spans="1:14" s="46" customFormat="1" x14ac:dyDescent="0.25">
      <c r="A210" s="186">
        <f t="shared" si="10"/>
        <v>705</v>
      </c>
      <c r="B210" s="186"/>
      <c r="C210" s="45">
        <v>2</v>
      </c>
      <c r="D210" s="48">
        <f>(6.25*3+3.1*1.3+3.05*2.15+3.05*3+4.05*3.05+2.1*1.2+2.1*1.2+4.1*0.9+2.4*1.2+3.3*1.2)*10.764</f>
        <v>714.83723999999995</v>
      </c>
      <c r="E210" s="48">
        <v>0</v>
      </c>
      <c r="F210" s="48">
        <v>1150</v>
      </c>
      <c r="G210" s="76"/>
      <c r="H210" s="77"/>
      <c r="I210" s="61"/>
      <c r="J210" s="46">
        <f>4825000/F210</f>
        <v>4195.652173913043</v>
      </c>
      <c r="K210" s="46" t="s">
        <v>233</v>
      </c>
      <c r="N210" s="36"/>
    </row>
    <row r="211" spans="1:14" s="46" customFormat="1" x14ac:dyDescent="0.25">
      <c r="A211" s="186">
        <f t="shared" si="10"/>
        <v>706</v>
      </c>
      <c r="B211" s="186"/>
      <c r="C211" s="45">
        <v>2</v>
      </c>
      <c r="D211" s="48">
        <f>(6.25*3+3.1*1.3+3.05*2.15+3.05*3+4.05*3.05+2.1*1.2+2.1*1.2+4.1*0.9+2.4*1.2+3.3*1.2)*10.764</f>
        <v>714.83723999999995</v>
      </c>
      <c r="E211" s="48">
        <v>0</v>
      </c>
      <c r="F211" s="48">
        <v>1150</v>
      </c>
      <c r="G211" s="76"/>
      <c r="H211" s="77"/>
      <c r="I211" s="61"/>
      <c r="N211" s="36"/>
    </row>
    <row r="212" spans="1:14" s="46" customFormat="1" x14ac:dyDescent="0.25">
      <c r="A212" s="186">
        <f t="shared" si="10"/>
        <v>707</v>
      </c>
      <c r="B212" s="186"/>
      <c r="C212" s="45">
        <v>2</v>
      </c>
      <c r="D212" s="48">
        <f>(6.25*3+3.1*2.3+3.05*2.15+3.05*2.75+3.05*3.6+2.1*1.2+2.1*1.15+3.9*0.9+3.85*1.2+2.35*1.2)*10.764</f>
        <v>728.61515999999995</v>
      </c>
      <c r="E212" s="48">
        <f>(3.3*3.8+1.3*2.5)*10.764</f>
        <v>169.96355999999997</v>
      </c>
      <c r="F212" s="48">
        <v>1335</v>
      </c>
      <c r="G212" s="76"/>
      <c r="H212" s="77"/>
      <c r="I212" s="61"/>
      <c r="N212" s="36"/>
    </row>
    <row r="213" spans="1:14" s="46" customFormat="1" x14ac:dyDescent="0.25">
      <c r="A213" s="186">
        <f t="shared" si="10"/>
        <v>708</v>
      </c>
      <c r="B213" s="186"/>
      <c r="C213" s="45">
        <v>0</v>
      </c>
      <c r="D213" s="48">
        <f>(2.75*4.3+2.2*3.3+1.2*0.9+1.2*1.5+2.45*1+2.775*1)*10.764</f>
        <v>292.67315999999994</v>
      </c>
      <c r="E213" s="48">
        <f>(3.3*2.7)*10.764</f>
        <v>95.907240000000002</v>
      </c>
      <c r="F213" s="48">
        <v>575</v>
      </c>
      <c r="G213" s="76"/>
      <c r="H213" s="77"/>
      <c r="I213" s="61"/>
      <c r="N213" s="36"/>
    </row>
    <row r="214" spans="1:14" s="46" customFormat="1" x14ac:dyDescent="0.25">
      <c r="A214" s="186">
        <f t="shared" si="10"/>
        <v>709</v>
      </c>
      <c r="B214" s="186"/>
      <c r="C214" s="45">
        <v>0</v>
      </c>
      <c r="D214" s="48">
        <f>(2.75*4.3+2.2*3.3+1.2*0.9+1.2*1.5+2.45*1+2.775*1)*10.764</f>
        <v>292.67315999999994</v>
      </c>
      <c r="E214" s="48">
        <f>(3.3*2.7)*10.764</f>
        <v>95.907240000000002</v>
      </c>
      <c r="F214" s="48">
        <v>575</v>
      </c>
      <c r="G214" s="76"/>
      <c r="H214" s="77"/>
      <c r="I214" s="61"/>
      <c r="N214" s="36"/>
    </row>
    <row r="215" spans="1:14" s="46" customFormat="1" x14ac:dyDescent="0.25">
      <c r="A215" s="186">
        <f t="shared" si="10"/>
        <v>710</v>
      </c>
      <c r="B215" s="186"/>
      <c r="C215" s="45">
        <v>0</v>
      </c>
      <c r="D215" s="48">
        <f>(2.75*4.3+2.2*3.05+1.8*1.2+0.9*1.2+2.85*1.2+0.5*1.2)*10.764</f>
        <v>277.65737999999999</v>
      </c>
      <c r="E215" s="48">
        <f>(3*2.9+1.3*0.7)*10.764</f>
        <v>103.44203999999999</v>
      </c>
      <c r="F215" s="48">
        <v>560</v>
      </c>
      <c r="G215" s="78"/>
      <c r="H215" s="79"/>
      <c r="I215" s="61"/>
      <c r="N215" s="36"/>
    </row>
    <row r="216" spans="1:14" s="46" customFormat="1" ht="16.5" customHeight="1" x14ac:dyDescent="0.25">
      <c r="A216" s="84" t="s">
        <v>204</v>
      </c>
      <c r="B216" s="85"/>
      <c r="C216" s="85"/>
      <c r="D216" s="85"/>
      <c r="E216" s="85"/>
      <c r="F216" s="85"/>
      <c r="G216" s="85"/>
      <c r="H216" s="86"/>
      <c r="I216" s="61"/>
      <c r="J216" s="36"/>
    </row>
    <row r="217" spans="1:14" s="46" customFormat="1" x14ac:dyDescent="0.25">
      <c r="A217" s="185" t="s">
        <v>209</v>
      </c>
      <c r="B217" s="185"/>
      <c r="C217" s="185"/>
      <c r="D217" s="185"/>
      <c r="E217" s="185"/>
      <c r="F217" s="185"/>
      <c r="G217" s="185"/>
      <c r="H217" s="185"/>
      <c r="I217" s="61"/>
      <c r="L217" s="87"/>
      <c r="M217" s="87"/>
    </row>
    <row r="218" spans="1:14" s="46" customFormat="1" x14ac:dyDescent="0.25">
      <c r="A218" s="185" t="s">
        <v>210</v>
      </c>
      <c r="B218" s="185"/>
      <c r="C218" s="185"/>
      <c r="D218" s="185"/>
      <c r="E218" s="185"/>
      <c r="F218" s="185"/>
      <c r="G218" s="185"/>
      <c r="H218" s="185"/>
      <c r="I218" s="61"/>
      <c r="L218" s="87"/>
      <c r="M218" s="87"/>
    </row>
    <row r="219" spans="1:14" s="46" customFormat="1" x14ac:dyDescent="0.25">
      <c r="A219" s="186">
        <f>LEFT(A218,SUM(LEN(A218)-LEN(SUBSTITUTE(A218,{"0","1","2","3","4","5","6","7","8","9"},""))))*100+1</f>
        <v>101</v>
      </c>
      <c r="B219" s="186"/>
      <c r="C219" s="45">
        <v>1</v>
      </c>
      <c r="D219" s="48">
        <f>(2.75*4.3+2.2*3.3+2.75*3.3+0.9*1.2+1.5*1.2+2.45*1+2.7*1)*10.764</f>
        <v>389.54916000000003</v>
      </c>
      <c r="E219" s="48">
        <v>0</v>
      </c>
      <c r="F219" s="48">
        <v>635</v>
      </c>
      <c r="G219" s="74" t="str">
        <f>A218</f>
        <v>1st Floor For Residential</v>
      </c>
      <c r="H219" s="75"/>
      <c r="I219" s="61"/>
      <c r="N219" s="36"/>
    </row>
    <row r="220" spans="1:14" s="46" customFormat="1" x14ac:dyDescent="0.25">
      <c r="A220" s="186">
        <f t="shared" ref="A220:A226" si="11">A219+1</f>
        <v>102</v>
      </c>
      <c r="B220" s="186"/>
      <c r="C220" s="45">
        <v>1</v>
      </c>
      <c r="D220" s="48">
        <f>(2.75*4.3+2.2*3.3+2.75*3.3+0.9*1.2+1.5*1.2+2.45*1+2.775*1)*10.764</f>
        <v>390.35645999999997</v>
      </c>
      <c r="E220" s="48">
        <v>0</v>
      </c>
      <c r="F220" s="48">
        <v>635</v>
      </c>
      <c r="G220" s="76"/>
      <c r="H220" s="77"/>
      <c r="I220" s="61"/>
      <c r="N220" s="36"/>
    </row>
    <row r="221" spans="1:14" s="46" customFormat="1" x14ac:dyDescent="0.25">
      <c r="A221" s="186">
        <f t="shared" si="11"/>
        <v>103</v>
      </c>
      <c r="B221" s="186"/>
      <c r="C221" s="45">
        <v>1</v>
      </c>
      <c r="D221" s="48">
        <f>(2.75*4.3+2.2*3.3+2.75*3.3+0.9*1.2+1.5*1.2+2.45*1+2.775*1)*10.764</f>
        <v>390.35645999999997</v>
      </c>
      <c r="E221" s="48">
        <v>0</v>
      </c>
      <c r="F221" s="48">
        <v>635</v>
      </c>
      <c r="G221" s="76"/>
      <c r="H221" s="77"/>
      <c r="I221" s="61"/>
      <c r="N221" s="36"/>
    </row>
    <row r="222" spans="1:14" s="46" customFormat="1" x14ac:dyDescent="0.25">
      <c r="A222" s="186">
        <f t="shared" si="11"/>
        <v>104</v>
      </c>
      <c r="B222" s="186"/>
      <c r="C222" s="45">
        <v>1</v>
      </c>
      <c r="D222" s="48">
        <f>(2.75*4.3+2.2*3.3+2.75*3.3+0.9*1.2+1.5*1.2+2.45*1+2.775*1)*10.764</f>
        <v>390.35645999999997</v>
      </c>
      <c r="E222" s="48">
        <v>0</v>
      </c>
      <c r="F222" s="48">
        <v>635</v>
      </c>
      <c r="G222" s="76"/>
      <c r="H222" s="77"/>
      <c r="I222" s="61"/>
      <c r="N222" s="36"/>
    </row>
    <row r="223" spans="1:14" s="46" customFormat="1" x14ac:dyDescent="0.25">
      <c r="A223" s="186">
        <f t="shared" si="11"/>
        <v>105</v>
      </c>
      <c r="B223" s="186"/>
      <c r="C223" s="45">
        <v>1</v>
      </c>
      <c r="D223" s="48">
        <f>(2.75*4.3+2.2*3.3+2.75*3.3+0.9*1.2+1.5*1.2+2.45*1+2.775*1)*10.764</f>
        <v>390.35645999999997</v>
      </c>
      <c r="E223" s="48">
        <v>0</v>
      </c>
      <c r="F223" s="48">
        <v>635</v>
      </c>
      <c r="G223" s="76"/>
      <c r="H223" s="77"/>
      <c r="I223" s="61"/>
      <c r="N223" s="36"/>
    </row>
    <row r="224" spans="1:14" s="46" customFormat="1" x14ac:dyDescent="0.25">
      <c r="A224" s="186">
        <f t="shared" si="11"/>
        <v>106</v>
      </c>
      <c r="B224" s="186"/>
      <c r="C224" s="45">
        <v>1</v>
      </c>
      <c r="D224" s="48">
        <f>(2.75*4.3+2.2*3.3+2.75*3.3+0.9*1.2+1.5*1.2+2.45*1+2.7*1)*10.764</f>
        <v>389.54916000000003</v>
      </c>
      <c r="E224" s="48">
        <v>0</v>
      </c>
      <c r="F224" s="48">
        <v>635</v>
      </c>
      <c r="G224" s="76"/>
      <c r="H224" s="77"/>
      <c r="I224" s="61"/>
      <c r="N224" s="36"/>
    </row>
    <row r="225" spans="1:16" s="46" customFormat="1" x14ac:dyDescent="0.25">
      <c r="A225" s="186">
        <f t="shared" si="11"/>
        <v>107</v>
      </c>
      <c r="B225" s="186"/>
      <c r="C225" s="45">
        <v>1</v>
      </c>
      <c r="D225" s="48">
        <f>(2.75*5.5+2.2*3.05+3*3.05+1.8*1.2+1.8*1.2+1.1*0.5+3*1)*10.764</f>
        <v>418.23521999999986</v>
      </c>
      <c r="E225" s="48">
        <v>0</v>
      </c>
      <c r="F225" s="48">
        <v>675</v>
      </c>
      <c r="G225" s="76"/>
      <c r="H225" s="77"/>
      <c r="I225" s="61"/>
      <c r="N225" s="36"/>
    </row>
    <row r="226" spans="1:16" s="46" customFormat="1" x14ac:dyDescent="0.25">
      <c r="A226" s="186">
        <f t="shared" si="11"/>
        <v>108</v>
      </c>
      <c r="B226" s="186"/>
      <c r="C226" s="45">
        <v>1</v>
      </c>
      <c r="D226" s="48">
        <f>(2.75*4.3+2.2*3.05+2.85*3.05+1.8*1.2+1.8*1.2+1.1*0.5+2.45*1.2)*10.764</f>
        <v>377.14364999999992</v>
      </c>
      <c r="E226" s="48">
        <v>0</v>
      </c>
      <c r="F226" s="48">
        <v>615</v>
      </c>
      <c r="G226" s="78"/>
      <c r="H226" s="79"/>
      <c r="I226" s="61">
        <f>2450000/F226</f>
        <v>3983.7398373983738</v>
      </c>
      <c r="J226" s="46" t="s">
        <v>233</v>
      </c>
      <c r="N226" s="36"/>
    </row>
    <row r="227" spans="1:16" s="46" customFormat="1" x14ac:dyDescent="0.25">
      <c r="A227" s="185" t="s">
        <v>120</v>
      </c>
      <c r="B227" s="185"/>
      <c r="C227" s="185"/>
      <c r="D227" s="185"/>
      <c r="E227" s="185"/>
      <c r="F227" s="185"/>
      <c r="G227" s="185"/>
      <c r="H227" s="185"/>
      <c r="I227" s="61"/>
      <c r="L227" s="87"/>
      <c r="M227" s="87"/>
    </row>
    <row r="228" spans="1:16" s="46" customFormat="1" x14ac:dyDescent="0.25">
      <c r="A228" s="186">
        <f>LEFT(A227,SUM(LEN(A227)-LEN(SUBSTITUTE(A227,{"0","1","2","3","4","5","6","7","8","9"},""))))*100+1</f>
        <v>201</v>
      </c>
      <c r="B228" s="186"/>
      <c r="C228" s="45">
        <v>2</v>
      </c>
      <c r="D228" s="48">
        <f>(4.3*2.95+2.85*2.1+2.75*2.75+3.75*3+2.1*1.2+2.1*1.2+5*0.9+4.05*1+2.35*1.1)*10.764</f>
        <v>577.56933000000004</v>
      </c>
      <c r="E228" s="48">
        <v>0</v>
      </c>
      <c r="F228" s="48">
        <v>930</v>
      </c>
      <c r="G228" s="74" t="str">
        <f>A227</f>
        <v>2nd Floor</v>
      </c>
      <c r="H228" s="75"/>
      <c r="I228" s="61"/>
      <c r="N228" s="36"/>
    </row>
    <row r="229" spans="1:16" s="46" customFormat="1" x14ac:dyDescent="0.25">
      <c r="A229" s="186">
        <f t="shared" ref="A229:A239" si="12">A228+1</f>
        <v>202</v>
      </c>
      <c r="B229" s="186"/>
      <c r="C229" s="45">
        <v>2</v>
      </c>
      <c r="D229" s="48">
        <f>(4.3*2.95+2.85*2.1+2.75*2.75+3.75*3+2.1*1.2+2.1*1.2+5*0.9+4.05*1+2.35*1.1)*10.764</f>
        <v>577.56933000000004</v>
      </c>
      <c r="E229" s="48">
        <v>0</v>
      </c>
      <c r="F229" s="48">
        <v>930</v>
      </c>
      <c r="G229" s="76"/>
      <c r="H229" s="77"/>
      <c r="I229" s="61"/>
      <c r="N229" s="36"/>
    </row>
    <row r="230" spans="1:16" s="46" customFormat="1" x14ac:dyDescent="0.25">
      <c r="A230" s="186">
        <f t="shared" si="12"/>
        <v>203</v>
      </c>
      <c r="B230" s="186"/>
      <c r="C230" s="45">
        <v>1</v>
      </c>
      <c r="D230" s="48">
        <f>(2.75*4.3+2.2*3.05+2.85*3.05+1.8*1.2+1.8*1.2+1.1*0.5+2.45*1.2)*10.764</f>
        <v>377.14364999999992</v>
      </c>
      <c r="E230" s="48">
        <v>0</v>
      </c>
      <c r="F230" s="48">
        <v>615</v>
      </c>
      <c r="G230" s="76"/>
      <c r="H230" s="77"/>
      <c r="I230" s="61"/>
      <c r="N230" s="36"/>
    </row>
    <row r="231" spans="1:16" s="46" customFormat="1" x14ac:dyDescent="0.25">
      <c r="A231" s="186">
        <f t="shared" si="12"/>
        <v>204</v>
      </c>
      <c r="B231" s="186"/>
      <c r="C231" s="45">
        <v>1</v>
      </c>
      <c r="D231" s="48">
        <f>(2.75*4.3+2.2*3.05+3*3.05+1.8*1.2+1.8*1.2+1.1*0.5+2.7*1.2)*10.764</f>
        <v>385.29737999999992</v>
      </c>
      <c r="E231" s="48">
        <v>0</v>
      </c>
      <c r="F231" s="48">
        <v>630</v>
      </c>
      <c r="G231" s="76"/>
      <c r="H231" s="77"/>
      <c r="I231" s="61"/>
      <c r="N231" s="36"/>
    </row>
    <row r="232" spans="1:16" s="46" customFormat="1" x14ac:dyDescent="0.25">
      <c r="A232" s="186">
        <f t="shared" si="12"/>
        <v>205</v>
      </c>
      <c r="B232" s="186"/>
      <c r="C232" s="45">
        <v>1</v>
      </c>
      <c r="D232" s="48">
        <f>(2.75*4.3+2.2*3.3+2.75*3.3+0.9*1.2+1.5*1.2+2.45*1)*10.764</f>
        <v>360.48635999999999</v>
      </c>
      <c r="E232" s="48">
        <v>0</v>
      </c>
      <c r="F232" s="48">
        <v>585</v>
      </c>
      <c r="G232" s="76"/>
      <c r="H232" s="77"/>
      <c r="I232" s="61"/>
      <c r="N232" s="36"/>
    </row>
    <row r="233" spans="1:16" s="46" customFormat="1" x14ac:dyDescent="0.25">
      <c r="A233" s="186">
        <f t="shared" si="12"/>
        <v>206</v>
      </c>
      <c r="B233" s="186"/>
      <c r="C233" s="45">
        <v>1</v>
      </c>
      <c r="D233" s="48">
        <f t="shared" ref="D233:D237" si="13">(2.75*4.3+2.2*3.3+2.75*3.3+0.9*1.2+1.5*1.2+2.45*1)*10.764</f>
        <v>360.48635999999999</v>
      </c>
      <c r="E233" s="48">
        <v>0</v>
      </c>
      <c r="F233" s="48">
        <v>585</v>
      </c>
      <c r="G233" s="76"/>
      <c r="H233" s="77"/>
      <c r="I233" s="61"/>
      <c r="N233" s="36"/>
    </row>
    <row r="234" spans="1:16" s="46" customFormat="1" x14ac:dyDescent="0.25">
      <c r="A234" s="186">
        <f t="shared" si="12"/>
        <v>207</v>
      </c>
      <c r="B234" s="186"/>
      <c r="C234" s="45">
        <v>1</v>
      </c>
      <c r="D234" s="48">
        <f t="shared" si="13"/>
        <v>360.48635999999999</v>
      </c>
      <c r="E234" s="48">
        <v>0</v>
      </c>
      <c r="F234" s="48">
        <v>585</v>
      </c>
      <c r="G234" s="76"/>
      <c r="H234" s="77"/>
      <c r="I234" s="61"/>
      <c r="N234" s="36"/>
    </row>
    <row r="235" spans="1:16" s="46" customFormat="1" x14ac:dyDescent="0.25">
      <c r="A235" s="186">
        <f t="shared" si="12"/>
        <v>208</v>
      </c>
      <c r="B235" s="186"/>
      <c r="C235" s="45">
        <v>1</v>
      </c>
      <c r="D235" s="48">
        <f t="shared" si="13"/>
        <v>360.48635999999999</v>
      </c>
      <c r="E235" s="48">
        <v>0</v>
      </c>
      <c r="F235" s="48">
        <v>585</v>
      </c>
      <c r="G235" s="76"/>
      <c r="H235" s="77"/>
      <c r="I235" s="61"/>
      <c r="N235" s="36"/>
    </row>
    <row r="236" spans="1:16" s="46" customFormat="1" x14ac:dyDescent="0.25">
      <c r="A236" s="186">
        <f t="shared" si="12"/>
        <v>209</v>
      </c>
      <c r="B236" s="186"/>
      <c r="C236" s="45">
        <v>1</v>
      </c>
      <c r="D236" s="48">
        <f t="shared" si="13"/>
        <v>360.48635999999999</v>
      </c>
      <c r="E236" s="48">
        <v>0</v>
      </c>
      <c r="F236" s="48">
        <v>585</v>
      </c>
      <c r="G236" s="76"/>
      <c r="H236" s="77"/>
      <c r="I236" s="61"/>
      <c r="N236" s="36"/>
    </row>
    <row r="237" spans="1:16" s="46" customFormat="1" x14ac:dyDescent="0.25">
      <c r="A237" s="186">
        <f t="shared" si="12"/>
        <v>210</v>
      </c>
      <c r="B237" s="186"/>
      <c r="C237" s="45">
        <v>1</v>
      </c>
      <c r="D237" s="48">
        <f t="shared" si="13"/>
        <v>360.48635999999999</v>
      </c>
      <c r="E237" s="48">
        <v>0</v>
      </c>
      <c r="F237" s="48">
        <v>585</v>
      </c>
      <c r="G237" s="76"/>
      <c r="H237" s="77"/>
      <c r="I237" s="61"/>
      <c r="N237" s="36"/>
    </row>
    <row r="238" spans="1:16" s="46" customFormat="1" x14ac:dyDescent="0.25">
      <c r="A238" s="186">
        <f t="shared" si="12"/>
        <v>211</v>
      </c>
      <c r="B238" s="186"/>
      <c r="C238" s="45">
        <v>1</v>
      </c>
      <c r="D238" s="48">
        <f>(2.75*5.5+2.2*3.05+3*3.05+1.8*1.2+1.8*1.2+1.1*0.5+2.4*1)*10.764</f>
        <v>411.77681999999987</v>
      </c>
      <c r="E238" s="48">
        <v>0</v>
      </c>
      <c r="F238" s="48">
        <v>670</v>
      </c>
      <c r="G238" s="76"/>
      <c r="H238" s="77"/>
      <c r="I238" s="61"/>
      <c r="N238" s="36"/>
    </row>
    <row r="239" spans="1:16" s="46" customFormat="1" x14ac:dyDescent="0.25">
      <c r="A239" s="186">
        <f t="shared" si="12"/>
        <v>212</v>
      </c>
      <c r="B239" s="186"/>
      <c r="C239" s="45">
        <v>1</v>
      </c>
      <c r="D239" s="48">
        <f>(2.75*4.3+2.2*3.05+2.85*3.05+1.8*1.2+1.8*1.2+1.1*0.5+2.45*1.2)*10.764</f>
        <v>377.14364999999992</v>
      </c>
      <c r="E239" s="48">
        <v>0</v>
      </c>
      <c r="F239" s="48">
        <v>615</v>
      </c>
      <c r="G239" s="78"/>
      <c r="H239" s="79"/>
      <c r="I239" s="61"/>
      <c r="N239" s="36"/>
    </row>
    <row r="240" spans="1:16" s="46" customFormat="1" ht="15.75" customHeight="1" x14ac:dyDescent="0.25">
      <c r="A240" s="84" t="s">
        <v>224</v>
      </c>
      <c r="B240" s="85"/>
      <c r="C240" s="85"/>
      <c r="D240" s="85"/>
      <c r="E240" s="85"/>
      <c r="F240" s="85"/>
      <c r="G240" s="85"/>
      <c r="H240" s="86"/>
      <c r="I240" s="61"/>
      <c r="P240" s="37"/>
    </row>
    <row r="241" spans="1:16" s="46" customFormat="1" ht="15.75" customHeight="1" x14ac:dyDescent="0.25">
      <c r="A241" s="82" t="str">
        <f>M184</f>
        <v>401 &amp; 601</v>
      </c>
      <c r="B241" s="83"/>
      <c r="C241" s="45">
        <v>2</v>
      </c>
      <c r="D241" s="48">
        <f>(4.3*2.95+2.85*2.1+2.75*2.75+3.75*3+2.1*1.2+2.1*1.2+5*0.9+4.05*1+2.35*1.1)*10.764</f>
        <v>577.56933000000004</v>
      </c>
      <c r="E241" s="48">
        <v>0</v>
      </c>
      <c r="F241" s="48">
        <v>930</v>
      </c>
      <c r="G241" s="74" t="str">
        <f>A240</f>
        <v>4th &amp; 6th Floor</v>
      </c>
      <c r="H241" s="75"/>
      <c r="I241" s="61"/>
    </row>
    <row r="242" spans="1:16" s="46" customFormat="1" ht="15.75" customHeight="1" x14ac:dyDescent="0.25">
      <c r="A242" s="82" t="str">
        <f t="shared" ref="A242:A250" si="14">M185</f>
        <v>402 &amp; 602</v>
      </c>
      <c r="B242" s="83"/>
      <c r="C242" s="45">
        <v>2</v>
      </c>
      <c r="D242" s="48">
        <f>(4.3*2.95+2.85*2.1+2.75*2.75+3.75*3+2.1*1.2+2.1*1.2+5*0.9+4.05*1+2.35*1.1)*10.764</f>
        <v>577.56933000000004</v>
      </c>
      <c r="E242" s="48">
        <v>0</v>
      </c>
      <c r="F242" s="48">
        <v>930</v>
      </c>
      <c r="G242" s="76"/>
      <c r="H242" s="77"/>
      <c r="I242" s="61"/>
    </row>
    <row r="243" spans="1:16" s="46" customFormat="1" ht="15.75" customHeight="1" x14ac:dyDescent="0.25">
      <c r="A243" s="82" t="str">
        <f t="shared" si="14"/>
        <v>403 &amp; 603</v>
      </c>
      <c r="B243" s="83"/>
      <c r="C243" s="45">
        <v>1</v>
      </c>
      <c r="D243" s="48">
        <f>(2.75*4.3+2.2*3.05+2.85*3.05+1.8*1.2+1.8*1.2+1.1*0.5+2.45*1.2)*10.764</f>
        <v>377.14364999999992</v>
      </c>
      <c r="E243" s="48">
        <v>0</v>
      </c>
      <c r="F243" s="48">
        <v>615</v>
      </c>
      <c r="G243" s="76"/>
      <c r="H243" s="77"/>
      <c r="I243" s="61"/>
    </row>
    <row r="244" spans="1:16" s="46" customFormat="1" ht="15.75" customHeight="1" x14ac:dyDescent="0.25">
      <c r="A244" s="82" t="str">
        <f t="shared" si="14"/>
        <v>404 &amp; 604</v>
      </c>
      <c r="B244" s="83"/>
      <c r="C244" s="45">
        <v>1</v>
      </c>
      <c r="D244" s="48">
        <f>(2.75*4.3+2.2*3.05+3*3.05+1.8*1.2+1.8*1.2+1.1*0.5+2.7*1.2)*10.764</f>
        <v>385.29737999999992</v>
      </c>
      <c r="E244" s="48">
        <v>0</v>
      </c>
      <c r="F244" s="48">
        <v>630</v>
      </c>
      <c r="G244" s="76"/>
      <c r="H244" s="77"/>
      <c r="I244" s="61"/>
    </row>
    <row r="245" spans="1:16" s="46" customFormat="1" ht="15.75" customHeight="1" x14ac:dyDescent="0.25">
      <c r="A245" s="82" t="str">
        <f t="shared" si="14"/>
        <v>405 &amp; 605</v>
      </c>
      <c r="B245" s="83"/>
      <c r="C245" s="45">
        <v>1</v>
      </c>
      <c r="D245" s="48">
        <f t="shared" ref="D245:D250" si="15">(2.75*4.3+2.2*3.3+2.75*3.3+0.9*1.2+1.5*1.2+2.45*1)*10.764</f>
        <v>360.48635999999999</v>
      </c>
      <c r="E245" s="48">
        <v>0</v>
      </c>
      <c r="F245" s="48">
        <v>585</v>
      </c>
      <c r="G245" s="76"/>
      <c r="H245" s="77"/>
      <c r="I245" s="61"/>
    </row>
    <row r="246" spans="1:16" s="46" customFormat="1" ht="15.75" customHeight="1" x14ac:dyDescent="0.25">
      <c r="A246" s="82" t="str">
        <f t="shared" si="14"/>
        <v>406 &amp; 606</v>
      </c>
      <c r="B246" s="83"/>
      <c r="C246" s="45">
        <v>1</v>
      </c>
      <c r="D246" s="48">
        <f t="shared" si="15"/>
        <v>360.48635999999999</v>
      </c>
      <c r="E246" s="48">
        <v>0</v>
      </c>
      <c r="F246" s="48">
        <v>585</v>
      </c>
      <c r="G246" s="76"/>
      <c r="H246" s="77"/>
      <c r="I246" s="61"/>
    </row>
    <row r="247" spans="1:16" s="46" customFormat="1" ht="15.75" customHeight="1" x14ac:dyDescent="0.25">
      <c r="A247" s="82" t="str">
        <f t="shared" si="14"/>
        <v>407 &amp; 607</v>
      </c>
      <c r="B247" s="83"/>
      <c r="C247" s="45">
        <v>1</v>
      </c>
      <c r="D247" s="48">
        <f t="shared" si="15"/>
        <v>360.48635999999999</v>
      </c>
      <c r="E247" s="48">
        <v>0</v>
      </c>
      <c r="F247" s="48">
        <v>585</v>
      </c>
      <c r="G247" s="76"/>
      <c r="H247" s="77"/>
      <c r="I247" s="61"/>
    </row>
    <row r="248" spans="1:16" s="46" customFormat="1" ht="15.75" customHeight="1" x14ac:dyDescent="0.25">
      <c r="A248" s="82" t="str">
        <f t="shared" si="14"/>
        <v>408 &amp; 608</v>
      </c>
      <c r="B248" s="83"/>
      <c r="C248" s="45">
        <v>1</v>
      </c>
      <c r="D248" s="48">
        <f t="shared" si="15"/>
        <v>360.48635999999999</v>
      </c>
      <c r="E248" s="48">
        <v>0</v>
      </c>
      <c r="F248" s="48">
        <v>585</v>
      </c>
      <c r="G248" s="76"/>
      <c r="H248" s="77"/>
      <c r="I248" s="61"/>
    </row>
    <row r="249" spans="1:16" s="46" customFormat="1" ht="15.75" customHeight="1" x14ac:dyDescent="0.25">
      <c r="A249" s="82" t="str">
        <f t="shared" si="14"/>
        <v>409 &amp; 609</v>
      </c>
      <c r="B249" s="83"/>
      <c r="C249" s="45">
        <v>1</v>
      </c>
      <c r="D249" s="48">
        <f t="shared" si="15"/>
        <v>360.48635999999999</v>
      </c>
      <c r="E249" s="48">
        <v>0</v>
      </c>
      <c r="F249" s="48">
        <v>585</v>
      </c>
      <c r="G249" s="76"/>
      <c r="H249" s="77"/>
      <c r="I249" s="61"/>
    </row>
    <row r="250" spans="1:16" s="46" customFormat="1" ht="15.75" customHeight="1" x14ac:dyDescent="0.25">
      <c r="A250" s="82" t="str">
        <f t="shared" si="14"/>
        <v>410 &amp; 610</v>
      </c>
      <c r="B250" s="83"/>
      <c r="C250" s="45">
        <v>1</v>
      </c>
      <c r="D250" s="48">
        <f t="shared" si="15"/>
        <v>360.48635999999999</v>
      </c>
      <c r="E250" s="48">
        <v>0</v>
      </c>
      <c r="F250" s="48">
        <v>585</v>
      </c>
      <c r="G250" s="76"/>
      <c r="H250" s="77"/>
      <c r="I250" s="61"/>
    </row>
    <row r="251" spans="1:16" s="46" customFormat="1" ht="15.75" customHeight="1" x14ac:dyDescent="0.25">
      <c r="A251" s="82" t="s">
        <v>235</v>
      </c>
      <c r="B251" s="83"/>
      <c r="C251" s="45">
        <v>1</v>
      </c>
      <c r="D251" s="48">
        <f>(2.75*5.5+2.2*3.05+3*3.05+1.8*1.2+1.8*1.2+1.1*0.5+2.4*1)*10.764</f>
        <v>411.77681999999987</v>
      </c>
      <c r="E251" s="48">
        <v>0</v>
      </c>
      <c r="F251" s="48">
        <v>670</v>
      </c>
      <c r="G251" s="76"/>
      <c r="H251" s="77"/>
      <c r="I251" s="61"/>
    </row>
    <row r="252" spans="1:16" s="46" customFormat="1" ht="15.75" customHeight="1" x14ac:dyDescent="0.25">
      <c r="A252" s="82" t="s">
        <v>236</v>
      </c>
      <c r="B252" s="83"/>
      <c r="C252" s="45">
        <v>1</v>
      </c>
      <c r="D252" s="48">
        <f>(2.75*4.3+2.2*3.05+2.85*3.05+1.8*1.2+1.8*1.2+1.1*0.5+2.45*1.2)*10.764</f>
        <v>377.14364999999992</v>
      </c>
      <c r="E252" s="48">
        <v>0</v>
      </c>
      <c r="F252" s="48">
        <v>615</v>
      </c>
      <c r="G252" s="78"/>
      <c r="H252" s="79"/>
      <c r="I252" s="61"/>
    </row>
    <row r="253" spans="1:16" s="46" customFormat="1" x14ac:dyDescent="0.25">
      <c r="A253" s="84" t="s">
        <v>191</v>
      </c>
      <c r="B253" s="85"/>
      <c r="C253" s="85"/>
      <c r="D253" s="85"/>
      <c r="E253" s="85"/>
      <c r="F253" s="85"/>
      <c r="G253" s="85"/>
      <c r="H253" s="86"/>
      <c r="I253" s="61"/>
      <c r="P253" s="37"/>
    </row>
    <row r="254" spans="1:16" s="46" customFormat="1" ht="15.75" customHeight="1" x14ac:dyDescent="0.25">
      <c r="A254" s="82" t="s">
        <v>194</v>
      </c>
      <c r="B254" s="83"/>
      <c r="C254" s="66">
        <v>2</v>
      </c>
      <c r="D254" s="67">
        <f>(4.3*2.95+2.85*2.1+2.75*2.75+3.75*3+2.1*1.2+2.1*1.2+5*0.9+4.05*1+2.35*1.1)*10.764</f>
        <v>577.56933000000004</v>
      </c>
      <c r="E254" s="48">
        <v>0</v>
      </c>
      <c r="F254" s="48">
        <v>930</v>
      </c>
      <c r="G254" s="74" t="str">
        <f>A253</f>
        <v>3rd &amp; 5th Floor</v>
      </c>
      <c r="H254" s="75"/>
      <c r="I254" s="61"/>
    </row>
    <row r="255" spans="1:16" s="46" customFormat="1" ht="15.75" customHeight="1" x14ac:dyDescent="0.25">
      <c r="A255" s="82" t="s">
        <v>195</v>
      </c>
      <c r="B255" s="83"/>
      <c r="C255" s="66">
        <v>2</v>
      </c>
      <c r="D255" s="67">
        <f>(4.3*2.95+2.85*2.1+2.75*2.75+3.75*3+2.1*1.2+2.1*1.2+5*0.9+4.05*1+2.35*1.1)*10.764</f>
        <v>577.56933000000004</v>
      </c>
      <c r="E255" s="48">
        <v>0</v>
      </c>
      <c r="F255" s="48">
        <v>930</v>
      </c>
      <c r="G255" s="76"/>
      <c r="H255" s="77"/>
      <c r="I255" s="61"/>
    </row>
    <row r="256" spans="1:16" s="46" customFormat="1" ht="15.75" customHeight="1" x14ac:dyDescent="0.25">
      <c r="A256" s="82" t="s">
        <v>196</v>
      </c>
      <c r="B256" s="83"/>
      <c r="C256" s="66">
        <v>1</v>
      </c>
      <c r="D256" s="67">
        <f>(2.75*4.3+2.2*3.05+2.85*3.05+1.8*1.2+1.8*1.2+1.1*0.9+2.45*1.2)*10.764</f>
        <v>381.87980999999996</v>
      </c>
      <c r="E256" s="48">
        <v>0</v>
      </c>
      <c r="F256" s="48">
        <v>615</v>
      </c>
      <c r="G256" s="76"/>
      <c r="H256" s="77"/>
      <c r="I256" s="61"/>
    </row>
    <row r="257" spans="1:14" s="46" customFormat="1" ht="15.75" customHeight="1" x14ac:dyDescent="0.25">
      <c r="A257" s="82" t="s">
        <v>197</v>
      </c>
      <c r="B257" s="83"/>
      <c r="C257" s="66">
        <v>1</v>
      </c>
      <c r="D257" s="67">
        <f>(2.75*4.3+2.2*3.05+3*3.05+1.8*1.2+1.8*1.2+1.1*0.5+2.7*1.2)*10.764</f>
        <v>385.29737999999992</v>
      </c>
      <c r="E257" s="48">
        <v>0</v>
      </c>
      <c r="F257" s="48">
        <v>630</v>
      </c>
      <c r="G257" s="76"/>
      <c r="H257" s="77"/>
      <c r="I257" s="61"/>
    </row>
    <row r="258" spans="1:14" s="46" customFormat="1" ht="15.75" customHeight="1" x14ac:dyDescent="0.25">
      <c r="A258" s="82" t="s">
        <v>198</v>
      </c>
      <c r="B258" s="83"/>
      <c r="C258" s="66">
        <v>1</v>
      </c>
      <c r="D258" s="67">
        <f>(2.75*4.3+2.2*3.3+2.75*3.3+0.9*1.2+1.5*1.2+2.45*1+2.7*1)*10.764</f>
        <v>389.54916000000003</v>
      </c>
      <c r="E258" s="48">
        <v>0</v>
      </c>
      <c r="F258" s="48">
        <v>635</v>
      </c>
      <c r="G258" s="76"/>
      <c r="H258" s="77"/>
      <c r="I258" s="61"/>
    </row>
    <row r="259" spans="1:14" s="46" customFormat="1" ht="15.75" customHeight="1" x14ac:dyDescent="0.25">
      <c r="A259" s="82" t="s">
        <v>199</v>
      </c>
      <c r="B259" s="83"/>
      <c r="C259" s="66">
        <v>1</v>
      </c>
      <c r="D259" s="67">
        <f>(2.75*4.3+2.2*3.3+2.75*3.3+0.9*1.2+1.5*1.2+2.45*1+2.775*1)*10.764</f>
        <v>390.35645999999997</v>
      </c>
      <c r="E259" s="48">
        <v>0</v>
      </c>
      <c r="F259" s="48">
        <v>635</v>
      </c>
      <c r="G259" s="76"/>
      <c r="H259" s="77"/>
      <c r="I259" s="61"/>
    </row>
    <row r="260" spans="1:14" s="46" customFormat="1" ht="15.75" customHeight="1" x14ac:dyDescent="0.25">
      <c r="A260" s="82" t="s">
        <v>200</v>
      </c>
      <c r="B260" s="83"/>
      <c r="C260" s="66">
        <v>1</v>
      </c>
      <c r="D260" s="67">
        <f>(2.75*4.3+2.2*3.3+2.75*3.3+0.9*1.2+1.5*1.2+2.45*1+2.775*1)*10.764</f>
        <v>390.35645999999997</v>
      </c>
      <c r="E260" s="48">
        <v>0</v>
      </c>
      <c r="F260" s="48">
        <v>635</v>
      </c>
      <c r="G260" s="76"/>
      <c r="H260" s="77"/>
      <c r="I260" s="61"/>
    </row>
    <row r="261" spans="1:14" s="46" customFormat="1" ht="15.75" customHeight="1" x14ac:dyDescent="0.25">
      <c r="A261" s="82" t="s">
        <v>201</v>
      </c>
      <c r="B261" s="83"/>
      <c r="C261" s="45">
        <v>1</v>
      </c>
      <c r="D261" s="48">
        <f>(2.75*4.3+2.2*3.3+2.75*3.3+0.9*1.2+1.5*1.2+2.45*1+2.775*1)*10.764</f>
        <v>390.35645999999997</v>
      </c>
      <c r="E261" s="48">
        <v>0</v>
      </c>
      <c r="F261" s="48">
        <v>635</v>
      </c>
      <c r="G261" s="76"/>
      <c r="H261" s="77"/>
      <c r="I261" s="61"/>
    </row>
    <row r="262" spans="1:14" s="46" customFormat="1" ht="15.75" customHeight="1" x14ac:dyDescent="0.25">
      <c r="A262" s="82" t="s">
        <v>202</v>
      </c>
      <c r="B262" s="83"/>
      <c r="C262" s="45">
        <v>1</v>
      </c>
      <c r="D262" s="48">
        <f>(2.75*4.3+2.2*3.3+2.75*3.3+0.9*1.2+1.5*1.2+2.45*1+2.775*1)*10.764</f>
        <v>390.35645999999997</v>
      </c>
      <c r="E262" s="48">
        <v>0</v>
      </c>
      <c r="F262" s="48">
        <v>635</v>
      </c>
      <c r="G262" s="76"/>
      <c r="H262" s="77"/>
      <c r="I262" s="61"/>
    </row>
    <row r="263" spans="1:14" s="46" customFormat="1" ht="15.75" customHeight="1" x14ac:dyDescent="0.25">
      <c r="A263" s="82" t="s">
        <v>203</v>
      </c>
      <c r="B263" s="83"/>
      <c r="C263" s="45">
        <v>1</v>
      </c>
      <c r="D263" s="48">
        <f>(2.75*4.3+2.2*3.3+2.75*3.3+0.9*1.2+1.5*1.2+2.45*1+2.7*1)*10.764</f>
        <v>389.54916000000003</v>
      </c>
      <c r="E263" s="48">
        <v>0</v>
      </c>
      <c r="F263" s="48">
        <v>635</v>
      </c>
      <c r="G263" s="76"/>
      <c r="H263" s="77"/>
      <c r="I263" s="61"/>
    </row>
    <row r="264" spans="1:14" s="46" customFormat="1" ht="15.75" customHeight="1" x14ac:dyDescent="0.25">
      <c r="A264" s="82" t="s">
        <v>207</v>
      </c>
      <c r="B264" s="83"/>
      <c r="C264" s="45">
        <v>1</v>
      </c>
      <c r="D264" s="48">
        <f>(2.75*5.5+2.2*3.05+3*3.05+1.8*1.2+1.8*1.2+1.1*0.5+2.4*1)*10.764</f>
        <v>411.77681999999987</v>
      </c>
      <c r="E264" s="48">
        <v>0</v>
      </c>
      <c r="F264" s="48">
        <v>675</v>
      </c>
      <c r="G264" s="76"/>
      <c r="H264" s="77"/>
      <c r="I264" s="61"/>
    </row>
    <row r="265" spans="1:14" s="46" customFormat="1" ht="15.75" customHeight="1" x14ac:dyDescent="0.25">
      <c r="A265" s="82" t="s">
        <v>208</v>
      </c>
      <c r="B265" s="83"/>
      <c r="C265" s="45">
        <v>1</v>
      </c>
      <c r="D265" s="48">
        <f>(2.75*4.3+2.2*3.05+2.85*3.05+1.8*1.2+1.8*1.2+1.1*0.5+2.45*1.2)*10.764</f>
        <v>377.14364999999992</v>
      </c>
      <c r="E265" s="48">
        <v>0</v>
      </c>
      <c r="F265" s="48">
        <v>615</v>
      </c>
      <c r="G265" s="78"/>
      <c r="H265" s="79"/>
      <c r="I265" s="61"/>
    </row>
    <row r="266" spans="1:14" s="46" customFormat="1" x14ac:dyDescent="0.25">
      <c r="A266" s="185" t="s">
        <v>206</v>
      </c>
      <c r="B266" s="185"/>
      <c r="C266" s="185"/>
      <c r="D266" s="185"/>
      <c r="E266" s="185"/>
      <c r="F266" s="185"/>
      <c r="G266" s="185"/>
      <c r="H266" s="185"/>
      <c r="I266" s="61"/>
      <c r="L266" s="87"/>
      <c r="M266" s="87"/>
    </row>
    <row r="267" spans="1:14" s="46" customFormat="1" x14ac:dyDescent="0.25">
      <c r="A267" s="186">
        <f>LEFT(A266,SUM(LEN(A266)-LEN(SUBSTITUTE(A266,{"0","1","2","3","4","5","6","7","8","9"},""))))*100+1</f>
        <v>701</v>
      </c>
      <c r="B267" s="186"/>
      <c r="C267" s="45">
        <v>2</v>
      </c>
      <c r="D267" s="48">
        <f>(4.3*2.95+2.85*2.1+2.75*2.75+3.75*3+2.1*1.2+2.1*1.2+5*0.9+4.05*1+2.35*1.1)*10.764</f>
        <v>577.56933000000004</v>
      </c>
      <c r="E267" s="48">
        <v>0</v>
      </c>
      <c r="F267" s="48">
        <v>930</v>
      </c>
      <c r="G267" s="74" t="str">
        <f>A266</f>
        <v>7th Floor</v>
      </c>
      <c r="H267" s="75"/>
      <c r="I267" s="61"/>
      <c r="J267" s="46">
        <f>3900000/F267</f>
        <v>4193.5483870967746</v>
      </c>
      <c r="K267" s="46" t="s">
        <v>233</v>
      </c>
      <c r="N267" s="36"/>
    </row>
    <row r="268" spans="1:14" s="46" customFormat="1" x14ac:dyDescent="0.25">
      <c r="A268" s="186">
        <f t="shared" ref="A268:A278" si="16">A267+1</f>
        <v>702</v>
      </c>
      <c r="B268" s="186"/>
      <c r="C268" s="45">
        <v>2</v>
      </c>
      <c r="D268" s="48">
        <f>(4.3*2.95+2.85*2.1+2.75*2.75+3.75*3+2.1*1.2+2.1*1.2+5*0.9+4.05*1+2.35*1.1)*10.764</f>
        <v>577.56933000000004</v>
      </c>
      <c r="E268" s="48">
        <v>0</v>
      </c>
      <c r="F268" s="48">
        <v>930</v>
      </c>
      <c r="G268" s="76"/>
      <c r="H268" s="77"/>
      <c r="I268" s="61"/>
      <c r="N268" s="36"/>
    </row>
    <row r="269" spans="1:14" s="46" customFormat="1" x14ac:dyDescent="0.25">
      <c r="A269" s="186">
        <f t="shared" si="16"/>
        <v>703</v>
      </c>
      <c r="B269" s="186"/>
      <c r="C269" s="45">
        <v>0</v>
      </c>
      <c r="D269" s="48">
        <f>(2.75*4.3+2.2*3.05+1.8*1.2+0.9*1.2+1.1*0.5+2.45*1.2)*10.764</f>
        <v>271.95245999999997</v>
      </c>
      <c r="E269" s="48">
        <f>(2.5*3+1.3*0.7)*10.764</f>
        <v>90.525239999999997</v>
      </c>
      <c r="F269" s="48">
        <v>550</v>
      </c>
      <c r="G269" s="76"/>
      <c r="H269" s="77"/>
      <c r="I269" s="61"/>
      <c r="N269" s="36"/>
    </row>
    <row r="270" spans="1:14" s="46" customFormat="1" x14ac:dyDescent="0.25">
      <c r="A270" s="186">
        <f t="shared" si="16"/>
        <v>704</v>
      </c>
      <c r="B270" s="186"/>
      <c r="C270" s="45">
        <v>0</v>
      </c>
      <c r="D270" s="48">
        <f>(2.75*4.3+2.2*3.05+1.8*1.2+1.2*0.9+1.1*0.5+2.7*1.2)*10.764</f>
        <v>275.18165999999997</v>
      </c>
      <c r="E270" s="48">
        <f>(3*2.9+1.3*0.8)*10.764</f>
        <v>104.84135999999998</v>
      </c>
      <c r="F270" s="48">
        <v>560</v>
      </c>
      <c r="G270" s="76"/>
      <c r="H270" s="77"/>
      <c r="I270" s="61"/>
      <c r="N270" s="36"/>
    </row>
    <row r="271" spans="1:14" s="46" customFormat="1" x14ac:dyDescent="0.25">
      <c r="A271" s="186">
        <f t="shared" si="16"/>
        <v>705</v>
      </c>
      <c r="B271" s="186"/>
      <c r="C271" s="45">
        <v>0</v>
      </c>
      <c r="D271" s="48">
        <f>(2.75*4.3+2.2*3.3+0.9*1.2+1.5*1.2+2.45*1+2.7*1)*10.764</f>
        <v>291.86585999999994</v>
      </c>
      <c r="E271" s="48">
        <f t="shared" ref="E271:E276" si="17">(2.7*3.3)*10.764</f>
        <v>95.907240000000002</v>
      </c>
      <c r="F271" s="48">
        <v>570</v>
      </c>
      <c r="G271" s="76"/>
      <c r="H271" s="77"/>
      <c r="I271" s="61"/>
      <c r="N271" s="36"/>
    </row>
    <row r="272" spans="1:14" s="46" customFormat="1" x14ac:dyDescent="0.25">
      <c r="A272" s="186">
        <f t="shared" si="16"/>
        <v>706</v>
      </c>
      <c r="B272" s="186"/>
      <c r="C272" s="45">
        <v>0</v>
      </c>
      <c r="D272" s="48">
        <f>(2.75*4.3+2.2*3.3+0.9*1.2+1.5*1.2+2.45*1+2.775*1)*10.764</f>
        <v>292.67315999999994</v>
      </c>
      <c r="E272" s="48">
        <f t="shared" si="17"/>
        <v>95.907240000000002</v>
      </c>
      <c r="F272" s="48">
        <v>570</v>
      </c>
      <c r="G272" s="76"/>
      <c r="H272" s="77"/>
      <c r="I272" s="61"/>
      <c r="N272" s="36"/>
    </row>
    <row r="273" spans="1:14" s="46" customFormat="1" x14ac:dyDescent="0.25">
      <c r="A273" s="186">
        <f t="shared" si="16"/>
        <v>707</v>
      </c>
      <c r="B273" s="186"/>
      <c r="C273" s="45">
        <v>0</v>
      </c>
      <c r="D273" s="48">
        <f>(2.75*4.3+2.2*3.3+0.9*1.2+1.5*1.2+2.45*1+2.775*1)*10.764</f>
        <v>292.67315999999994</v>
      </c>
      <c r="E273" s="48">
        <f t="shared" si="17"/>
        <v>95.907240000000002</v>
      </c>
      <c r="F273" s="48">
        <v>570</v>
      </c>
      <c r="G273" s="76"/>
      <c r="H273" s="77"/>
      <c r="I273" s="61"/>
      <c r="N273" s="36"/>
    </row>
    <row r="274" spans="1:14" s="46" customFormat="1" x14ac:dyDescent="0.25">
      <c r="A274" s="186">
        <f t="shared" si="16"/>
        <v>708</v>
      </c>
      <c r="B274" s="186"/>
      <c r="C274" s="45">
        <v>0</v>
      </c>
      <c r="D274" s="48">
        <f>(2.75*4.3+2.2*3.3+0.9*1.2+1.5*1.2+2.45*1+2.775*1)*10.764</f>
        <v>292.67315999999994</v>
      </c>
      <c r="E274" s="48">
        <f t="shared" si="17"/>
        <v>95.907240000000002</v>
      </c>
      <c r="F274" s="48">
        <v>570</v>
      </c>
      <c r="G274" s="76"/>
      <c r="H274" s="77"/>
      <c r="I274" s="61"/>
      <c r="N274" s="36"/>
    </row>
    <row r="275" spans="1:14" s="46" customFormat="1" x14ac:dyDescent="0.25">
      <c r="A275" s="186">
        <f t="shared" si="16"/>
        <v>709</v>
      </c>
      <c r="B275" s="186"/>
      <c r="C275" s="45">
        <v>0</v>
      </c>
      <c r="D275" s="48">
        <f>(2.75*4.3+2.2*3.3+0.9*1.2+1.5*1.2+2.45*1+2.775*1)*10.764</f>
        <v>292.67315999999994</v>
      </c>
      <c r="E275" s="48">
        <f t="shared" si="17"/>
        <v>95.907240000000002</v>
      </c>
      <c r="F275" s="48">
        <v>570</v>
      </c>
      <c r="G275" s="76"/>
      <c r="H275" s="77"/>
      <c r="I275" s="61"/>
      <c r="N275" s="36"/>
    </row>
    <row r="276" spans="1:14" s="46" customFormat="1" x14ac:dyDescent="0.25">
      <c r="A276" s="186">
        <f t="shared" si="16"/>
        <v>710</v>
      </c>
      <c r="B276" s="186"/>
      <c r="C276" s="45">
        <v>0</v>
      </c>
      <c r="D276" s="48">
        <f>(2.75*4.3+2.2*3.3+0.9*1.2+1.5*1.2+2.45*1+2.7*1)*10.764</f>
        <v>291.86585999999994</v>
      </c>
      <c r="E276" s="48">
        <f t="shared" si="17"/>
        <v>95.907240000000002</v>
      </c>
      <c r="F276" s="48">
        <v>570</v>
      </c>
      <c r="G276" s="76"/>
      <c r="H276" s="77"/>
      <c r="I276" s="61"/>
      <c r="N276" s="36"/>
    </row>
    <row r="277" spans="1:14" s="46" customFormat="1" x14ac:dyDescent="0.25">
      <c r="A277" s="186">
        <f t="shared" si="16"/>
        <v>711</v>
      </c>
      <c r="B277" s="186"/>
      <c r="C277" s="45">
        <v>0</v>
      </c>
      <c r="D277" s="48">
        <f>(2.75*5.5+2.2*3.05+1.8*1.2+0.9*1.2+1.1*0.5+3*1)*10.764</f>
        <v>308.11950000000002</v>
      </c>
      <c r="E277" s="48">
        <f>(2.8*3+1.3*0.8)*10.764</f>
        <v>101.61215999999997</v>
      </c>
      <c r="F277" s="48">
        <v>610</v>
      </c>
      <c r="G277" s="76"/>
      <c r="H277" s="77"/>
      <c r="I277" s="61"/>
      <c r="N277" s="36"/>
    </row>
    <row r="278" spans="1:14" s="46" customFormat="1" x14ac:dyDescent="0.25">
      <c r="A278" s="186">
        <f t="shared" si="16"/>
        <v>712</v>
      </c>
      <c r="B278" s="186"/>
      <c r="C278" s="45">
        <v>0</v>
      </c>
      <c r="D278" s="48">
        <f>(2.75*4.3+2.2*3.05+0.9*1.2+1.8*1.2+1.1*0.5+2.45*1.2)*10.764</f>
        <v>271.95246000000003</v>
      </c>
      <c r="E278" s="48">
        <f>(2.8*3+1.3*0.8)*10.764</f>
        <v>101.61215999999997</v>
      </c>
      <c r="F278" s="48">
        <v>550</v>
      </c>
      <c r="G278" s="78"/>
      <c r="H278" s="79"/>
      <c r="I278" s="61"/>
      <c r="N278" s="36"/>
    </row>
    <row r="279" spans="1:14" s="35" customFormat="1" x14ac:dyDescent="0.25">
      <c r="A279" s="115" t="s">
        <v>68</v>
      </c>
      <c r="B279" s="115"/>
      <c r="C279" s="115"/>
      <c r="D279" s="115"/>
      <c r="E279" s="115"/>
      <c r="F279" s="115"/>
      <c r="G279" s="115"/>
      <c r="H279" s="115"/>
    </row>
    <row r="280" spans="1:14" s="35" customFormat="1" ht="17.25" customHeight="1" x14ac:dyDescent="0.25">
      <c r="A280" s="59" t="s">
        <v>157</v>
      </c>
      <c r="B280" s="68" t="s">
        <v>245</v>
      </c>
      <c r="C280" s="69"/>
      <c r="D280" s="69"/>
      <c r="E280" s="69"/>
      <c r="F280" s="69"/>
      <c r="G280" s="69"/>
      <c r="H280" s="70"/>
    </row>
    <row r="281" spans="1:14" s="35" customFormat="1" x14ac:dyDescent="0.25">
      <c r="A281" s="59" t="s">
        <v>157</v>
      </c>
      <c r="B281" s="68" t="str">
        <f>(IF(F170="Saleable area Loading :","We have considered Saleable area of Flats as per our Calculation.","We considered Saleable area of Flat as per Builder area Sheet."))</f>
        <v>We considered Saleable area of Flat as per Builder area Sheet.</v>
      </c>
      <c r="C281" s="69"/>
      <c r="D281" s="69"/>
      <c r="E281" s="69"/>
      <c r="F281" s="69"/>
      <c r="G281" s="69"/>
      <c r="H281" s="70"/>
    </row>
    <row r="282" spans="1:14" s="35" customFormat="1" x14ac:dyDescent="0.25">
      <c r="A282" s="59" t="s">
        <v>157</v>
      </c>
      <c r="B282" s="68" t="str">
        <f>(IF(F119="Saleable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82" s="69"/>
      <c r="D282" s="69"/>
      <c r="E282" s="69"/>
      <c r="F282" s="69"/>
      <c r="G282" s="69"/>
      <c r="H282" s="70"/>
    </row>
    <row r="283" spans="1:14" s="35" customFormat="1" x14ac:dyDescent="0.25">
      <c r="A283" s="59" t="s">
        <v>157</v>
      </c>
      <c r="B283" s="68" t="s">
        <v>127</v>
      </c>
      <c r="C283" s="69"/>
      <c r="D283" s="69"/>
      <c r="E283" s="69"/>
      <c r="F283" s="69"/>
      <c r="G283" s="69"/>
      <c r="H283" s="70"/>
    </row>
    <row r="284" spans="1:14" s="35" customFormat="1" x14ac:dyDescent="0.25">
      <c r="A284" s="50" t="s">
        <v>157</v>
      </c>
      <c r="B284" s="112" t="s">
        <v>225</v>
      </c>
      <c r="C284" s="113"/>
      <c r="D284" s="113"/>
      <c r="E284" s="113"/>
      <c r="F284" s="113"/>
      <c r="G284" s="113"/>
      <c r="H284" s="114"/>
    </row>
    <row r="285" spans="1:14" s="35" customFormat="1" x14ac:dyDescent="0.25">
      <c r="A285" s="50" t="s">
        <v>157</v>
      </c>
      <c r="B285" s="112" t="s">
        <v>156</v>
      </c>
      <c r="C285" s="113"/>
      <c r="D285" s="113"/>
      <c r="E285" s="113"/>
      <c r="F285" s="113"/>
      <c r="G285" s="113"/>
      <c r="H285" s="114"/>
    </row>
    <row r="286" spans="1:14" s="35" customFormat="1" x14ac:dyDescent="0.25">
      <c r="A286" s="50" t="s">
        <v>157</v>
      </c>
      <c r="B286" s="112" t="s">
        <v>128</v>
      </c>
      <c r="C286" s="113"/>
      <c r="D286" s="113"/>
      <c r="E286" s="113"/>
      <c r="F286" s="113"/>
      <c r="G286" s="113"/>
      <c r="H286" s="114"/>
    </row>
    <row r="287" spans="1:14" s="35" customFormat="1" ht="34.5" customHeight="1" x14ac:dyDescent="0.25">
      <c r="A287" s="59" t="s">
        <v>157</v>
      </c>
      <c r="B287" s="68" t="s">
        <v>158</v>
      </c>
      <c r="C287" s="69"/>
      <c r="D287" s="69"/>
      <c r="E287" s="69"/>
      <c r="F287" s="69"/>
      <c r="G287" s="69"/>
      <c r="H287" s="70"/>
    </row>
    <row r="288" spans="1:14" s="35" customFormat="1" x14ac:dyDescent="0.25">
      <c r="A288" s="59" t="s">
        <v>157</v>
      </c>
      <c r="B288" s="68" t="s">
        <v>129</v>
      </c>
      <c r="C288" s="69"/>
      <c r="D288" s="69"/>
      <c r="E288" s="69"/>
      <c r="F288" s="69"/>
      <c r="G288" s="69"/>
      <c r="H288" s="70"/>
    </row>
    <row r="289" spans="1:8" s="35" customFormat="1" hidden="1" x14ac:dyDescent="0.25">
      <c r="A289" s="59" t="s">
        <v>157</v>
      </c>
      <c r="B289" s="68" t="s">
        <v>241</v>
      </c>
      <c r="C289" s="69"/>
      <c r="D289" s="69"/>
      <c r="E289" s="69"/>
      <c r="F289" s="69"/>
      <c r="G289" s="69"/>
      <c r="H289" s="70"/>
    </row>
    <row r="290" spans="1:8" s="35" customFormat="1" x14ac:dyDescent="0.25">
      <c r="A290" s="59" t="s">
        <v>157</v>
      </c>
      <c r="B290" s="68" t="s">
        <v>247</v>
      </c>
      <c r="C290" s="69"/>
      <c r="D290" s="69"/>
      <c r="E290" s="69"/>
      <c r="F290" s="69"/>
      <c r="G290" s="69"/>
      <c r="H290" s="70"/>
    </row>
    <row r="291" spans="1:8" x14ac:dyDescent="0.25">
      <c r="A291" s="183" t="s">
        <v>61</v>
      </c>
      <c r="B291" s="183"/>
      <c r="C291" s="183"/>
      <c r="D291" s="183"/>
      <c r="E291" s="183"/>
      <c r="F291" s="183"/>
      <c r="G291" s="183"/>
      <c r="H291" s="183"/>
    </row>
    <row r="292" spans="1:8" x14ac:dyDescent="0.25">
      <c r="A292" s="91" t="s">
        <v>62</v>
      </c>
      <c r="B292" s="91"/>
      <c r="C292" s="91"/>
      <c r="D292" s="91"/>
      <c r="E292" s="91"/>
      <c r="F292" s="91"/>
      <c r="G292" s="91"/>
      <c r="H292" s="91"/>
    </row>
    <row r="293" spans="1:8" ht="15.75" customHeight="1" x14ac:dyDescent="0.25">
      <c r="A293" s="194" t="s">
        <v>63</v>
      </c>
      <c r="B293" s="194"/>
      <c r="C293" s="194"/>
      <c r="D293" s="194"/>
      <c r="E293" s="194"/>
      <c r="F293" s="194"/>
      <c r="G293" s="194"/>
      <c r="H293" s="194"/>
    </row>
    <row r="294" spans="1:8" x14ac:dyDescent="0.25">
      <c r="A294" s="91" t="s">
        <v>64</v>
      </c>
      <c r="B294" s="91"/>
      <c r="C294" s="91"/>
      <c r="D294" s="91"/>
      <c r="E294" s="91"/>
      <c r="F294" s="91"/>
      <c r="G294" s="91"/>
      <c r="H294" s="91"/>
    </row>
    <row r="295" spans="1:8" x14ac:dyDescent="0.25">
      <c r="A295" s="91" t="s">
        <v>65</v>
      </c>
      <c r="B295" s="91"/>
      <c r="C295" s="91"/>
      <c r="D295" s="91"/>
      <c r="E295" s="91"/>
      <c r="F295" s="91"/>
      <c r="G295" s="91"/>
      <c r="H295" s="91"/>
    </row>
    <row r="296" spans="1:8" hidden="1" x14ac:dyDescent="0.25">
      <c r="A296" s="91" t="s">
        <v>130</v>
      </c>
      <c r="B296" s="91"/>
      <c r="C296" s="91"/>
      <c r="D296" s="91"/>
      <c r="E296" s="91"/>
      <c r="F296" s="91"/>
      <c r="G296" s="91"/>
      <c r="H296" s="91"/>
    </row>
    <row r="297" spans="1:8" ht="35.25" hidden="1" customHeight="1" x14ac:dyDescent="0.25">
      <c r="A297" s="145" t="s">
        <v>131</v>
      </c>
      <c r="B297" s="145"/>
      <c r="C297" s="145"/>
      <c r="D297" s="145"/>
      <c r="E297" s="145"/>
      <c r="F297" s="145"/>
      <c r="G297" s="145"/>
      <c r="H297" s="145"/>
    </row>
    <row r="298" spans="1:8" x14ac:dyDescent="0.25">
      <c r="A298" s="182" t="s">
        <v>77</v>
      </c>
      <c r="B298" s="182"/>
      <c r="C298" s="182" t="s">
        <v>242</v>
      </c>
      <c r="D298" s="182"/>
      <c r="E298" s="182" t="s">
        <v>107</v>
      </c>
      <c r="F298" s="182"/>
      <c r="G298" s="182" t="s">
        <v>251</v>
      </c>
      <c r="H298" s="182"/>
    </row>
    <row r="299" spans="1:8" x14ac:dyDescent="0.25">
      <c r="A299" s="181" t="s">
        <v>79</v>
      </c>
      <c r="B299" s="181"/>
      <c r="C299" s="181"/>
      <c r="D299" s="181"/>
      <c r="E299" s="181"/>
      <c r="F299" s="181"/>
      <c r="G299" s="181"/>
      <c r="H299" s="181"/>
    </row>
    <row r="300" spans="1:8" x14ac:dyDescent="0.25">
      <c r="A300" s="181"/>
      <c r="B300" s="181"/>
      <c r="C300" s="181"/>
      <c r="D300" s="181"/>
      <c r="E300" s="181"/>
      <c r="F300" s="181"/>
      <c r="G300" s="181"/>
      <c r="H300" s="181"/>
    </row>
    <row r="301" spans="1:8" x14ac:dyDescent="0.25">
      <c r="A301" s="181"/>
      <c r="B301" s="181"/>
      <c r="C301" s="181"/>
      <c r="D301" s="181"/>
      <c r="E301" s="181"/>
      <c r="F301" s="181"/>
      <c r="G301" s="181"/>
      <c r="H301" s="181"/>
    </row>
    <row r="302" spans="1:8" x14ac:dyDescent="0.25">
      <c r="A302" s="181"/>
      <c r="B302" s="181"/>
      <c r="C302" s="181"/>
      <c r="D302" s="181"/>
      <c r="E302" s="181"/>
      <c r="F302" s="181"/>
      <c r="G302" s="181"/>
      <c r="H302" s="181"/>
    </row>
    <row r="303" spans="1:8" x14ac:dyDescent="0.25">
      <c r="A303" s="38" t="s">
        <v>66</v>
      </c>
      <c r="B303" s="39"/>
      <c r="C303" s="39"/>
      <c r="D303" s="38" t="str">
        <f>E8</f>
        <v>Riddhi Siddhi Imperial</v>
      </c>
      <c r="F303" s="39"/>
      <c r="G303" s="39"/>
      <c r="H303" s="39"/>
    </row>
    <row r="304" spans="1:8" x14ac:dyDescent="0.25">
      <c r="A304" s="39"/>
      <c r="B304" s="39"/>
      <c r="C304" s="39"/>
      <c r="D304" s="39"/>
      <c r="E304" s="39"/>
      <c r="F304" s="39"/>
      <c r="G304" s="39"/>
      <c r="H304" s="39"/>
    </row>
    <row r="305" spans="1:8" x14ac:dyDescent="0.25">
      <c r="A305" s="39"/>
      <c r="B305" s="39"/>
      <c r="C305" s="39"/>
      <c r="D305" s="39"/>
      <c r="E305" s="39"/>
      <c r="F305" s="39"/>
      <c r="G305" s="39"/>
      <c r="H305" s="39"/>
    </row>
    <row r="306" spans="1:8" ht="15" customHeight="1" x14ac:dyDescent="0.25"/>
    <row r="327" spans="2:2" x14ac:dyDescent="0.25">
      <c r="B327"/>
    </row>
    <row r="346" spans="1:1" x14ac:dyDescent="0.25">
      <c r="A346" s="41" t="s">
        <v>67</v>
      </c>
    </row>
  </sheetData>
  <mergeCells count="528">
    <mergeCell ref="I4:N10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278:B278"/>
    <mergeCell ref="A218:H218"/>
    <mergeCell ref="L218:M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G219:H226"/>
    <mergeCell ref="G267:H278"/>
    <mergeCell ref="A274:B274"/>
    <mergeCell ref="A275:B275"/>
    <mergeCell ref="A276:B276"/>
    <mergeCell ref="A227:H227"/>
    <mergeCell ref="L227:M227"/>
    <mergeCell ref="A228:B228"/>
    <mergeCell ref="A229:B229"/>
    <mergeCell ref="A230:B230"/>
    <mergeCell ref="A231:B231"/>
    <mergeCell ref="A232:B232"/>
    <mergeCell ref="A271:B271"/>
    <mergeCell ref="A277:B277"/>
    <mergeCell ref="L266:M266"/>
    <mergeCell ref="A267:B267"/>
    <mergeCell ref="A268:B268"/>
    <mergeCell ref="A236:B236"/>
    <mergeCell ref="A237:B237"/>
    <mergeCell ref="A238:B238"/>
    <mergeCell ref="A239:B239"/>
    <mergeCell ref="G228:H239"/>
    <mergeCell ref="A264:B264"/>
    <mergeCell ref="A265:B265"/>
    <mergeCell ref="G254:H265"/>
    <mergeCell ref="A256:B256"/>
    <mergeCell ref="A257:B257"/>
    <mergeCell ref="A258:B258"/>
    <mergeCell ref="A259:B259"/>
    <mergeCell ref="A233:B233"/>
    <mergeCell ref="A253:H253"/>
    <mergeCell ref="A254:B254"/>
    <mergeCell ref="A272:B272"/>
    <mergeCell ref="A273:B273"/>
    <mergeCell ref="A215:B215"/>
    <mergeCell ref="A260:B260"/>
    <mergeCell ref="A261:B261"/>
    <mergeCell ref="A262:B262"/>
    <mergeCell ref="A263:B263"/>
    <mergeCell ref="A255:B255"/>
    <mergeCell ref="A252:B252"/>
    <mergeCell ref="G241:H252"/>
    <mergeCell ref="A249:B249"/>
    <mergeCell ref="A250:B250"/>
    <mergeCell ref="A251:B251"/>
    <mergeCell ref="G206:H215"/>
    <mergeCell ref="A217:H217"/>
    <mergeCell ref="A210:B210"/>
    <mergeCell ref="A211:B211"/>
    <mergeCell ref="A212:B212"/>
    <mergeCell ref="A213:B213"/>
    <mergeCell ref="A214:B214"/>
    <mergeCell ref="A234:B234"/>
    <mergeCell ref="A235:B235"/>
    <mergeCell ref="L172:M172"/>
    <mergeCell ref="A173:B173"/>
    <mergeCell ref="A174:B174"/>
    <mergeCell ref="A175:B175"/>
    <mergeCell ref="A176:B176"/>
    <mergeCell ref="A177:B177"/>
    <mergeCell ref="A178:B178"/>
    <mergeCell ref="A179:B179"/>
    <mergeCell ref="G173:H182"/>
    <mergeCell ref="L205:M205"/>
    <mergeCell ref="A206:B206"/>
    <mergeCell ref="A207:B207"/>
    <mergeCell ref="A208:B208"/>
    <mergeCell ref="A209:B209"/>
    <mergeCell ref="L217:M217"/>
    <mergeCell ref="A296:H296"/>
    <mergeCell ref="A293:H293"/>
    <mergeCell ref="A113:B113"/>
    <mergeCell ref="G170:H170"/>
    <mergeCell ref="A243:B243"/>
    <mergeCell ref="A244:B244"/>
    <mergeCell ref="A245:B245"/>
    <mergeCell ref="A246:B246"/>
    <mergeCell ref="A269:B269"/>
    <mergeCell ref="A270:B270"/>
    <mergeCell ref="A266:H266"/>
    <mergeCell ref="L125:M125"/>
    <mergeCell ref="L124:M124"/>
    <mergeCell ref="L123:M123"/>
    <mergeCell ref="L122:M122"/>
    <mergeCell ref="B280:H280"/>
    <mergeCell ref="B281:H281"/>
    <mergeCell ref="B283:H283"/>
    <mergeCell ref="A74:B74"/>
    <mergeCell ref="F94:H94"/>
    <mergeCell ref="G109:H109"/>
    <mergeCell ref="A47:B47"/>
    <mergeCell ref="C47:E47"/>
    <mergeCell ref="A216:H216"/>
    <mergeCell ref="A240:H240"/>
    <mergeCell ref="A241:B241"/>
    <mergeCell ref="G47:H47"/>
    <mergeCell ref="G49:H49"/>
    <mergeCell ref="D54:H54"/>
    <mergeCell ref="A180:B180"/>
    <mergeCell ref="A181:B181"/>
    <mergeCell ref="A182:B182"/>
    <mergeCell ref="A53:H53"/>
    <mergeCell ref="A54:C54"/>
    <mergeCell ref="A55:C55"/>
    <mergeCell ref="D55:H55"/>
    <mergeCell ref="G51:H51"/>
    <mergeCell ref="A51:B52"/>
    <mergeCell ref="C52:H52"/>
    <mergeCell ref="C50:H50"/>
    <mergeCell ref="A205:H205"/>
    <mergeCell ref="A70:B70"/>
    <mergeCell ref="E40:H40"/>
    <mergeCell ref="A40:D40"/>
    <mergeCell ref="G125:H125"/>
    <mergeCell ref="B286:H286"/>
    <mergeCell ref="B282:H282"/>
    <mergeCell ref="A117:H117"/>
    <mergeCell ref="A118:H118"/>
    <mergeCell ref="A116:B116"/>
    <mergeCell ref="A242:B242"/>
    <mergeCell ref="G114:H114"/>
    <mergeCell ref="A126:B126"/>
    <mergeCell ref="G126:H126"/>
    <mergeCell ref="A169:H169"/>
    <mergeCell ref="G132:H132"/>
    <mergeCell ref="A136:B136"/>
    <mergeCell ref="G136:H136"/>
    <mergeCell ref="A140:B140"/>
    <mergeCell ref="A247:B247"/>
    <mergeCell ref="A248:B248"/>
    <mergeCell ref="A186:B186"/>
    <mergeCell ref="A187:B187"/>
    <mergeCell ref="A203:B203"/>
    <mergeCell ref="A204:B204"/>
    <mergeCell ref="A172:H172"/>
    <mergeCell ref="A299:H302"/>
    <mergeCell ref="A298:B298"/>
    <mergeCell ref="E298:F298"/>
    <mergeCell ref="C298:D298"/>
    <mergeCell ref="G298:H298"/>
    <mergeCell ref="A107:H107"/>
    <mergeCell ref="A105:E105"/>
    <mergeCell ref="F105:H105"/>
    <mergeCell ref="A106:E106"/>
    <mergeCell ref="F106:H106"/>
    <mergeCell ref="A114:B114"/>
    <mergeCell ref="A294:H294"/>
    <mergeCell ref="A112:H112"/>
    <mergeCell ref="A297:H297"/>
    <mergeCell ref="A295:H295"/>
    <mergeCell ref="A291:H291"/>
    <mergeCell ref="C114:D114"/>
    <mergeCell ref="E114:F114"/>
    <mergeCell ref="A292:H292"/>
    <mergeCell ref="E113:F113"/>
    <mergeCell ref="B288:H288"/>
    <mergeCell ref="B289:H289"/>
    <mergeCell ref="G124:H124"/>
    <mergeCell ref="G122:H122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39:D39"/>
    <mergeCell ref="E39:H39"/>
    <mergeCell ref="F31:H31"/>
    <mergeCell ref="F32:H32"/>
    <mergeCell ref="A38:H38"/>
    <mergeCell ref="A58:C58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C49:E49"/>
    <mergeCell ref="A57:C57"/>
    <mergeCell ref="D57:H57"/>
    <mergeCell ref="C48:E48"/>
    <mergeCell ref="C51:E51"/>
    <mergeCell ref="A48:B48"/>
    <mergeCell ref="A59:C59"/>
    <mergeCell ref="D58:H58"/>
    <mergeCell ref="E69:F78"/>
    <mergeCell ref="G69:H78"/>
    <mergeCell ref="A77:B77"/>
    <mergeCell ref="A78:B78"/>
    <mergeCell ref="D59:H59"/>
    <mergeCell ref="A41:D41"/>
    <mergeCell ref="E41:H41"/>
    <mergeCell ref="E42:H42"/>
    <mergeCell ref="E43:H43"/>
    <mergeCell ref="E44:H44"/>
    <mergeCell ref="A42:D42"/>
    <mergeCell ref="A76:B76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94:E94"/>
    <mergeCell ref="A121:H121"/>
    <mergeCell ref="G119:H119"/>
    <mergeCell ref="F93:H93"/>
    <mergeCell ref="F98:H98"/>
    <mergeCell ref="C116:D116"/>
    <mergeCell ref="E116:F116"/>
    <mergeCell ref="G113:H113"/>
    <mergeCell ref="E108:F108"/>
    <mergeCell ref="A108:B108"/>
    <mergeCell ref="C108:D108"/>
    <mergeCell ref="F104:H104"/>
    <mergeCell ref="G108:H108"/>
    <mergeCell ref="A103:E103"/>
    <mergeCell ref="A120:H120"/>
    <mergeCell ref="A98:E98"/>
    <mergeCell ref="B284:H284"/>
    <mergeCell ref="A279:H279"/>
    <mergeCell ref="A125:B125"/>
    <mergeCell ref="L126:M126"/>
    <mergeCell ref="L127:M127"/>
    <mergeCell ref="L128:M128"/>
    <mergeCell ref="A129:B129"/>
    <mergeCell ref="G129:H129"/>
    <mergeCell ref="L129:M129"/>
    <mergeCell ref="A130:B130"/>
    <mergeCell ref="G130:H130"/>
    <mergeCell ref="L130:M130"/>
    <mergeCell ref="A131:B131"/>
    <mergeCell ref="G131:H131"/>
    <mergeCell ref="L131:M131"/>
    <mergeCell ref="A132:B132"/>
    <mergeCell ref="L132:M132"/>
    <mergeCell ref="A133:B133"/>
    <mergeCell ref="G133:H133"/>
    <mergeCell ref="L133:M133"/>
    <mergeCell ref="A134:B134"/>
    <mergeCell ref="G134:H134"/>
    <mergeCell ref="L134:M134"/>
    <mergeCell ref="A135:B135"/>
    <mergeCell ref="G123:H123"/>
    <mergeCell ref="B287:H287"/>
    <mergeCell ref="A46:B46"/>
    <mergeCell ref="C46:H46"/>
    <mergeCell ref="B285:H285"/>
    <mergeCell ref="F95:H95"/>
    <mergeCell ref="A95:E95"/>
    <mergeCell ref="A97:E97"/>
    <mergeCell ref="A122:B122"/>
    <mergeCell ref="A123:B123"/>
    <mergeCell ref="A124:B124"/>
    <mergeCell ref="F97:H97"/>
    <mergeCell ref="F103:H103"/>
    <mergeCell ref="A104:E104"/>
    <mergeCell ref="A127:B127"/>
    <mergeCell ref="G127:H127"/>
    <mergeCell ref="A128:B128"/>
    <mergeCell ref="G128:H128"/>
    <mergeCell ref="A99:E99"/>
    <mergeCell ref="F99:H99"/>
    <mergeCell ref="A100:E100"/>
    <mergeCell ref="A102:E102"/>
    <mergeCell ref="F96:H96"/>
    <mergeCell ref="A101:E101"/>
    <mergeCell ref="A15:B15"/>
    <mergeCell ref="C15:H15"/>
    <mergeCell ref="A37:B37"/>
    <mergeCell ref="C37:H37"/>
    <mergeCell ref="G116:H116"/>
    <mergeCell ref="C110:D110"/>
    <mergeCell ref="E110:F110"/>
    <mergeCell ref="G110:H110"/>
    <mergeCell ref="A111:B111"/>
    <mergeCell ref="C111:D111"/>
    <mergeCell ref="E111:F111"/>
    <mergeCell ref="G111:H111"/>
    <mergeCell ref="A115:B115"/>
    <mergeCell ref="C115:D115"/>
    <mergeCell ref="E115:F115"/>
    <mergeCell ref="G115:H115"/>
    <mergeCell ref="C113:D113"/>
    <mergeCell ref="C109:D109"/>
    <mergeCell ref="E109:F109"/>
    <mergeCell ref="F101:H101"/>
    <mergeCell ref="F102:H102"/>
    <mergeCell ref="A96:E96"/>
    <mergeCell ref="A93:E93"/>
    <mergeCell ref="F100:H100"/>
    <mergeCell ref="G135:H135"/>
    <mergeCell ref="L135:M135"/>
    <mergeCell ref="L136:M136"/>
    <mergeCell ref="A137:B137"/>
    <mergeCell ref="G137:H137"/>
    <mergeCell ref="L137:M137"/>
    <mergeCell ref="A138:B138"/>
    <mergeCell ref="G138:H138"/>
    <mergeCell ref="L138:M138"/>
    <mergeCell ref="A139:B139"/>
    <mergeCell ref="G139:H139"/>
    <mergeCell ref="L139:M139"/>
    <mergeCell ref="G140:H140"/>
    <mergeCell ref="L140:M140"/>
    <mergeCell ref="G145:H145"/>
    <mergeCell ref="L145:M145"/>
    <mergeCell ref="A146:B146"/>
    <mergeCell ref="G146:H146"/>
    <mergeCell ref="L146:M146"/>
    <mergeCell ref="A141:B141"/>
    <mergeCell ref="G141:H141"/>
    <mergeCell ref="L141:M141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A145:B145"/>
    <mergeCell ref="A150:H150"/>
    <mergeCell ref="A151:B151"/>
    <mergeCell ref="G151:H151"/>
    <mergeCell ref="L151:M151"/>
    <mergeCell ref="A152:B152"/>
    <mergeCell ref="G152:H152"/>
    <mergeCell ref="L152:M152"/>
    <mergeCell ref="A153:B153"/>
    <mergeCell ref="G153:H153"/>
    <mergeCell ref="L153:M153"/>
    <mergeCell ref="A147:B147"/>
    <mergeCell ref="G147:H147"/>
    <mergeCell ref="L147:M147"/>
    <mergeCell ref="A148:B148"/>
    <mergeCell ref="G148:H148"/>
    <mergeCell ref="L148:M148"/>
    <mergeCell ref="A149:B149"/>
    <mergeCell ref="G149:H149"/>
    <mergeCell ref="L149:M149"/>
    <mergeCell ref="A154:B154"/>
    <mergeCell ref="G154:H154"/>
    <mergeCell ref="L154:M154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A158:B15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A161:B161"/>
    <mergeCell ref="G161:H161"/>
    <mergeCell ref="L161:M161"/>
    <mergeCell ref="A162:B162"/>
    <mergeCell ref="G162:H162"/>
    <mergeCell ref="L162:M162"/>
    <mergeCell ref="A163:B163"/>
    <mergeCell ref="G163:H163"/>
    <mergeCell ref="L163:M163"/>
    <mergeCell ref="A164:B164"/>
    <mergeCell ref="G164:H164"/>
    <mergeCell ref="L164:M164"/>
    <mergeCell ref="A165:B165"/>
    <mergeCell ref="G165:H165"/>
    <mergeCell ref="L165:M165"/>
    <mergeCell ref="A166:B166"/>
    <mergeCell ref="G166:H166"/>
    <mergeCell ref="L166:M166"/>
    <mergeCell ref="A167:B167"/>
    <mergeCell ref="G167:H167"/>
    <mergeCell ref="L167:M167"/>
    <mergeCell ref="A168:B168"/>
    <mergeCell ref="G168:H168"/>
    <mergeCell ref="L168:M168"/>
    <mergeCell ref="B290:H290"/>
    <mergeCell ref="C36:H36"/>
    <mergeCell ref="G195:H204"/>
    <mergeCell ref="A109:A110"/>
    <mergeCell ref="A198:B198"/>
    <mergeCell ref="A199:B199"/>
    <mergeCell ref="A200:B200"/>
    <mergeCell ref="A201:B201"/>
    <mergeCell ref="A202:B202"/>
    <mergeCell ref="A193:B193"/>
    <mergeCell ref="G184:H193"/>
    <mergeCell ref="A194:H194"/>
    <mergeCell ref="A195:B195"/>
    <mergeCell ref="A196:B196"/>
    <mergeCell ref="A197:B197"/>
    <mergeCell ref="A188:B188"/>
    <mergeCell ref="A189:B189"/>
    <mergeCell ref="A190:B190"/>
    <mergeCell ref="A191:B191"/>
    <mergeCell ref="A192:B192"/>
    <mergeCell ref="A171:H171"/>
    <mergeCell ref="A183:H183"/>
    <mergeCell ref="A184:B184"/>
    <mergeCell ref="A185:B185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16383" man="1"/>
    <brk id="278" max="7" man="1"/>
    <brk id="302" max="16383" man="1"/>
    <brk id="3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95" t="s">
        <v>108</v>
      </c>
      <c r="C3" s="195"/>
      <c r="D3" s="195"/>
      <c r="E3" s="195"/>
      <c r="F3" s="195"/>
      <c r="G3" s="195"/>
      <c r="H3" s="195"/>
    </row>
    <row r="4" spans="1:9" x14ac:dyDescent="0.25">
      <c r="A4" s="3"/>
      <c r="B4" s="4" t="s">
        <v>109</v>
      </c>
      <c r="C4" s="4" t="s">
        <v>110</v>
      </c>
      <c r="D4" s="4" t="s">
        <v>69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25">
      <c r="A5" s="3"/>
      <c r="B5" s="6" t="s">
        <v>113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113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113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113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113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114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114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115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2025-08-18T07:50:31Z</cp:lastPrinted>
  <dcterms:created xsi:type="dcterms:W3CDTF">2019-07-16T09:29:46Z</dcterms:created>
  <dcterms:modified xsi:type="dcterms:W3CDTF">2025-08-18T07:57:40Z</dcterms:modified>
</cp:coreProperties>
</file>