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A17B25E0-EF1B-4455-85A3-9D8E2A29A91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Sheet1" sheetId="6" state="hidden" r:id="rId2"/>
    <sheet name="valuation" sheetId="5" r:id="rId3"/>
    <sheet name="Old Format" sheetId="4" r:id="rId4"/>
  </sheets>
  <definedNames>
    <definedName name="_xlnm.Print_Area" localSheetId="0">Report!$A$1:$H$326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6" i="1" l="1"/>
  <c r="J75" i="1"/>
  <c r="J74" i="1"/>
  <c r="C65" i="1"/>
  <c r="H66" i="1"/>
  <c r="J71" i="1" l="1"/>
  <c r="J72" i="1" s="1"/>
  <c r="J77" i="1" s="1"/>
  <c r="J69" i="1"/>
  <c r="J65" i="1"/>
  <c r="J67" i="1" s="1"/>
  <c r="D77" i="1"/>
  <c r="D75" i="1"/>
  <c r="D73" i="1"/>
  <c r="D71" i="1"/>
  <c r="J68" i="1"/>
  <c r="J70" i="1"/>
  <c r="D78" i="1"/>
  <c r="D76" i="1"/>
  <c r="D74" i="1"/>
  <c r="D72" i="1"/>
  <c r="D69" i="1"/>
  <c r="E69" i="1" l="1"/>
  <c r="D70" i="1"/>
  <c r="I66" i="1" s="1"/>
  <c r="I67" i="1" s="1"/>
  <c r="J73" i="1"/>
  <c r="J78" i="1" s="1"/>
  <c r="J66" i="1" s="1"/>
  <c r="G69" i="1"/>
  <c r="D63" i="1" s="1"/>
  <c r="I65" i="1" l="1"/>
  <c r="C67" i="1" s="1"/>
  <c r="J113" i="1"/>
  <c r="J114" i="1" s="1"/>
  <c r="D171" i="1" l="1"/>
  <c r="F171" i="1" s="1"/>
  <c r="D170" i="1"/>
  <c r="D169" i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0" i="1"/>
  <c r="F160" i="1" s="1"/>
  <c r="D159" i="1"/>
  <c r="F159" i="1" s="1"/>
  <c r="D158" i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D144" i="1"/>
  <c r="D143" i="1"/>
  <c r="D142" i="1"/>
  <c r="D141" i="1"/>
  <c r="D128" i="1"/>
  <c r="F128" i="1" s="1"/>
  <c r="D127" i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M97" i="1" s="1"/>
  <c r="D133" i="1"/>
  <c r="D132" i="1"/>
  <c r="D131" i="1"/>
  <c r="D130" i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K99" i="1" s="1"/>
  <c r="D111" i="1"/>
  <c r="F111" i="1" s="1"/>
  <c r="D110" i="1"/>
  <c r="F110" i="1" s="1"/>
  <c r="D109" i="1"/>
  <c r="F109" i="1" s="1"/>
  <c r="D108" i="1"/>
  <c r="D107" i="1"/>
  <c r="D106" i="1"/>
  <c r="D105" i="1"/>
  <c r="I114" i="1"/>
  <c r="F170" i="1"/>
  <c r="F158" i="1"/>
  <c r="F169" i="1"/>
  <c r="G162" i="1"/>
  <c r="G152" i="1"/>
  <c r="E128" i="1"/>
  <c r="E127" i="1"/>
  <c r="I134" i="1"/>
  <c r="J130" i="1"/>
  <c r="I130" i="1"/>
  <c r="I108" i="1"/>
  <c r="I109" i="1"/>
  <c r="I105" i="1"/>
  <c r="I121" i="1"/>
  <c r="C98" i="1" l="1"/>
  <c r="F127" i="1"/>
  <c r="C95" i="1"/>
  <c r="E98" i="1"/>
  <c r="E95" i="1"/>
  <c r="L16" i="4"/>
  <c r="L15" i="4"/>
  <c r="L14" i="4"/>
  <c r="L13" i="4"/>
  <c r="C5" i="4"/>
  <c r="J6" i="4"/>
  <c r="C99" i="1" l="1"/>
  <c r="E99" i="1"/>
  <c r="L8" i="4"/>
  <c r="D18" i="4"/>
  <c r="K5" i="4" s="1"/>
  <c r="C7" i="4" s="1"/>
  <c r="D12" i="4"/>
  <c r="L11" i="4"/>
  <c r="L12" i="4" s="1"/>
  <c r="L17" i="4" s="1"/>
  <c r="L18" i="4" s="1"/>
  <c r="C10" i="4" s="1"/>
  <c r="L10" i="4"/>
  <c r="C9" i="4" s="1"/>
  <c r="D9" i="4" s="1"/>
  <c r="D14" i="4"/>
  <c r="D16" i="4"/>
  <c r="D15" i="4"/>
  <c r="L9" i="4"/>
  <c r="D17" i="4"/>
  <c r="D11" i="4"/>
  <c r="L5" i="4"/>
  <c r="L7" i="4" s="1"/>
  <c r="D13" i="4"/>
  <c r="J24" i="6"/>
  <c r="J23" i="6"/>
  <c r="J22" i="6"/>
  <c r="J21" i="6"/>
  <c r="J10" i="6"/>
  <c r="I10" i="6"/>
  <c r="J9" i="6"/>
  <c r="I9" i="6"/>
  <c r="J8" i="6"/>
  <c r="I8" i="6"/>
  <c r="J7" i="6"/>
  <c r="I7" i="6"/>
  <c r="J6" i="6"/>
  <c r="I6" i="6"/>
  <c r="J5" i="6"/>
  <c r="I5" i="6"/>
  <c r="J4" i="6"/>
  <c r="I4" i="6"/>
  <c r="J3" i="6"/>
  <c r="I3" i="6"/>
  <c r="H14" i="6"/>
  <c r="J11" i="6" l="1"/>
  <c r="I11" i="6"/>
  <c r="F9" i="4"/>
  <c r="D10" i="4"/>
  <c r="K6" i="4" s="1"/>
  <c r="K7" i="4" s="1"/>
  <c r="L6" i="4"/>
  <c r="H9" i="4"/>
  <c r="J13" i="6"/>
  <c r="J15" i="6" s="1"/>
  <c r="D26" i="6"/>
  <c r="J19" i="6"/>
  <c r="J20" i="6" s="1"/>
  <c r="J25" i="6" s="1"/>
  <c r="J26" i="6" s="1"/>
  <c r="C18" i="6" s="1"/>
  <c r="E17" i="6" s="1"/>
  <c r="J18" i="6"/>
  <c r="C17" i="6" s="1"/>
  <c r="J16" i="6"/>
  <c r="D25" i="6"/>
  <c r="D24" i="6"/>
  <c r="D23" i="6"/>
  <c r="D22" i="6"/>
  <c r="D21" i="6"/>
  <c r="D20" i="6"/>
  <c r="D19" i="6"/>
  <c r="J17" i="6"/>
  <c r="C14" i="1"/>
  <c r="D17" i="6" l="1"/>
  <c r="G17" i="6"/>
  <c r="D18" i="6"/>
  <c r="E29" i="1"/>
  <c r="I14" i="6" l="1"/>
  <c r="I15" i="6" s="1"/>
  <c r="J14" i="6"/>
  <c r="F131" i="1"/>
  <c r="F132" i="1"/>
  <c r="M95" i="1" s="1"/>
  <c r="F133" i="1"/>
  <c r="J95" i="1" s="1"/>
  <c r="F130" i="1"/>
  <c r="G130" i="1"/>
  <c r="J94" i="1" l="1"/>
  <c r="J96" i="1" s="1"/>
  <c r="M94" i="1"/>
  <c r="I13" i="6"/>
  <c r="C15" i="6" s="1"/>
  <c r="F92" i="1"/>
  <c r="F106" i="1" l="1"/>
  <c r="F107" i="1"/>
  <c r="F108" i="1"/>
  <c r="F105" i="1"/>
  <c r="G95" i="1" l="1"/>
  <c r="B174" i="1"/>
  <c r="F145" i="1" l="1"/>
  <c r="F144" i="1"/>
  <c r="M96" i="1" s="1"/>
  <c r="M98" i="1" s="1"/>
  <c r="F143" i="1"/>
  <c r="F142" i="1"/>
  <c r="F141" i="1"/>
  <c r="G98" i="1" l="1"/>
  <c r="G99" i="1" s="1"/>
  <c r="B17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6" i="1"/>
  <c r="G141" i="1"/>
  <c r="G127" i="1"/>
  <c r="A128" i="1"/>
  <c r="A106" i="1"/>
  <c r="A107" i="1" s="1"/>
  <c r="A108" i="1" s="1"/>
  <c r="G105" i="1"/>
  <c r="D54" i="1"/>
  <c r="G49" i="1"/>
  <c r="G50" i="1" s="1"/>
  <c r="C49" i="1"/>
  <c r="E42" i="1"/>
  <c r="E43" i="1" s="1"/>
  <c r="E26" i="1"/>
  <c r="E24" i="1"/>
  <c r="E7" i="1"/>
  <c r="E3" i="1"/>
  <c r="A109" i="1" l="1"/>
  <c r="A110" i="1" s="1"/>
  <c r="A111" i="1" s="1"/>
  <c r="A112" i="1" s="1"/>
  <c r="D59" i="1"/>
  <c r="A113" i="1" l="1"/>
  <c r="A114" i="1" s="1"/>
  <c r="A115" i="1" s="1"/>
  <c r="A116" i="1" s="1"/>
  <c r="D64" i="1"/>
  <c r="A117" i="1" l="1"/>
  <c r="A118" i="1" s="1"/>
  <c r="A119" i="1" s="1"/>
  <c r="A120" i="1" s="1"/>
  <c r="A121" i="1" s="1"/>
  <c r="F64" i="1"/>
</calcChain>
</file>

<file path=xl/sharedStrings.xml><?xml version="1.0" encoding="utf-8"?>
<sst xmlns="http://schemas.openxmlformats.org/spreadsheetml/2006/main" count="417" uniqueCount="244">
  <si>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</si>
  <si>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</si>
  <si>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</si>
  <si>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</si>
  <si>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</si>
  <si>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</si>
  <si>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</si>
  <si>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</si>
  <si>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</si>
  <si>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</si>
  <si>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</si>
  <si>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</si>
  <si>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</si>
  <si>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</si>
  <si>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</si>
  <si>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</si>
  <si>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</si>
  <si>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</si>
  <si>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</si>
  <si>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</si>
  <si>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</si>
  <si>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</si>
  <si>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</si>
  <si>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</si>
  <si>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</si>
  <si>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</si>
  <si>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</si>
  <si>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</si>
  <si>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</si>
  <si>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</si>
  <si>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</si>
  <si>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</si>
  <si>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</si>
  <si>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</si>
  <si>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</si>
  <si>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</si>
  <si>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</si>
  <si>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</si>
  <si>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</si>
  <si>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</si>
  <si>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</si>
  <si>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</si>
  <si>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</si>
  <si>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</si>
  <si>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</si>
  <si>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</si>
  <si>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</si>
  <si>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</si>
  <si>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</si>
  <si>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</si>
  <si>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</si>
  <si>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</si>
  <si>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</si>
  <si>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</si>
  <si>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</si>
  <si>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</si>
  <si>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</si>
  <si>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</si>
  <si>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</si>
  <si>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</si>
  <si>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</si>
  <si>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</si>
  <si>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</si>
  <si>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</si>
  <si>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</si>
  <si>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</si>
  <si>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</si>
  <si>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</si>
  <si>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</si>
  <si>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</si>
  <si>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</si>
  <si>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</si>
  <si>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</si>
  <si>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</si>
  <si>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</si>
  <si>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</si>
  <si>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</si>
  <si>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</si>
  <si>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</si>
  <si>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</si>
  <si>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</si>
  <si>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</si>
  <si>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</si>
  <si>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</si>
  <si>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</si>
  <si>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</si>
  <si>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</si>
  <si>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</si>
  <si>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</si>
  <si>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</si>
  <si>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</si>
  <si>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</si>
  <si>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</si>
  <si>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</si>
  <si>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</si>
  <si>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</si>
  <si>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</si>
  <si>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</si>
  <si>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</si>
  <si>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</si>
  <si>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</si>
  <si>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</si>
  <si>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</si>
  <si>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</si>
  <si>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</si>
  <si>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</si>
  <si>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</si>
  <si>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</si>
  <si>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</si>
  <si>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</si>
  <si>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</si>
  <si>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</si>
  <si>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</si>
  <si>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</si>
  <si>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</si>
  <si>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</si>
  <si>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</si>
  <si>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</si>
  <si>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</si>
  <si>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</si>
  <si>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</si>
  <si>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</si>
  <si>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</si>
  <si>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</si>
  <si>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</si>
  <si>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</si>
  <si>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</si>
  <si>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</si>
  <si>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</si>
  <si>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</si>
  <si>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</si>
  <si>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</si>
  <si>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</si>
  <si>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</si>
  <si>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</si>
  <si>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</si>
  <si>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</si>
  <si>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</si>
  <si>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</si>
  <si>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</si>
  <si>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</si>
  <si>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</si>
  <si>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</si>
  <si>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</si>
  <si>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</si>
  <si>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</si>
  <si>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</si>
  <si>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</si>
  <si>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</si>
  <si>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</si>
  <si>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</si>
  <si>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</si>
  <si>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</si>
  <si>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</si>
  <si>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</si>
  <si>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</si>
  <si>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</si>
  <si>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</si>
  <si>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</si>
  <si>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</si>
  <si>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</si>
  <si>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</si>
  <si>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</si>
  <si>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</si>
  <si>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</si>
  <si>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</si>
  <si>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</si>
  <si>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</si>
  <si>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</si>
  <si>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</si>
  <si>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</si>
  <si>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</si>
  <si>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Enter Number of floors ( Basement &amp; stilt are not to be considered as Floor)</t>
  </si>
  <si>
    <t>Progress</t>
  </si>
  <si>
    <t>Recommendation</t>
  </si>
  <si>
    <t>Progress Contribution</t>
  </si>
  <si>
    <t>Recommendation contribution</t>
  </si>
  <si>
    <t>Stage of Construction</t>
  </si>
  <si>
    <t>Enter 1 if yes &amp; 0 if No</t>
  </si>
  <si>
    <t>RCC Work including Slabs of the Building up to which Floor</t>
  </si>
  <si>
    <t>Brickwork upto Which level</t>
  </si>
  <si>
    <t>75-80</t>
  </si>
  <si>
    <t>Inside Plaster Upto Which Level</t>
  </si>
  <si>
    <t>Out side Plaster upto which level</t>
  </si>
  <si>
    <t>Flooring Including Polishing Upto which Level</t>
  </si>
  <si>
    <t>Electrification How Much (%)</t>
  </si>
  <si>
    <t>Wood work Painting ( How Much Percentage</t>
  </si>
  <si>
    <t>G + 10th Floor</t>
  </si>
  <si>
    <t>Electrification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</si>
  <si>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</si>
  <si>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</si>
  <si>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</si>
  <si>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RS Couture LLP</t>
  </si>
  <si>
    <t>QA Riverfront</t>
  </si>
  <si>
    <t>1Building</t>
  </si>
  <si>
    <t>P52000049353</t>
  </si>
  <si>
    <t>54, H.No - 06</t>
  </si>
  <si>
    <t>Survey No</t>
  </si>
  <si>
    <t>Ghot</t>
  </si>
  <si>
    <t>Raigad</t>
  </si>
  <si>
    <t>Panvel</t>
  </si>
  <si>
    <t>https://goo.gl/maps/B3Kj5t32xNCpvV9H7</t>
  </si>
  <si>
    <t>19.084151, 73.108962</t>
  </si>
  <si>
    <t>Open Plot</t>
  </si>
  <si>
    <t>Internal Road</t>
  </si>
  <si>
    <t>4.1 KM from Taloja Panchnand Railway Station</t>
  </si>
  <si>
    <t>Taloja Panchnand</t>
  </si>
  <si>
    <t>Shubham Builders - Jijai Angan</t>
  </si>
  <si>
    <t>Ghot Road</t>
  </si>
  <si>
    <t>Panvel Municipal Corporation (PMC)</t>
  </si>
  <si>
    <t>PMP/NRV/16534/JK/155/2023</t>
  </si>
  <si>
    <t>PMC/TP/Ghot/54/6/21-23/16534/155/
2023</t>
  </si>
  <si>
    <t>G + 1st to 14th Floor</t>
  </si>
  <si>
    <t>Ground Floor For Lobby, Meter Room, Electric Substation, Pump Room, Commercial &amp; Parking</t>
  </si>
  <si>
    <t>Shop</t>
  </si>
  <si>
    <t>1st Floor For Parking</t>
  </si>
  <si>
    <t>3rd Floor For Residential</t>
  </si>
  <si>
    <t>1BHK</t>
  </si>
  <si>
    <t>2BHK</t>
  </si>
  <si>
    <t>As per RERA - 31/12/2027</t>
  </si>
  <si>
    <t>2nd Floor For Filtration Plant, Amenities &amp; Residential</t>
  </si>
  <si>
    <t>4th, 5th, 6th, 7th, 9th, 10th, 12th, 13th Floor</t>
  </si>
  <si>
    <t>8th &amp; 11th Floor (Part Refuge Area)</t>
  </si>
  <si>
    <t>14th Floor</t>
  </si>
  <si>
    <t>Flats</t>
  </si>
  <si>
    <t>Grand Total</t>
  </si>
  <si>
    <t>Flats - 120, Shops - 17</t>
  </si>
  <si>
    <t>Banner</t>
  </si>
  <si>
    <t>Sheet</t>
  </si>
  <si>
    <t>MIS</t>
  </si>
  <si>
    <t>4500 - 5000</t>
  </si>
  <si>
    <t>Axis Sanpada</t>
  </si>
  <si>
    <t>8879738434/8879736221</t>
  </si>
  <si>
    <t>Approved Plans, CC, Sale Plan, Cost Sheet</t>
  </si>
  <si>
    <t>Swimming Pool, Party Lawn, Kids Play Area, Senior Citizen Seating Area, Garden, Yoga &amp; Meditation Area, Jogging track etc.</t>
  </si>
  <si>
    <t>We considered Gross carpet area = Net carpet +  Balcony + Chajja Area.</t>
  </si>
  <si>
    <t>Building Common Amenities</t>
  </si>
  <si>
    <t>Taloja river is located on south side of the project with in a range of 50m.</t>
  </si>
  <si>
    <t>Rate 5200   Smith   On 19/11/2024</t>
  </si>
  <si>
    <t>Recommended Rates of the Property have been revised on 19/11/2024.</t>
  </si>
  <si>
    <t>Mr. Sahil 8879736221</t>
  </si>
  <si>
    <t>Construction work is in process at the time of Visit (Internal Visit not Allowed).</t>
  </si>
  <si>
    <t>Pranita Mhatre</t>
  </si>
  <si>
    <t>Sunil Peravi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</si>
</sst>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9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5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4" xfId="0" applyFont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0" fillId="3" borderId="0" xfId="0" applyFill="1"/>
    <xf numFmtId="0" fontId="0" fillId="0" borderId="0" xfId="0" applyAlignment="1">
      <alignment wrapText="1"/>
    </xf>
    <xf numFmtId="0" fontId="0" fillId="3" borderId="30" xfId="0" applyFill="1" applyBorder="1"/>
    <xf numFmtId="0" fontId="0" fillId="0" borderId="0" xfId="0" applyAlignment="1">
      <alignment horizontal="right"/>
    </xf>
    <xf numFmtId="0" fontId="7" fillId="0" borderId="1" xfId="1" applyFont="1" applyBorder="1" applyAlignment="1" applyProtection="1">
      <alignment vertical="top" wrapText="1"/>
      <protection locked="0"/>
    </xf>
    <xf numFmtId="0" fontId="24" fillId="2" borderId="13" xfId="0" applyFont="1" applyFill="1" applyBorder="1"/>
    <xf numFmtId="0" fontId="25" fillId="0" borderId="7" xfId="0" applyFont="1" applyBorder="1"/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5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1" fontId="13" fillId="0" borderId="36" xfId="0" applyNumberFormat="1" applyFont="1" applyBorder="1" applyAlignment="1" applyProtection="1">
      <alignment horizontal="center" vertical="center" wrapText="1"/>
      <protection locked="0"/>
    </xf>
    <xf numFmtId="1" fontId="13" fillId="0" borderId="37" xfId="0" applyNumberFormat="1" applyFont="1" applyBorder="1" applyAlignment="1" applyProtection="1">
      <alignment horizontal="center" vertical="center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0" fillId="0" borderId="6" xfId="1" applyFont="1" applyBorder="1" applyAlignment="1" applyProtection="1">
      <alignment horizontal="left"/>
      <protection locked="0"/>
    </xf>
    <xf numFmtId="0" fontId="10" fillId="0" borderId="19" xfId="1" applyFont="1" applyBorder="1" applyAlignment="1" applyProtection="1">
      <alignment horizontal="left"/>
      <protection locked="0"/>
    </xf>
    <xf numFmtId="0" fontId="10" fillId="0" borderId="7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3" fillId="0" borderId="37" xfId="0" applyNumberFormat="1" applyFont="1" applyBorder="1" applyAlignment="1" applyProtection="1">
      <alignment horizontal="center" vertical="center"/>
      <protection locked="0"/>
    </xf>
    <xf numFmtId="1" fontId="13" fillId="0" borderId="37" xfId="0" applyNumberFormat="1" applyFont="1" applyBorder="1" applyAlignment="1" applyProtection="1">
      <alignment horizontal="center" vertical="top" wrapText="1"/>
      <protection locked="0"/>
    </xf>
    <xf numFmtId="1" fontId="13" fillId="0" borderId="38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4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8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8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31" xfId="1" applyFont="1" applyBorder="1" applyAlignment="1" applyProtection="1">
      <alignment horizontal="center" vertical="top" wrapText="1"/>
      <protection locked="0"/>
    </xf>
    <xf numFmtId="0" fontId="7" fillId="0" borderId="32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10" fillId="0" borderId="33" xfId="1" applyFont="1" applyBorder="1" applyAlignment="1" applyProtection="1">
      <alignment horizontal="left" vertical="top" wrapText="1"/>
      <protection locked="0"/>
    </xf>
    <xf numFmtId="0" fontId="10" fillId="0" borderId="28" xfId="1" applyFont="1" applyBorder="1" applyAlignment="1" applyProtection="1">
      <alignment horizontal="left" vertical="top" wrapText="1"/>
      <protection locked="0"/>
    </xf>
    <xf numFmtId="0" fontId="10" fillId="0" borderId="29" xfId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9" fontId="7" fillId="0" borderId="4" xfId="8" applyFont="1" applyFill="1" applyBorder="1" applyAlignment="1" applyProtection="1">
      <alignment horizontal="center" vertical="center" wrapText="1"/>
      <protection locked="0"/>
    </xf>
    <xf numFmtId="9" fontId="7" fillId="0" borderId="5" xfId="8" applyFont="1" applyFill="1" applyBorder="1" applyAlignment="1" applyProtection="1">
      <alignment horizontal="center" vertical="center" wrapText="1"/>
      <protection locked="0"/>
    </xf>
    <xf numFmtId="9" fontId="7" fillId="0" borderId="35" xfId="8" applyFont="1" applyFill="1" applyBorder="1" applyAlignment="1" applyProtection="1">
      <alignment horizontal="center" vertical="center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5" xfId="8" applyFont="1" applyFill="1" applyBorder="1" applyAlignment="1" applyProtection="1">
      <alignment horizontal="center" vertical="top" wrapText="1"/>
      <protection locked="0"/>
    </xf>
    <xf numFmtId="0" fontId="7" fillId="0" borderId="34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283315</xdr:colOff>
      <xdr:row>304</xdr:row>
      <xdr:rowOff>158922</xdr:rowOff>
    </xdr:from>
    <xdr:to>
      <xdr:col>6</xdr:col>
      <xdr:colOff>509386</xdr:colOff>
      <xdr:row>319</xdr:row>
      <xdr:rowOff>51535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5315" y="64669149"/>
          <a:ext cx="437377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277091</xdr:colOff>
      <xdr:row>289</xdr:row>
      <xdr:rowOff>8659</xdr:rowOff>
    </xdr:from>
    <xdr:to>
      <xdr:col>6</xdr:col>
      <xdr:colOff>509386</xdr:colOff>
      <xdr:row>303</xdr:row>
      <xdr:rowOff>100432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9091" y="61531500"/>
          <a:ext cx="438000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2</xdr:col>
      <xdr:colOff>233796</xdr:colOff>
      <xdr:row>245</xdr:row>
      <xdr:rowOff>8658</xdr:rowOff>
    </xdr:from>
    <xdr:to>
      <xdr:col>5</xdr:col>
      <xdr:colOff>542046</xdr:colOff>
      <xdr:row>277</xdr:row>
      <xdr:rowOff>112120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837309" y="48876049"/>
          <a:ext cx="2945433" cy="6464506"/>
          <a:chOff x="1541929" y="720985"/>
          <a:chExt cx="2880000" cy="647655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324" r="15490" b="28872"/>
          <a:stretch/>
        </xdr:blipFill>
        <xdr:spPr>
          <a:xfrm rot="16200000">
            <a:off x="1607480" y="4383089"/>
            <a:ext cx="2748898" cy="288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84" t="22892" r="3639" b="34363"/>
          <a:stretch/>
        </xdr:blipFill>
        <xdr:spPr>
          <a:xfrm rot="16200000">
            <a:off x="1244681" y="1018233"/>
            <a:ext cx="3474496" cy="288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720" t="66266" r="44561" b="22114"/>
          <a:stretch/>
        </xdr:blipFill>
        <xdr:spPr>
          <a:xfrm>
            <a:off x="3997138" y="3716103"/>
            <a:ext cx="259977" cy="360000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720" t="66266" r="44561" b="22114"/>
          <a:stretch/>
        </xdr:blipFill>
        <xdr:spPr>
          <a:xfrm>
            <a:off x="4075158" y="6806584"/>
            <a:ext cx="259977" cy="360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277091</xdr:colOff>
      <xdr:row>310</xdr:row>
      <xdr:rowOff>43295</xdr:rowOff>
    </xdr:from>
    <xdr:to>
      <xdr:col>6</xdr:col>
      <xdr:colOff>528204</xdr:colOff>
      <xdr:row>318</xdr:row>
      <xdr:rowOff>17318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39091" y="65462727"/>
          <a:ext cx="4398818" cy="1567296"/>
        </a:xfrm>
        <a:custGeom>
          <a:avLst/>
          <a:gdLst>
            <a:gd name="connsiteX0" fmla="*/ 0 w 4398818"/>
            <a:gd name="connsiteY0" fmla="*/ 0 h 1567296"/>
            <a:gd name="connsiteX1" fmla="*/ 606136 w 4398818"/>
            <a:gd name="connsiteY1" fmla="*/ 225137 h 1567296"/>
            <a:gd name="connsiteX2" fmla="*/ 1117023 w 4398818"/>
            <a:gd name="connsiteY2" fmla="*/ 320387 h 1567296"/>
            <a:gd name="connsiteX3" fmla="*/ 1324841 w 4398818"/>
            <a:gd name="connsiteY3" fmla="*/ 277091 h 1567296"/>
            <a:gd name="connsiteX4" fmla="*/ 1714500 w 4398818"/>
            <a:gd name="connsiteY4" fmla="*/ 415637 h 1567296"/>
            <a:gd name="connsiteX5" fmla="*/ 2164773 w 4398818"/>
            <a:gd name="connsiteY5" fmla="*/ 658091 h 1567296"/>
            <a:gd name="connsiteX6" fmla="*/ 2485159 w 4398818"/>
            <a:gd name="connsiteY6" fmla="*/ 632114 h 1567296"/>
            <a:gd name="connsiteX7" fmla="*/ 2952750 w 4398818"/>
            <a:gd name="connsiteY7" fmla="*/ 753341 h 1567296"/>
            <a:gd name="connsiteX8" fmla="*/ 3377045 w 4398818"/>
            <a:gd name="connsiteY8" fmla="*/ 779318 h 1567296"/>
            <a:gd name="connsiteX9" fmla="*/ 4009159 w 4398818"/>
            <a:gd name="connsiteY9" fmla="*/ 1039091 h 1567296"/>
            <a:gd name="connsiteX10" fmla="*/ 4398818 w 4398818"/>
            <a:gd name="connsiteY10" fmla="*/ 1342159 h 1567296"/>
            <a:gd name="connsiteX11" fmla="*/ 4355523 w 4398818"/>
            <a:gd name="connsiteY11" fmla="*/ 1567296 h 1567296"/>
            <a:gd name="connsiteX12" fmla="*/ 4017818 w 4398818"/>
            <a:gd name="connsiteY12" fmla="*/ 1333500 h 1567296"/>
            <a:gd name="connsiteX13" fmla="*/ 3610841 w 4398818"/>
            <a:gd name="connsiteY13" fmla="*/ 1186296 h 1567296"/>
            <a:gd name="connsiteX14" fmla="*/ 3394364 w 4398818"/>
            <a:gd name="connsiteY14" fmla="*/ 909205 h 1567296"/>
            <a:gd name="connsiteX15" fmla="*/ 3186545 w 4398818"/>
            <a:gd name="connsiteY15" fmla="*/ 865909 h 1567296"/>
            <a:gd name="connsiteX16" fmla="*/ 2528454 w 4398818"/>
            <a:gd name="connsiteY16" fmla="*/ 762000 h 1567296"/>
            <a:gd name="connsiteX17" fmla="*/ 2069523 w 4398818"/>
            <a:gd name="connsiteY17" fmla="*/ 736023 h 1567296"/>
            <a:gd name="connsiteX18" fmla="*/ 1506682 w 4398818"/>
            <a:gd name="connsiteY18" fmla="*/ 736023 h 1567296"/>
            <a:gd name="connsiteX19" fmla="*/ 1229591 w 4398818"/>
            <a:gd name="connsiteY19" fmla="*/ 528205 h 1567296"/>
            <a:gd name="connsiteX20" fmla="*/ 883227 w 4398818"/>
            <a:gd name="connsiteY20" fmla="*/ 493568 h 1567296"/>
            <a:gd name="connsiteX21" fmla="*/ 493568 w 4398818"/>
            <a:gd name="connsiteY21" fmla="*/ 458932 h 1567296"/>
            <a:gd name="connsiteX22" fmla="*/ 285750 w 4398818"/>
            <a:gd name="connsiteY22" fmla="*/ 285750 h 1567296"/>
            <a:gd name="connsiteX23" fmla="*/ 34636 w 4398818"/>
            <a:gd name="connsiteY23" fmla="*/ 199159 h 1567296"/>
            <a:gd name="connsiteX24" fmla="*/ 0 w 4398818"/>
            <a:gd name="connsiteY24" fmla="*/ 0 h 1567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4398818" h="1567296">
              <a:moveTo>
                <a:pt x="0" y="0"/>
              </a:moveTo>
              <a:lnTo>
                <a:pt x="606136" y="225137"/>
              </a:lnTo>
              <a:lnTo>
                <a:pt x="1117023" y="320387"/>
              </a:lnTo>
              <a:lnTo>
                <a:pt x="1324841" y="277091"/>
              </a:lnTo>
              <a:lnTo>
                <a:pt x="1714500" y="415637"/>
              </a:lnTo>
              <a:lnTo>
                <a:pt x="2164773" y="658091"/>
              </a:lnTo>
              <a:lnTo>
                <a:pt x="2485159" y="632114"/>
              </a:lnTo>
              <a:lnTo>
                <a:pt x="2952750" y="753341"/>
              </a:lnTo>
              <a:lnTo>
                <a:pt x="3377045" y="779318"/>
              </a:lnTo>
              <a:lnTo>
                <a:pt x="4009159" y="1039091"/>
              </a:lnTo>
              <a:lnTo>
                <a:pt x="4398818" y="1342159"/>
              </a:lnTo>
              <a:lnTo>
                <a:pt x="4355523" y="1567296"/>
              </a:lnTo>
              <a:lnTo>
                <a:pt x="4017818" y="1333500"/>
              </a:lnTo>
              <a:lnTo>
                <a:pt x="3610841" y="1186296"/>
              </a:lnTo>
              <a:lnTo>
                <a:pt x="3394364" y="909205"/>
              </a:lnTo>
              <a:lnTo>
                <a:pt x="3186545" y="865909"/>
              </a:lnTo>
              <a:lnTo>
                <a:pt x="2528454" y="762000"/>
              </a:lnTo>
              <a:lnTo>
                <a:pt x="2069523" y="736023"/>
              </a:lnTo>
              <a:lnTo>
                <a:pt x="1506682" y="736023"/>
              </a:lnTo>
              <a:lnTo>
                <a:pt x="1229591" y="528205"/>
              </a:lnTo>
              <a:lnTo>
                <a:pt x="883227" y="493568"/>
              </a:lnTo>
              <a:lnTo>
                <a:pt x="493568" y="458932"/>
              </a:lnTo>
              <a:lnTo>
                <a:pt x="285750" y="285750"/>
              </a:lnTo>
              <a:lnTo>
                <a:pt x="34636" y="199159"/>
              </a:lnTo>
              <a:lnTo>
                <a:pt x="0" y="0"/>
              </a:lnTo>
              <a:close/>
            </a:path>
          </a:pathLst>
        </a:cu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640772</xdr:colOff>
      <xdr:row>312</xdr:row>
      <xdr:rowOff>60614</xdr:rowOff>
    </xdr:from>
    <xdr:to>
      <xdr:col>3</xdr:col>
      <xdr:colOff>675409</xdr:colOff>
      <xdr:row>313</xdr:row>
      <xdr:rowOff>121228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rot="1135473">
          <a:off x="2199408" y="65878364"/>
          <a:ext cx="883228" cy="25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Taloja River</a:t>
          </a:r>
        </a:p>
      </xdr:txBody>
    </xdr:sp>
    <xdr:clientData/>
  </xdr:twoCellAnchor>
  <xdr:twoCellAnchor editAs="oneCell">
    <xdr:from>
      <xdr:col>9</xdr:col>
      <xdr:colOff>476251</xdr:colOff>
      <xdr:row>99</xdr:row>
      <xdr:rowOff>77932</xdr:rowOff>
    </xdr:from>
    <xdr:to>
      <xdr:col>13</xdr:col>
      <xdr:colOff>314047</xdr:colOff>
      <xdr:row>108</xdr:row>
      <xdr:rowOff>174048</xdr:rowOff>
    </xdr:to>
    <xdr:pic>
      <xdr:nvPicPr>
        <xdr:cNvPr id="20" name="Picture 19" descr="https://vsjcllp.vsjadon.com/upload/insp-136016-849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6865" y="20149705"/>
          <a:ext cx="3050319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1104340</xdr:colOff>
      <xdr:row>195</xdr:row>
      <xdr:rowOff>22971</xdr:rowOff>
    </xdr:from>
    <xdr:to>
      <xdr:col>16</xdr:col>
      <xdr:colOff>532722</xdr:colOff>
      <xdr:row>231</xdr:row>
      <xdr:rowOff>22973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8147870" y="40746901"/>
          <a:ext cx="6266504" cy="7149550"/>
          <a:chOff x="317591" y="1373980"/>
          <a:chExt cx="6128379" cy="6391277"/>
        </a:xfrm>
      </xdr:grpSpPr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317591" y="1373980"/>
            <a:ext cx="6128379" cy="4019554"/>
            <a:chOff x="317591" y="1373980"/>
            <a:chExt cx="6128379" cy="4019554"/>
          </a:xfrm>
        </xdr:grpSpPr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7591" y="1373981"/>
              <a:ext cx="3011524" cy="401955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34446" y="1373980"/>
              <a:ext cx="3011524" cy="401955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GrpSpPr/>
        </xdr:nvGrpSpPr>
        <xdr:grpSpPr>
          <a:xfrm>
            <a:off x="1017214" y="5498307"/>
            <a:ext cx="4823573" cy="2266950"/>
            <a:chOff x="309314" y="5498307"/>
            <a:chExt cx="4823573" cy="2266950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34446" y="5498307"/>
              <a:ext cx="1698441" cy="226695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9314" y="5498307"/>
              <a:ext cx="3019801" cy="226695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636495</xdr:colOff>
      <xdr:row>196</xdr:row>
      <xdr:rowOff>98612</xdr:rowOff>
    </xdr:from>
    <xdr:to>
      <xdr:col>7</xdr:col>
      <xdr:colOff>179295</xdr:colOff>
      <xdr:row>231</xdr:row>
      <xdr:rowOff>143437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5289C23-189C-7311-4880-A7908C432853}"/>
            </a:ext>
          </a:extLst>
        </xdr:cNvPr>
        <xdr:cNvGrpSpPr/>
      </xdr:nvGrpSpPr>
      <xdr:grpSpPr>
        <a:xfrm>
          <a:off x="636495" y="41021325"/>
          <a:ext cx="5387009" cy="6995590"/>
          <a:chOff x="-162109" y="-1"/>
          <a:chExt cx="6471486" cy="8044296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BD7DB4F-550F-C527-C153-E4F7CE1685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52555" y="5854048"/>
            <a:ext cx="1641164" cy="21902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148BF7ED-8527-E657-7444-FF9524F06B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62109" y="-1"/>
            <a:ext cx="4262626" cy="56887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9EB215F3-6BE8-D5AC-09AF-C116C45C66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46514" y="2936652"/>
            <a:ext cx="2058434" cy="27471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F27141CB-EE84-CD89-F820-A14C9D13DA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50943" y="0"/>
            <a:ext cx="2058434" cy="27471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B313B81A-BB9D-E054-B7CE-888846130D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3630" y="5844998"/>
            <a:ext cx="1641164" cy="21902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661147</xdr:colOff>
      <xdr:row>14</xdr:row>
      <xdr:rowOff>0</xdr:rowOff>
    </xdr:from>
    <xdr:to>
      <xdr:col>5</xdr:col>
      <xdr:colOff>821248</xdr:colOff>
      <xdr:row>27</xdr:row>
      <xdr:rowOff>9214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853" y="2678206"/>
          <a:ext cx="5628571" cy="2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3Kj5t32xNCpvV9H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8"/>
  <sheetViews>
    <sheetView tabSelected="1" view="pageBreakPreview" topLeftCell="A201" zoomScale="115" zoomScaleNormal="100" zoomScaleSheetLayoutView="115" workbookViewId="0">
      <selection activeCell="I209" sqref="I209"/>
    </sheetView>
  </sheetViews>
  <sheetFormatPr defaultColWidth="9.109375" defaultRowHeight="15.6" x14ac:dyDescent="0.3"/>
  <cols>
    <col min="1" max="1" width="11.44140625" style="41" customWidth="1"/>
    <col min="2" max="2" width="12" style="41" customWidth="1"/>
    <col min="3" max="3" width="12.6640625" style="41" customWidth="1"/>
    <col min="4" max="4" width="14.109375" style="41" customWidth="1"/>
    <col min="5" max="7" width="11.6640625" style="41" customWidth="1"/>
    <col min="8" max="8" width="17.44140625" style="41" customWidth="1"/>
    <col min="9" max="9" width="17.44140625" style="22" customWidth="1"/>
    <col min="10" max="10" width="11.44140625" style="22" customWidth="1"/>
    <col min="11" max="11" width="13.5546875" style="22" bestFit="1" customWidth="1"/>
    <col min="12" max="12" width="11.3320312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9" ht="46.5" customHeight="1" x14ac:dyDescent="0.3">
      <c r="A1" s="163" t="s">
        <v>190</v>
      </c>
      <c r="B1" s="163"/>
      <c r="C1" s="163"/>
      <c r="D1" s="163"/>
      <c r="E1" s="163"/>
      <c r="F1" s="163"/>
      <c r="G1" s="163"/>
      <c r="H1" s="163"/>
    </row>
    <row r="2" spans="1:9" ht="16.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</row>
    <row r="3" spans="1:9" x14ac:dyDescent="0.3">
      <c r="A3" s="148" t="s">
        <v>1</v>
      </c>
      <c r="B3" s="148"/>
      <c r="C3" s="148"/>
      <c r="D3" s="148"/>
      <c r="E3" s="148" t="str">
        <f ca="1">TEXT(TODAY(),"DD/MM/YYYY")</f>
        <v>14/08/2025</v>
      </c>
      <c r="F3" s="148"/>
      <c r="G3" s="148"/>
      <c r="H3" s="148"/>
    </row>
    <row r="4" spans="1:9" x14ac:dyDescent="0.3">
      <c r="A4" s="148" t="s">
        <v>2</v>
      </c>
      <c r="B4" s="148"/>
      <c r="C4" s="148"/>
      <c r="D4" s="148"/>
      <c r="E4" s="148" t="s">
        <v>231</v>
      </c>
      <c r="F4" s="148"/>
      <c r="G4" s="148"/>
      <c r="H4" s="148"/>
    </row>
    <row r="5" spans="1:9" x14ac:dyDescent="0.3">
      <c r="A5" s="148" t="s">
        <v>3</v>
      </c>
      <c r="B5" s="148"/>
      <c r="C5" s="148"/>
      <c r="D5" s="148"/>
      <c r="E5" s="164">
        <v>45881</v>
      </c>
      <c r="F5" s="148"/>
      <c r="G5" s="148"/>
      <c r="H5" s="148"/>
    </row>
    <row r="6" spans="1:9" ht="16.5" customHeight="1" x14ac:dyDescent="0.3">
      <c r="A6" s="148" t="s">
        <v>4</v>
      </c>
      <c r="B6" s="148"/>
      <c r="C6" s="148"/>
      <c r="D6" s="148"/>
      <c r="E6" s="148" t="s">
        <v>192</v>
      </c>
      <c r="F6" s="148"/>
      <c r="G6" s="148"/>
      <c r="H6" s="148"/>
    </row>
    <row r="7" spans="1:9" ht="15" customHeight="1" x14ac:dyDescent="0.3">
      <c r="A7" s="148" t="s">
        <v>5</v>
      </c>
      <c r="B7" s="148"/>
      <c r="C7" s="148"/>
      <c r="D7" s="148"/>
      <c r="E7" s="148" t="str">
        <f>E6</f>
        <v>RS Couture LLP</v>
      </c>
      <c r="F7" s="148"/>
      <c r="G7" s="148"/>
      <c r="H7" s="148"/>
    </row>
    <row r="8" spans="1:9" x14ac:dyDescent="0.3">
      <c r="A8" s="148" t="s">
        <v>6</v>
      </c>
      <c r="B8" s="148"/>
      <c r="C8" s="148"/>
      <c r="D8" s="148"/>
      <c r="E8" s="109" t="s">
        <v>193</v>
      </c>
      <c r="F8" s="109"/>
      <c r="G8" s="109"/>
      <c r="H8" s="109"/>
    </row>
    <row r="9" spans="1:9" x14ac:dyDescent="0.3">
      <c r="A9" s="148" t="s">
        <v>170</v>
      </c>
      <c r="B9" s="148"/>
      <c r="C9" s="148"/>
      <c r="D9" s="148"/>
      <c r="E9" s="148" t="s">
        <v>232</v>
      </c>
      <c r="F9" s="148"/>
      <c r="G9" s="148"/>
      <c r="H9" s="148"/>
    </row>
    <row r="10" spans="1:9" x14ac:dyDescent="0.3">
      <c r="A10" s="148" t="s">
        <v>171</v>
      </c>
      <c r="B10" s="148"/>
      <c r="C10" s="148"/>
      <c r="D10" s="148"/>
      <c r="E10" s="148" t="s">
        <v>240</v>
      </c>
      <c r="F10" s="148"/>
      <c r="G10" s="148"/>
      <c r="H10" s="148"/>
    </row>
    <row r="11" spans="1:9" x14ac:dyDescent="0.3">
      <c r="A11" s="148" t="s">
        <v>7</v>
      </c>
      <c r="B11" s="148"/>
      <c r="C11" s="148"/>
      <c r="D11" s="148"/>
      <c r="E11" s="148" t="s">
        <v>194</v>
      </c>
      <c r="F11" s="148"/>
      <c r="G11" s="148"/>
      <c r="H11" s="148"/>
    </row>
    <row r="12" spans="1:9" x14ac:dyDescent="0.3">
      <c r="A12" s="100" t="s">
        <v>8</v>
      </c>
      <c r="B12" s="100"/>
      <c r="C12" s="100"/>
      <c r="D12" s="100"/>
      <c r="E12" s="113" t="s">
        <v>233</v>
      </c>
      <c r="F12" s="113"/>
      <c r="G12" s="113"/>
      <c r="H12" s="113"/>
    </row>
    <row r="13" spans="1:9" x14ac:dyDescent="0.3">
      <c r="A13" s="100" t="s">
        <v>9</v>
      </c>
      <c r="B13" s="100"/>
      <c r="C13" s="100"/>
      <c r="D13" s="100"/>
      <c r="E13" s="113" t="s">
        <v>195</v>
      </c>
      <c r="F13" s="148"/>
      <c r="G13" s="148"/>
      <c r="H13" s="148"/>
    </row>
    <row r="14" spans="1:9" ht="33.75" customHeight="1" x14ac:dyDescent="0.3">
      <c r="A14" s="112" t="s">
        <v>10</v>
      </c>
      <c r="B14" s="112"/>
      <c r="C14" s="11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QA Riverfront, Survey No.54, H.No - 06, near Shubham Builders - Jijai Angan, Ghot Road, Ghot, Ghot, Taloja Panchnand, Panvel, Raigad - 410208.</v>
      </c>
      <c r="D14" s="113"/>
      <c r="E14" s="113"/>
      <c r="F14" s="113"/>
      <c r="G14" s="113"/>
      <c r="H14" s="113"/>
      <c r="I14" s="24"/>
    </row>
    <row r="15" spans="1:9" x14ac:dyDescent="0.3">
      <c r="A15" s="113" t="s">
        <v>197</v>
      </c>
      <c r="B15" s="113"/>
      <c r="C15" s="113" t="s">
        <v>196</v>
      </c>
      <c r="D15" s="113"/>
      <c r="E15" s="113"/>
      <c r="F15" s="113"/>
      <c r="G15" s="113"/>
      <c r="H15" s="113"/>
      <c r="I15" s="24"/>
    </row>
    <row r="16" spans="1:9" ht="15.75" customHeight="1" x14ac:dyDescent="0.3">
      <c r="A16" s="113" t="s">
        <v>169</v>
      </c>
      <c r="B16" s="113"/>
      <c r="C16" s="113" t="s">
        <v>198</v>
      </c>
      <c r="D16" s="113"/>
      <c r="E16" s="113"/>
      <c r="F16" s="113"/>
      <c r="G16" s="113"/>
      <c r="H16" s="113"/>
      <c r="I16" s="24"/>
    </row>
    <row r="17" spans="1:9" ht="15.75" customHeight="1" x14ac:dyDescent="0.3">
      <c r="A17" s="112" t="s">
        <v>11</v>
      </c>
      <c r="B17" s="112"/>
      <c r="C17" s="113" t="s">
        <v>208</v>
      </c>
      <c r="D17" s="113"/>
      <c r="E17" s="113" t="s">
        <v>75</v>
      </c>
      <c r="F17" s="113"/>
      <c r="G17" s="113" t="s">
        <v>198</v>
      </c>
      <c r="H17" s="113"/>
      <c r="I17" s="24"/>
    </row>
    <row r="18" spans="1:9" x14ac:dyDescent="0.3">
      <c r="A18" s="100" t="s">
        <v>13</v>
      </c>
      <c r="B18" s="100"/>
      <c r="C18" s="113" t="s">
        <v>206</v>
      </c>
      <c r="D18" s="113"/>
      <c r="E18" s="113" t="s">
        <v>12</v>
      </c>
      <c r="F18" s="113"/>
      <c r="G18" s="162" t="s">
        <v>199</v>
      </c>
      <c r="H18" s="162"/>
      <c r="I18" s="24"/>
    </row>
    <row r="19" spans="1:9" x14ac:dyDescent="0.3">
      <c r="A19" s="100" t="s">
        <v>76</v>
      </c>
      <c r="B19" s="100"/>
      <c r="C19" s="113" t="s">
        <v>200</v>
      </c>
      <c r="D19" s="113"/>
      <c r="E19" s="113" t="s">
        <v>14</v>
      </c>
      <c r="F19" s="113"/>
      <c r="G19" s="113">
        <v>410208</v>
      </c>
      <c r="H19" s="113"/>
      <c r="I19" s="24"/>
    </row>
    <row r="20" spans="1:9" ht="47.25" customHeight="1" x14ac:dyDescent="0.3">
      <c r="A20" s="100" t="s">
        <v>128</v>
      </c>
      <c r="B20" s="100"/>
      <c r="C20" s="113" t="s">
        <v>207</v>
      </c>
      <c r="D20" s="113"/>
      <c r="E20" s="113" t="s">
        <v>15</v>
      </c>
      <c r="F20" s="113"/>
      <c r="G20" s="113" t="s">
        <v>205</v>
      </c>
      <c r="H20" s="113"/>
      <c r="I20" s="24"/>
    </row>
    <row r="21" spans="1:9" ht="15" customHeight="1" x14ac:dyDescent="0.3">
      <c r="A21" s="112" t="s">
        <v>79</v>
      </c>
      <c r="B21" s="112"/>
      <c r="C21" s="112"/>
      <c r="D21" s="112"/>
      <c r="E21" s="148" t="s">
        <v>16</v>
      </c>
      <c r="F21" s="148"/>
      <c r="G21" s="148"/>
      <c r="H21" s="148"/>
    </row>
    <row r="22" spans="1:9" ht="18.75" customHeight="1" x14ac:dyDescent="0.3">
      <c r="A22" s="112"/>
      <c r="B22" s="112"/>
      <c r="C22" s="112"/>
      <c r="D22" s="112"/>
      <c r="E22" s="148"/>
      <c r="F22" s="148"/>
      <c r="G22" s="148"/>
      <c r="H22" s="148"/>
    </row>
    <row r="23" spans="1:9" ht="15" customHeight="1" x14ac:dyDescent="0.3">
      <c r="A23" s="112" t="s">
        <v>17</v>
      </c>
      <c r="B23" s="112"/>
      <c r="C23" s="112"/>
      <c r="D23" s="112"/>
      <c r="E23" s="113" t="s">
        <v>18</v>
      </c>
      <c r="F23" s="113"/>
      <c r="G23" s="113"/>
      <c r="H23" s="113"/>
    </row>
    <row r="24" spans="1:9" ht="15" customHeight="1" x14ac:dyDescent="0.3">
      <c r="A24" s="100" t="s">
        <v>19</v>
      </c>
      <c r="B24" s="100"/>
      <c r="C24" s="100"/>
      <c r="D24" s="100"/>
      <c r="E24" s="113" t="str">
        <f>IF(AND(G18="Mumbai"),"Upper Class","Middle Class")</f>
        <v>Middle Class</v>
      </c>
      <c r="F24" s="113"/>
      <c r="G24" s="113"/>
      <c r="H24" s="113"/>
    </row>
    <row r="25" spans="1:9" x14ac:dyDescent="0.3">
      <c r="A25" s="100" t="s">
        <v>20</v>
      </c>
      <c r="B25" s="100"/>
      <c r="C25" s="100"/>
      <c r="D25" s="100"/>
      <c r="E25" s="113" t="s">
        <v>21</v>
      </c>
      <c r="F25" s="113"/>
      <c r="G25" s="113"/>
      <c r="H25" s="113"/>
    </row>
    <row r="26" spans="1:9" ht="15.75" customHeight="1" x14ac:dyDescent="0.3">
      <c r="A26" s="100" t="s">
        <v>22</v>
      </c>
      <c r="B26" s="100"/>
      <c r="C26" s="100"/>
      <c r="D26" s="100"/>
      <c r="E26" s="113" t="str">
        <f>IF(AND(G18="Mumbai"),"Developed","Developing")</f>
        <v>Developing</v>
      </c>
      <c r="F26" s="113"/>
      <c r="G26" s="113"/>
      <c r="H26" s="113"/>
    </row>
    <row r="27" spans="1:9" x14ac:dyDescent="0.3">
      <c r="A27" s="100" t="s">
        <v>23</v>
      </c>
      <c r="B27" s="100"/>
      <c r="C27" s="100"/>
      <c r="D27" s="100"/>
      <c r="E27" s="113" t="s">
        <v>24</v>
      </c>
      <c r="F27" s="113"/>
      <c r="G27" s="113"/>
      <c r="H27" s="113"/>
    </row>
    <row r="28" spans="1:9" ht="15.75" customHeight="1" x14ac:dyDescent="0.3">
      <c r="A28" s="100" t="s">
        <v>84</v>
      </c>
      <c r="B28" s="100"/>
      <c r="C28" s="100"/>
      <c r="D28" s="100"/>
      <c r="E28" s="113" t="s">
        <v>85</v>
      </c>
      <c r="F28" s="113"/>
      <c r="G28" s="113"/>
      <c r="H28" s="113"/>
    </row>
    <row r="29" spans="1:9" ht="15" customHeight="1" x14ac:dyDescent="0.3">
      <c r="A29" s="100" t="s">
        <v>33</v>
      </c>
      <c r="B29" s="100"/>
      <c r="C29" s="100"/>
      <c r="D29" s="100"/>
      <c r="E29" s="11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3"/>
      <c r="G29" s="113"/>
      <c r="H29" s="113"/>
    </row>
    <row r="30" spans="1:9" ht="15.75" customHeight="1" x14ac:dyDescent="0.3">
      <c r="A30" s="100" t="s">
        <v>96</v>
      </c>
      <c r="B30" s="100"/>
      <c r="C30" s="100"/>
      <c r="D30" s="100"/>
      <c r="E30" s="113" t="s">
        <v>34</v>
      </c>
      <c r="F30" s="113"/>
      <c r="G30" s="113"/>
      <c r="H30" s="113"/>
    </row>
    <row r="31" spans="1:9" s="23" customFormat="1" x14ac:dyDescent="0.3">
      <c r="A31" s="161" t="s">
        <v>97</v>
      </c>
      <c r="B31" s="161"/>
      <c r="C31" s="160" t="s">
        <v>29</v>
      </c>
      <c r="D31" s="160"/>
      <c r="E31" s="160"/>
      <c r="F31" s="160" t="s">
        <v>31</v>
      </c>
      <c r="G31" s="160"/>
      <c r="H31" s="160"/>
    </row>
    <row r="32" spans="1:9" s="23" customFormat="1" x14ac:dyDescent="0.3">
      <c r="A32" s="159" t="s">
        <v>25</v>
      </c>
      <c r="B32" s="159" t="s">
        <v>30</v>
      </c>
      <c r="C32" s="119" t="s">
        <v>30</v>
      </c>
      <c r="D32" s="119"/>
      <c r="E32" s="119"/>
      <c r="F32" s="119" t="s">
        <v>203</v>
      </c>
      <c r="G32" s="119"/>
      <c r="H32" s="119"/>
    </row>
    <row r="33" spans="1:8" x14ac:dyDescent="0.3">
      <c r="A33" s="159" t="s">
        <v>26</v>
      </c>
      <c r="B33" s="159" t="s">
        <v>30</v>
      </c>
      <c r="C33" s="119" t="s">
        <v>30</v>
      </c>
      <c r="D33" s="119"/>
      <c r="E33" s="119"/>
      <c r="F33" s="119" t="s">
        <v>203</v>
      </c>
      <c r="G33" s="119"/>
      <c r="H33" s="119"/>
    </row>
    <row r="34" spans="1:8" s="23" customFormat="1" x14ac:dyDescent="0.3">
      <c r="A34" s="159" t="s">
        <v>28</v>
      </c>
      <c r="B34" s="159" t="s">
        <v>30</v>
      </c>
      <c r="C34" s="119" t="s">
        <v>30</v>
      </c>
      <c r="D34" s="119"/>
      <c r="E34" s="119"/>
      <c r="F34" s="119" t="s">
        <v>203</v>
      </c>
      <c r="G34" s="119"/>
      <c r="H34" s="119"/>
    </row>
    <row r="35" spans="1:8" x14ac:dyDescent="0.3">
      <c r="A35" s="159" t="s">
        <v>27</v>
      </c>
      <c r="B35" s="159" t="s">
        <v>30</v>
      </c>
      <c r="C35" s="119" t="s">
        <v>30</v>
      </c>
      <c r="D35" s="119"/>
      <c r="E35" s="119"/>
      <c r="F35" s="119" t="s">
        <v>204</v>
      </c>
      <c r="G35" s="119"/>
      <c r="H35" s="119"/>
    </row>
    <row r="36" spans="1:8" x14ac:dyDescent="0.3">
      <c r="A36" s="100" t="s">
        <v>32</v>
      </c>
      <c r="B36" s="100"/>
      <c r="C36" s="100"/>
      <c r="D36" s="100"/>
      <c r="E36" s="100"/>
      <c r="F36" s="100"/>
      <c r="G36" s="100"/>
      <c r="H36" s="100"/>
    </row>
    <row r="37" spans="1:8" ht="15.75" customHeight="1" x14ac:dyDescent="0.3">
      <c r="A37" s="128" t="s">
        <v>191</v>
      </c>
      <c r="B37" s="128"/>
      <c r="C37" s="120" t="s">
        <v>202</v>
      </c>
      <c r="D37" s="121"/>
      <c r="E37" s="121"/>
      <c r="F37" s="121"/>
      <c r="G37" s="121"/>
      <c r="H37" s="122"/>
    </row>
    <row r="38" spans="1:8" x14ac:dyDescent="0.3">
      <c r="A38" s="128" t="s">
        <v>168</v>
      </c>
      <c r="B38" s="128"/>
      <c r="C38" s="129" t="s">
        <v>201</v>
      </c>
      <c r="D38" s="113"/>
      <c r="E38" s="113"/>
      <c r="F38" s="113"/>
      <c r="G38" s="113"/>
      <c r="H38" s="113"/>
    </row>
    <row r="39" spans="1:8" x14ac:dyDescent="0.3">
      <c r="A39" s="143" t="s">
        <v>35</v>
      </c>
      <c r="B39" s="143"/>
      <c r="C39" s="143"/>
      <c r="D39" s="143"/>
      <c r="E39" s="143"/>
      <c r="F39" s="143"/>
      <c r="G39" s="143"/>
      <c r="H39" s="143"/>
    </row>
    <row r="40" spans="1:8" x14ac:dyDescent="0.3">
      <c r="A40" s="100" t="s">
        <v>36</v>
      </c>
      <c r="B40" s="100"/>
      <c r="C40" s="100"/>
      <c r="D40" s="100"/>
      <c r="E40" s="123">
        <v>3009.74</v>
      </c>
      <c r="F40" s="123"/>
      <c r="G40" s="123"/>
      <c r="H40" s="123"/>
    </row>
    <row r="41" spans="1:8" x14ac:dyDescent="0.3">
      <c r="A41" s="100" t="s">
        <v>37</v>
      </c>
      <c r="B41" s="100"/>
      <c r="C41" s="100"/>
      <c r="D41" s="100"/>
      <c r="E41" s="146">
        <v>1.1000000000000001</v>
      </c>
      <c r="F41" s="146"/>
      <c r="G41" s="146"/>
      <c r="H41" s="146"/>
    </row>
    <row r="42" spans="1:8" x14ac:dyDescent="0.3">
      <c r="A42" s="100" t="s">
        <v>38</v>
      </c>
      <c r="B42" s="100"/>
      <c r="C42" s="100"/>
      <c r="D42" s="100"/>
      <c r="E42" s="146">
        <f>E44/E40-E41</f>
        <v>1.4997760603905985</v>
      </c>
      <c r="F42" s="146"/>
      <c r="G42" s="146"/>
      <c r="H42" s="146"/>
    </row>
    <row r="43" spans="1:8" x14ac:dyDescent="0.3">
      <c r="A43" s="100" t="s">
        <v>39</v>
      </c>
      <c r="B43" s="100"/>
      <c r="C43" s="100"/>
      <c r="D43" s="100"/>
      <c r="E43" s="146">
        <f>E41+E42</f>
        <v>2.5997760603905986</v>
      </c>
      <c r="F43" s="146"/>
      <c r="G43" s="146"/>
      <c r="H43" s="146"/>
    </row>
    <row r="44" spans="1:8" x14ac:dyDescent="0.3">
      <c r="A44" s="100" t="s">
        <v>95</v>
      </c>
      <c r="B44" s="100"/>
      <c r="C44" s="100"/>
      <c r="D44" s="100"/>
      <c r="E44" s="147">
        <v>7824.65</v>
      </c>
      <c r="F44" s="147"/>
      <c r="G44" s="147"/>
      <c r="H44" s="147"/>
    </row>
    <row r="45" spans="1:8" x14ac:dyDescent="0.3">
      <c r="A45" s="148" t="s">
        <v>40</v>
      </c>
      <c r="B45" s="148"/>
      <c r="C45" s="148"/>
      <c r="D45" s="148"/>
      <c r="E45" s="148" t="s">
        <v>127</v>
      </c>
      <c r="F45" s="148"/>
      <c r="G45" s="148"/>
      <c r="H45" s="148"/>
    </row>
    <row r="46" spans="1:8" x14ac:dyDescent="0.3">
      <c r="A46" s="143" t="s">
        <v>41</v>
      </c>
      <c r="B46" s="143"/>
      <c r="C46" s="143"/>
      <c r="D46" s="143"/>
      <c r="E46" s="143"/>
      <c r="F46" s="143"/>
      <c r="G46" s="143"/>
      <c r="H46" s="143"/>
    </row>
    <row r="47" spans="1:8" ht="33.75" customHeight="1" x14ac:dyDescent="0.3">
      <c r="A47" s="92" t="s">
        <v>155</v>
      </c>
      <c r="B47" s="93"/>
      <c r="C47" s="94" t="s">
        <v>209</v>
      </c>
      <c r="D47" s="95"/>
      <c r="E47" s="95"/>
      <c r="F47" s="95"/>
      <c r="G47" s="95"/>
      <c r="H47" s="96"/>
    </row>
    <row r="48" spans="1:8" ht="15.75" customHeight="1" x14ac:dyDescent="0.3">
      <c r="A48" s="92" t="s">
        <v>42</v>
      </c>
      <c r="B48" s="93"/>
      <c r="C48" s="92" t="s">
        <v>210</v>
      </c>
      <c r="D48" s="127"/>
      <c r="E48" s="93"/>
      <c r="F48" s="19" t="s">
        <v>43</v>
      </c>
      <c r="G48" s="153">
        <v>44943</v>
      </c>
      <c r="H48" s="93"/>
    </row>
    <row r="49" spans="1:14" x14ac:dyDescent="0.3">
      <c r="A49" s="92" t="s">
        <v>44</v>
      </c>
      <c r="B49" s="93"/>
      <c r="C49" s="92" t="str">
        <f>C48</f>
        <v>PMP/NRV/16534/JK/155/2023</v>
      </c>
      <c r="D49" s="127"/>
      <c r="E49" s="93"/>
      <c r="F49" s="19" t="s">
        <v>43</v>
      </c>
      <c r="G49" s="153">
        <f>G48</f>
        <v>44943</v>
      </c>
      <c r="H49" s="154"/>
    </row>
    <row r="50" spans="1:14" s="24" customFormat="1" ht="31.5" customHeight="1" x14ac:dyDescent="0.3">
      <c r="A50" s="155" t="s">
        <v>159</v>
      </c>
      <c r="B50" s="156"/>
      <c r="C50" s="92" t="s">
        <v>211</v>
      </c>
      <c r="D50" s="127"/>
      <c r="E50" s="93"/>
      <c r="F50" s="19" t="s">
        <v>43</v>
      </c>
      <c r="G50" s="153">
        <f>G49</f>
        <v>44943</v>
      </c>
      <c r="H50" s="154"/>
    </row>
    <row r="51" spans="1:14" s="24" customFormat="1" x14ac:dyDescent="0.3">
      <c r="A51" s="157"/>
      <c r="B51" s="158"/>
      <c r="C51" s="92" t="s">
        <v>212</v>
      </c>
      <c r="D51" s="127"/>
      <c r="E51" s="127"/>
      <c r="F51" s="127"/>
      <c r="G51" s="127"/>
      <c r="H51" s="93"/>
    </row>
    <row r="52" spans="1:14" ht="33" customHeight="1" x14ac:dyDescent="0.3">
      <c r="A52" s="178" t="s">
        <v>45</v>
      </c>
      <c r="B52" s="179"/>
      <c r="C52" s="178" t="s">
        <v>109</v>
      </c>
      <c r="D52" s="180"/>
      <c r="E52" s="179"/>
      <c r="F52" s="45" t="s">
        <v>43</v>
      </c>
      <c r="G52" s="181" t="s">
        <v>30</v>
      </c>
      <c r="H52" s="182"/>
    </row>
    <row r="53" spans="1:14" x14ac:dyDescent="0.3">
      <c r="A53" s="173" t="s">
        <v>47</v>
      </c>
      <c r="B53" s="173"/>
      <c r="C53" s="173"/>
      <c r="D53" s="173"/>
      <c r="E53" s="173"/>
      <c r="F53" s="173"/>
      <c r="G53" s="173"/>
      <c r="H53" s="173"/>
    </row>
    <row r="54" spans="1:14" x14ac:dyDescent="0.3">
      <c r="A54" s="112" t="s">
        <v>94</v>
      </c>
      <c r="B54" s="112"/>
      <c r="C54" s="112"/>
      <c r="D54" s="100">
        <f>E44</f>
        <v>7824.65</v>
      </c>
      <c r="E54" s="100"/>
      <c r="F54" s="100"/>
      <c r="G54" s="100"/>
      <c r="H54" s="100"/>
    </row>
    <row r="55" spans="1:14" x14ac:dyDescent="0.3">
      <c r="A55" s="113" t="s">
        <v>48</v>
      </c>
      <c r="B55" s="148"/>
      <c r="C55" s="148"/>
      <c r="D55" s="148" t="s">
        <v>226</v>
      </c>
      <c r="E55" s="148"/>
      <c r="F55" s="148"/>
      <c r="G55" s="148"/>
      <c r="H55" s="148"/>
      <c r="I55" s="25"/>
    </row>
    <row r="56" spans="1:14" x14ac:dyDescent="0.3">
      <c r="A56" s="150" t="s">
        <v>49</v>
      </c>
      <c r="B56" s="151"/>
      <c r="C56" s="152"/>
      <c r="D56" s="115" t="s">
        <v>212</v>
      </c>
      <c r="E56" s="149"/>
      <c r="F56" s="149"/>
      <c r="G56" s="149"/>
      <c r="H56" s="149"/>
    </row>
    <row r="57" spans="1:14" ht="15.75" customHeight="1" x14ac:dyDescent="0.3">
      <c r="A57" s="150" t="s">
        <v>92</v>
      </c>
      <c r="B57" s="151"/>
      <c r="C57" s="151"/>
      <c r="D57" s="184" t="s">
        <v>212</v>
      </c>
      <c r="E57" s="185"/>
      <c r="F57" s="185"/>
      <c r="G57" s="185"/>
      <c r="H57" s="186"/>
    </row>
    <row r="58" spans="1:14" ht="15.75" customHeight="1" x14ac:dyDescent="0.3">
      <c r="A58" s="100" t="s">
        <v>46</v>
      </c>
      <c r="B58" s="100"/>
      <c r="C58" s="100"/>
      <c r="D58" s="144" t="s">
        <v>219</v>
      </c>
      <c r="E58" s="144"/>
      <c r="F58" s="144"/>
      <c r="G58" s="144"/>
      <c r="H58" s="144"/>
      <c r="J58" s="26"/>
      <c r="K58" s="25"/>
      <c r="N58" s="25"/>
    </row>
    <row r="59" spans="1:14" ht="15.75" customHeight="1" x14ac:dyDescent="0.3">
      <c r="A59" s="100" t="s">
        <v>90</v>
      </c>
      <c r="B59" s="100"/>
      <c r="C59" s="100"/>
      <c r="D59" s="145" t="str">
        <f>(IF(G52="NA","60 Years After Completion",IF(G52&lt;&gt;"NA",""&amp;60-ROUNDDOWN((E3-G52)/360,0)&amp;" Years"," ")))</f>
        <v>60 Years After Completion</v>
      </c>
      <c r="E59" s="145"/>
      <c r="F59" s="145"/>
      <c r="G59" s="145"/>
      <c r="H59" s="145"/>
      <c r="N59" s="25"/>
    </row>
    <row r="60" spans="1:14" ht="15.75" customHeight="1" x14ac:dyDescent="0.3">
      <c r="A60" s="100" t="s">
        <v>91</v>
      </c>
      <c r="B60" s="100"/>
      <c r="C60" s="100"/>
      <c r="D60" s="112" t="s">
        <v>24</v>
      </c>
      <c r="E60" s="112"/>
      <c r="F60" s="112"/>
      <c r="G60" s="112"/>
      <c r="H60" s="112"/>
      <c r="J60" s="27"/>
      <c r="K60" s="27"/>
    </row>
    <row r="61" spans="1:14" ht="32.25" customHeight="1" x14ac:dyDescent="0.3">
      <c r="A61" s="100" t="s">
        <v>77</v>
      </c>
      <c r="B61" s="100"/>
      <c r="C61" s="100"/>
      <c r="D61" s="113" t="s">
        <v>234</v>
      </c>
      <c r="E61" s="112"/>
      <c r="F61" s="112"/>
      <c r="G61" s="112"/>
      <c r="H61" s="112"/>
    </row>
    <row r="62" spans="1:14" x14ac:dyDescent="0.3">
      <c r="A62" s="112" t="s">
        <v>153</v>
      </c>
      <c r="B62" s="112"/>
      <c r="C62" s="112"/>
      <c r="D62" s="112" t="s">
        <v>30</v>
      </c>
      <c r="E62" s="112"/>
      <c r="F62" s="112"/>
      <c r="G62" s="112"/>
      <c r="H62" s="112"/>
      <c r="I62" s="28"/>
      <c r="J62" s="28"/>
      <c r="K62" s="28"/>
      <c r="L62" s="28"/>
      <c r="M62" s="28"/>
      <c r="N62" s="28"/>
    </row>
    <row r="63" spans="1:14" ht="15.75" customHeight="1" x14ac:dyDescent="0.3">
      <c r="A63" s="198" t="s">
        <v>89</v>
      </c>
      <c r="B63" s="198"/>
      <c r="C63" s="198"/>
      <c r="D63" s="115" t="str">
        <f ca="1">(IF(G69&gt;95%,"Nothing",IF(G69&gt;0%,"Cement, Aggregate, Steel, etc",IF(G69=0%,"Work not yet Started"))))</f>
        <v>Cement, Aggregate, Steel, etc</v>
      </c>
      <c r="E63" s="115"/>
      <c r="F63" s="115"/>
      <c r="G63" s="115"/>
      <c r="H63" s="115"/>
      <c r="J63" s="27"/>
    </row>
    <row r="64" spans="1:14" ht="33.75" customHeight="1" thickBot="1" x14ac:dyDescent="0.35">
      <c r="A64" s="114" t="s">
        <v>122</v>
      </c>
      <c r="B64" s="114"/>
      <c r="C64" s="114"/>
      <c r="D64" s="115" t="str">
        <f ca="1">(IF(D63="Nothing","Yes",IF(D63="Cement, Aggregate, Steel, etc","Under Construction",IF(D63="Work not yet Started","Work not yet Started"))))</f>
        <v>Under Construction</v>
      </c>
      <c r="E64" s="115"/>
      <c r="F64" s="115" t="str">
        <f ca="1">(IF(D63="Nothing","Yes",IF(D63="Cement, Aggregate, Steel, etc","Under Construction",IF(D63="Work not yet Started","Work not yet Started"))))</f>
        <v>Under Construction</v>
      </c>
      <c r="G64" s="115"/>
      <c r="H64" s="115"/>
    </row>
    <row r="65" spans="1:10" ht="15.75" customHeight="1" x14ac:dyDescent="0.3">
      <c r="A65" s="103" t="s">
        <v>145</v>
      </c>
      <c r="B65" s="104"/>
      <c r="C65" s="105" t="str">
        <f>D56</f>
        <v>G + 1st to 14th Floor</v>
      </c>
      <c r="D65" s="106"/>
      <c r="E65" s="106"/>
      <c r="F65" s="106"/>
      <c r="G65" s="106"/>
      <c r="H65" s="107"/>
      <c r="I65" s="4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9 Floor, Painting upto 9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9 Floor, Painting upto 9 Floor</v>
      </c>
    </row>
    <row r="66" spans="1:10" x14ac:dyDescent="0.3">
      <c r="A66" s="17" t="s">
        <v>147</v>
      </c>
      <c r="B66" s="53">
        <v>0</v>
      </c>
      <c r="C66" s="53" t="s">
        <v>74</v>
      </c>
      <c r="D66" s="53">
        <v>1</v>
      </c>
      <c r="E66" s="53" t="s">
        <v>73</v>
      </c>
      <c r="F66" s="53">
        <v>0</v>
      </c>
      <c r="G66" s="53" t="s">
        <v>83</v>
      </c>
      <c r="H66" s="18">
        <f ca="1">--TRIM(RIGHT(SUBSTITUTE(LEFT(C65,_xlfn.AGGREGATE(16,6,FIND({0,1,2,3,4,5,6,7,8,9},C65,ROW(INDIRECT("1:"&amp;LEN(C65)))),1))," ",REPT(" ",LEN(C65))),LEN(C65)))</f>
        <v>14</v>
      </c>
      <c r="I66" s="4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1.5" customHeight="1" x14ac:dyDescent="0.3">
      <c r="A67" s="108" t="s">
        <v>93</v>
      </c>
      <c r="B67" s="109"/>
      <c r="C67" s="110" t="str">
        <f ca="1">I65</f>
        <v>Excavation, Plinth, RCC Slab, Brickwork, Internal Plaster, External Plaster Completed, Flooring upto 9 Floor, Painting upto 9 Floor Completed</v>
      </c>
      <c r="D67" s="110"/>
      <c r="E67" s="110"/>
      <c r="F67" s="110"/>
      <c r="G67" s="110"/>
      <c r="H67" s="111"/>
      <c r="I67" s="4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0" ht="15.75" customHeight="1" x14ac:dyDescent="0.3">
      <c r="A68" s="188" t="s">
        <v>50</v>
      </c>
      <c r="B68" s="183"/>
      <c r="C68" s="69" t="s">
        <v>144</v>
      </c>
      <c r="D68" s="69" t="s">
        <v>86</v>
      </c>
      <c r="E68" s="183" t="s">
        <v>88</v>
      </c>
      <c r="F68" s="183"/>
      <c r="G68" s="183" t="s">
        <v>87</v>
      </c>
      <c r="H68" s="187"/>
      <c r="I68" s="14" t="s">
        <v>146</v>
      </c>
      <c r="J68" s="29">
        <f ca="1">H66*25%</f>
        <v>3.5</v>
      </c>
    </row>
    <row r="69" spans="1:10" x14ac:dyDescent="0.3">
      <c r="A69" s="188" t="s">
        <v>134</v>
      </c>
      <c r="B69" s="183"/>
      <c r="C69" s="69">
        <v>14</v>
      </c>
      <c r="D69" s="70">
        <f ca="1">((100/H66)*C69)/100</f>
        <v>1</v>
      </c>
      <c r="E69" s="189">
        <f ca="1">(((C70/H66*10)+(40/(D66+F66+H66)*C71)+(7.5/(H66)*C72)+(7.5/(H66)*C73)+(10/H66*C74)+(10/H66*C75)+(5/H66*C76)+(5/H66*C77)+(5/H66*C78))/100)</f>
        <v>0.84642857142857142</v>
      </c>
      <c r="F69" s="190"/>
      <c r="G69" s="189">
        <f ca="1">((((C69/H66)*20)+((C70/H66)*25)+(30/(H66+F66+D66)*C71)+(5/H66*C72)+(5/H66*C73)+(5/H66*C74)+(5/H66*C75)+(0/H66*C76)+(0/H66*C77)+(5/H66*C78))/100)</f>
        <v>0.93214285714285705</v>
      </c>
      <c r="H69" s="195"/>
      <c r="I69" s="14" t="s">
        <v>104</v>
      </c>
      <c r="J69" s="30">
        <f ca="1">H66*50%</f>
        <v>7</v>
      </c>
    </row>
    <row r="70" spans="1:10" x14ac:dyDescent="0.3">
      <c r="A70" s="188" t="s">
        <v>51</v>
      </c>
      <c r="B70" s="183"/>
      <c r="C70" s="73">
        <v>14</v>
      </c>
      <c r="D70" s="70">
        <f ca="1">((100/H66)*C70)/100</f>
        <v>1</v>
      </c>
      <c r="E70" s="191"/>
      <c r="F70" s="192"/>
      <c r="G70" s="191"/>
      <c r="H70" s="196"/>
      <c r="I70" s="14" t="s">
        <v>105</v>
      </c>
      <c r="J70" s="30">
        <f ca="1">H66</f>
        <v>14</v>
      </c>
    </row>
    <row r="71" spans="1:10" ht="15.75" customHeight="1" x14ac:dyDescent="0.3">
      <c r="A71" s="188" t="s">
        <v>135</v>
      </c>
      <c r="B71" s="183"/>
      <c r="C71" s="69">
        <v>15</v>
      </c>
      <c r="D71" s="70">
        <f ca="1">((100/(D66+F66+H66))*C71)/100</f>
        <v>1</v>
      </c>
      <c r="E71" s="191"/>
      <c r="F71" s="192"/>
      <c r="G71" s="191"/>
      <c r="H71" s="196"/>
      <c r="I71" s="14" t="s">
        <v>106</v>
      </c>
      <c r="J71" s="31">
        <f ca="1">(IF(B66&gt;1,(H66/(B66+2)),H66/4))</f>
        <v>3.5</v>
      </c>
    </row>
    <row r="72" spans="1:10" ht="15.75" customHeight="1" x14ac:dyDescent="0.3">
      <c r="A72" s="188" t="s">
        <v>141</v>
      </c>
      <c r="B72" s="183" t="s">
        <v>136</v>
      </c>
      <c r="C72" s="69">
        <v>14</v>
      </c>
      <c r="D72" s="70">
        <f ca="1">((100/H66)*C72)/100</f>
        <v>1</v>
      </c>
      <c r="E72" s="191"/>
      <c r="F72" s="192"/>
      <c r="G72" s="191"/>
      <c r="H72" s="196"/>
      <c r="I72" s="14" t="s">
        <v>107</v>
      </c>
      <c r="J72" s="31">
        <f ca="1">(IF(B66&gt;1,(H66/(B66+2)+J71),H66/4+J71))</f>
        <v>7</v>
      </c>
    </row>
    <row r="73" spans="1:10" ht="15.75" customHeight="1" x14ac:dyDescent="0.3">
      <c r="A73" s="188" t="s">
        <v>142</v>
      </c>
      <c r="B73" s="183" t="s">
        <v>136</v>
      </c>
      <c r="C73" s="69">
        <v>14</v>
      </c>
      <c r="D73" s="70">
        <f ca="1">((100/H66)*C73)/100</f>
        <v>1</v>
      </c>
      <c r="E73" s="191"/>
      <c r="F73" s="192"/>
      <c r="G73" s="191"/>
      <c r="H73" s="196"/>
      <c r="I73" s="14" t="s">
        <v>151</v>
      </c>
      <c r="J73" s="31">
        <f>(IF(B66&gt;1,(H66/(B66+2)+J72),0))</f>
        <v>0</v>
      </c>
    </row>
    <row r="74" spans="1:10" ht="15" customHeight="1" x14ac:dyDescent="0.3">
      <c r="A74" s="188" t="s">
        <v>140</v>
      </c>
      <c r="B74" s="183" t="s">
        <v>138</v>
      </c>
      <c r="C74" s="69">
        <v>14</v>
      </c>
      <c r="D74" s="70">
        <f ca="1">((100/(H66))*C74)/100</f>
        <v>1</v>
      </c>
      <c r="E74" s="191"/>
      <c r="F74" s="192"/>
      <c r="G74" s="191"/>
      <c r="H74" s="196"/>
      <c r="I74" s="14" t="s">
        <v>148</v>
      </c>
      <c r="J74" s="31">
        <f>(IF(B66&gt;2,(H66/(B66+2)+J73),0))</f>
        <v>0</v>
      </c>
    </row>
    <row r="75" spans="1:10" ht="15.75" customHeight="1" x14ac:dyDescent="0.3">
      <c r="A75" s="188" t="s">
        <v>137</v>
      </c>
      <c r="B75" s="183" t="s">
        <v>137</v>
      </c>
      <c r="C75" s="69">
        <v>9</v>
      </c>
      <c r="D75" s="70">
        <f ca="1">((100/H66)*C75)/100</f>
        <v>0.6428571428571429</v>
      </c>
      <c r="E75" s="191"/>
      <c r="F75" s="192"/>
      <c r="G75" s="191"/>
      <c r="H75" s="196"/>
      <c r="I75" s="14" t="s">
        <v>149</v>
      </c>
      <c r="J75" s="32">
        <f>(IF(B66&gt;3,(H66/(B66+2)+J74),0))</f>
        <v>0</v>
      </c>
    </row>
    <row r="76" spans="1:10" ht="15.75" customHeight="1" x14ac:dyDescent="0.3">
      <c r="A76" s="188" t="s">
        <v>143</v>
      </c>
      <c r="B76" s="183"/>
      <c r="C76" s="69">
        <v>9</v>
      </c>
      <c r="D76" s="70">
        <f ca="1">((100/H66)*C76)/100</f>
        <v>0.6428571428571429</v>
      </c>
      <c r="E76" s="191"/>
      <c r="F76" s="192"/>
      <c r="G76" s="191"/>
      <c r="H76" s="196"/>
      <c r="I76" s="14" t="s">
        <v>150</v>
      </c>
      <c r="J76" s="31">
        <f>(IF(B66&gt;4,(H66/(B66+2)+J75),0))</f>
        <v>0</v>
      </c>
    </row>
    <row r="77" spans="1:10" ht="15.75" customHeight="1" x14ac:dyDescent="0.3">
      <c r="A77" s="188" t="s">
        <v>236</v>
      </c>
      <c r="B77" s="183" t="s">
        <v>236</v>
      </c>
      <c r="C77" s="69">
        <v>0</v>
      </c>
      <c r="D77" s="70">
        <f ca="1">((100/(H66))*C77)/100</f>
        <v>0</v>
      </c>
      <c r="E77" s="191"/>
      <c r="F77" s="192"/>
      <c r="G77" s="191"/>
      <c r="H77" s="196"/>
      <c r="I77" s="14" t="s">
        <v>152</v>
      </c>
      <c r="J77" s="31">
        <f ca="1">(IF(B66=1,(H66/(B66+3)+J72),IF(B66=0,(H66/4+J72),IF(B66&gt;1,0))))</f>
        <v>10.5</v>
      </c>
    </row>
    <row r="78" spans="1:10" ht="16.2" thickBot="1" x14ac:dyDescent="0.35">
      <c r="A78" s="165" t="s">
        <v>139</v>
      </c>
      <c r="B78" s="166"/>
      <c r="C78" s="71">
        <v>0</v>
      </c>
      <c r="D78" s="72">
        <f ca="1">((100/(H66))*C78)/100</f>
        <v>0</v>
      </c>
      <c r="E78" s="193"/>
      <c r="F78" s="194"/>
      <c r="G78" s="193"/>
      <c r="H78" s="197"/>
      <c r="I78" s="16" t="s">
        <v>108</v>
      </c>
      <c r="J78" s="33">
        <f ca="1">(IF(B66&gt;1.5,(H66/(B66+2)+J72+MAX(0,J73-J72)+MAX(0,J74-J73)+MAX(0,J75-J74)+MAX(0,J76-J75)+MAX(0,J77-J76)),IF(B66=1,(H66/(B66+3)+J77),IF(B66=0,H66/4+J77))))</f>
        <v>14</v>
      </c>
    </row>
    <row r="79" spans="1:10" x14ac:dyDescent="0.3">
      <c r="A79" s="126" t="s">
        <v>161</v>
      </c>
      <c r="B79" s="126"/>
      <c r="C79" s="126"/>
      <c r="D79" s="126"/>
      <c r="E79" s="126"/>
      <c r="F79" s="124" t="s">
        <v>166</v>
      </c>
      <c r="G79" s="124"/>
      <c r="H79" s="124"/>
    </row>
    <row r="80" spans="1:10" x14ac:dyDescent="0.3">
      <c r="A80" s="100" t="s">
        <v>164</v>
      </c>
      <c r="B80" s="100"/>
      <c r="C80" s="100"/>
      <c r="D80" s="100"/>
      <c r="E80" s="100"/>
      <c r="F80" s="200">
        <v>5200</v>
      </c>
      <c r="G80" s="200"/>
      <c r="H80" s="200"/>
      <c r="J80" s="22" t="s">
        <v>238</v>
      </c>
    </row>
    <row r="81" spans="1:13" x14ac:dyDescent="0.3">
      <c r="A81" s="100" t="s">
        <v>163</v>
      </c>
      <c r="B81" s="100"/>
      <c r="C81" s="100"/>
      <c r="D81" s="100"/>
      <c r="E81" s="100"/>
      <c r="F81" s="99">
        <v>9500</v>
      </c>
      <c r="G81" s="99"/>
      <c r="H81" s="99"/>
    </row>
    <row r="82" spans="1:13" hidden="1" x14ac:dyDescent="0.3">
      <c r="A82" s="100" t="s">
        <v>165</v>
      </c>
      <c r="B82" s="100"/>
      <c r="C82" s="100"/>
      <c r="D82" s="100"/>
      <c r="E82" s="100"/>
      <c r="F82" s="99"/>
      <c r="G82" s="99"/>
      <c r="H82" s="99"/>
    </row>
    <row r="83" spans="1:13" s="34" customFormat="1" hidden="1" x14ac:dyDescent="0.25">
      <c r="A83" s="100" t="s">
        <v>162</v>
      </c>
      <c r="B83" s="100"/>
      <c r="C83" s="100"/>
      <c r="D83" s="100"/>
      <c r="E83" s="100"/>
      <c r="F83" s="99"/>
      <c r="G83" s="99"/>
      <c r="H83" s="99"/>
    </row>
    <row r="84" spans="1:13" s="34" customFormat="1" hidden="1" x14ac:dyDescent="0.25">
      <c r="A84" s="100" t="s">
        <v>98</v>
      </c>
      <c r="B84" s="100"/>
      <c r="C84" s="100"/>
      <c r="D84" s="100"/>
      <c r="E84" s="100"/>
      <c r="F84" s="99"/>
      <c r="G84" s="99"/>
      <c r="H84" s="99"/>
    </row>
    <row r="85" spans="1:13" s="34" customFormat="1" hidden="1" x14ac:dyDescent="0.25">
      <c r="A85" s="100" t="s">
        <v>99</v>
      </c>
      <c r="B85" s="100"/>
      <c r="C85" s="100"/>
      <c r="D85" s="100"/>
      <c r="E85" s="100"/>
      <c r="F85" s="99"/>
      <c r="G85" s="99"/>
      <c r="H85" s="99"/>
    </row>
    <row r="86" spans="1:13" s="34" customFormat="1" hidden="1" x14ac:dyDescent="0.25">
      <c r="A86" s="100" t="s">
        <v>167</v>
      </c>
      <c r="B86" s="100"/>
      <c r="C86" s="100"/>
      <c r="D86" s="100"/>
      <c r="E86" s="100"/>
      <c r="F86" s="99"/>
      <c r="G86" s="99"/>
      <c r="H86" s="99"/>
    </row>
    <row r="87" spans="1:13" s="34" customFormat="1" hidden="1" x14ac:dyDescent="0.25">
      <c r="A87" s="100" t="s">
        <v>100</v>
      </c>
      <c r="B87" s="100"/>
      <c r="C87" s="100"/>
      <c r="D87" s="100"/>
      <c r="E87" s="100"/>
      <c r="F87" s="99"/>
      <c r="G87" s="99"/>
      <c r="H87" s="99"/>
    </row>
    <row r="88" spans="1:13" s="34" customFormat="1" hidden="1" x14ac:dyDescent="0.25">
      <c r="A88" s="100" t="s">
        <v>101</v>
      </c>
      <c r="B88" s="100"/>
      <c r="C88" s="100"/>
      <c r="D88" s="100"/>
      <c r="E88" s="100"/>
      <c r="F88" s="99"/>
      <c r="G88" s="99"/>
      <c r="H88" s="99"/>
    </row>
    <row r="89" spans="1:13" s="34" customFormat="1" x14ac:dyDescent="0.25">
      <c r="A89" s="100" t="s">
        <v>102</v>
      </c>
      <c r="B89" s="100"/>
      <c r="C89" s="100"/>
      <c r="D89" s="100"/>
      <c r="E89" s="100"/>
      <c r="F89" s="99">
        <v>100000</v>
      </c>
      <c r="G89" s="99"/>
      <c r="H89" s="99"/>
    </row>
    <row r="90" spans="1:13" s="34" customFormat="1" x14ac:dyDescent="0.25">
      <c r="A90" s="100" t="s">
        <v>103</v>
      </c>
      <c r="B90" s="100"/>
      <c r="C90" s="100"/>
      <c r="D90" s="100"/>
      <c r="E90" s="100"/>
      <c r="F90" s="99">
        <v>50000</v>
      </c>
      <c r="G90" s="99"/>
      <c r="H90" s="99"/>
    </row>
    <row r="91" spans="1:13" x14ac:dyDescent="0.3">
      <c r="A91" s="100" t="s">
        <v>52</v>
      </c>
      <c r="B91" s="100"/>
      <c r="C91" s="100"/>
      <c r="D91" s="100"/>
      <c r="E91" s="100"/>
      <c r="F91" s="99">
        <v>250000</v>
      </c>
      <c r="G91" s="99"/>
      <c r="H91" s="99"/>
    </row>
    <row r="92" spans="1:13" s="35" customFormat="1" x14ac:dyDescent="0.3">
      <c r="A92" s="143" t="s">
        <v>53</v>
      </c>
      <c r="B92" s="143"/>
      <c r="C92" s="143"/>
      <c r="D92" s="143"/>
      <c r="E92" s="143"/>
      <c r="F92" s="99">
        <f>F80*0.8</f>
        <v>4160</v>
      </c>
      <c r="G92" s="99"/>
      <c r="H92" s="99"/>
    </row>
    <row r="93" spans="1:13" s="36" customFormat="1" ht="15.75" customHeight="1" x14ac:dyDescent="0.3">
      <c r="A93" s="169" t="s">
        <v>78</v>
      </c>
      <c r="B93" s="169"/>
      <c r="C93" s="169"/>
      <c r="D93" s="169"/>
      <c r="E93" s="169"/>
      <c r="F93" s="169"/>
      <c r="G93" s="169"/>
      <c r="H93" s="169"/>
      <c r="J93" s="36" t="s">
        <v>227</v>
      </c>
      <c r="K93" s="36" t="s">
        <v>228</v>
      </c>
      <c r="L93" s="36" t="s">
        <v>229</v>
      </c>
      <c r="M93" s="36" t="s">
        <v>117</v>
      </c>
    </row>
    <row r="94" spans="1:13" s="36" customFormat="1" ht="15.75" customHeight="1" x14ac:dyDescent="0.3">
      <c r="A94" s="140" t="s">
        <v>54</v>
      </c>
      <c r="B94" s="140"/>
      <c r="C94" s="139" t="s">
        <v>81</v>
      </c>
      <c r="D94" s="139"/>
      <c r="E94" s="174" t="s">
        <v>55</v>
      </c>
      <c r="F94" s="174"/>
      <c r="G94" s="140" t="s">
        <v>56</v>
      </c>
      <c r="H94" s="140"/>
      <c r="J94" s="37">
        <f>3200000/F130</f>
        <v>4930.7501564704226</v>
      </c>
      <c r="K94" s="36">
        <v>5000</v>
      </c>
      <c r="L94" s="36" t="s">
        <v>230</v>
      </c>
      <c r="M94" s="67">
        <f>3100000/F130</f>
        <v>4776.6642140807216</v>
      </c>
    </row>
    <row r="95" spans="1:13" s="36" customFormat="1" x14ac:dyDescent="0.3">
      <c r="A95" s="172" t="s">
        <v>214</v>
      </c>
      <c r="B95" s="172"/>
      <c r="C95" s="141">
        <f>COUNT(D105:D121)</f>
        <v>17</v>
      </c>
      <c r="D95" s="142"/>
      <c r="E95" s="176">
        <f t="shared" ref="E95" si="0">SUM(D105:D121)</f>
        <v>3521.7655200000004</v>
      </c>
      <c r="F95" s="177"/>
      <c r="G95" s="176">
        <f>SUM(F105:F121)</f>
        <v>5458.7365559999998</v>
      </c>
      <c r="H95" s="177"/>
      <c r="J95" s="37">
        <f>4250000/F133</f>
        <v>4854.275505948287</v>
      </c>
      <c r="M95" s="67">
        <f>3600000/F132</f>
        <v>4940.2412974407516</v>
      </c>
    </row>
    <row r="96" spans="1:13" s="36" customFormat="1" x14ac:dyDescent="0.3">
      <c r="A96" s="169" t="s">
        <v>72</v>
      </c>
      <c r="B96" s="169"/>
      <c r="C96" s="169"/>
      <c r="D96" s="169"/>
      <c r="E96" s="169"/>
      <c r="F96" s="169"/>
      <c r="G96" s="169"/>
      <c r="H96" s="169"/>
      <c r="J96" s="68">
        <f>AVERAGE(J94:J95)</f>
        <v>4892.5128312093548</v>
      </c>
      <c r="M96" s="67">
        <f>4200000/F144</f>
        <v>4797.1663823488952</v>
      </c>
    </row>
    <row r="97" spans="1:14" s="36" customFormat="1" ht="15.75" customHeight="1" x14ac:dyDescent="0.3">
      <c r="A97" s="140" t="s">
        <v>54</v>
      </c>
      <c r="B97" s="140"/>
      <c r="C97" s="139" t="s">
        <v>81</v>
      </c>
      <c r="D97" s="139"/>
      <c r="E97" s="174" t="s">
        <v>55</v>
      </c>
      <c r="F97" s="174"/>
      <c r="G97" s="140" t="s">
        <v>56</v>
      </c>
      <c r="H97" s="140"/>
      <c r="M97" s="67">
        <f>5100000/F134</f>
        <v>4794.5917907112171</v>
      </c>
    </row>
    <row r="98" spans="1:14" s="36" customFormat="1" ht="16.2" thickBot="1" x14ac:dyDescent="0.35">
      <c r="A98" s="171" t="s">
        <v>224</v>
      </c>
      <c r="B98" s="171"/>
      <c r="C98" s="130">
        <f>COUNT(D127:D128)+COUNT(D130:D139)+COUNT(D141:D150)*8+COUNT(D152:D160)*2+COUNT(D162:D171)</f>
        <v>120</v>
      </c>
      <c r="D98" s="130"/>
      <c r="E98" s="131">
        <f t="shared" ref="E98" si="1">SUM(D127:D128)+SUM(D130:D139)+SUM(D141:D150)*8+SUM(D152:D160)*2+SUM(D162:D171)</f>
        <v>64779.689519999993</v>
      </c>
      <c r="F98" s="131"/>
      <c r="G98" s="131">
        <f>SUM(F127:F128)+SUM(F130:F139)+SUM(F141:F150)*8+SUM(F152:F160)*2+SUM(F162:F171)</f>
        <v>97279.584279999995</v>
      </c>
      <c r="H98" s="131"/>
      <c r="M98" s="68">
        <f>AVERAGE(M94:M97)</f>
        <v>4827.1659211453962</v>
      </c>
    </row>
    <row r="99" spans="1:14" s="36" customFormat="1" ht="16.2" thickBot="1" x14ac:dyDescent="0.35">
      <c r="A99" s="97" t="s">
        <v>225</v>
      </c>
      <c r="B99" s="98"/>
      <c r="C99" s="136">
        <f>C95+C98</f>
        <v>137</v>
      </c>
      <c r="D99" s="136"/>
      <c r="E99" s="137">
        <f>E95+E98</f>
        <v>68301.455039999986</v>
      </c>
      <c r="F99" s="137"/>
      <c r="G99" s="137">
        <f>G95+G98</f>
        <v>102738.320836</v>
      </c>
      <c r="H99" s="138"/>
      <c r="K99" s="67">
        <f>3600000/F112</f>
        <v>11638.242006302575</v>
      </c>
    </row>
    <row r="100" spans="1:14" s="35" customFormat="1" x14ac:dyDescent="0.3">
      <c r="A100" s="124" t="s">
        <v>57</v>
      </c>
      <c r="B100" s="124"/>
      <c r="C100" s="124"/>
      <c r="D100" s="124"/>
      <c r="E100" s="124"/>
      <c r="F100" s="124"/>
      <c r="G100" s="124"/>
      <c r="H100" s="124"/>
    </row>
    <row r="101" spans="1:14" x14ac:dyDescent="0.3">
      <c r="A101" s="128" t="s">
        <v>58</v>
      </c>
      <c r="B101" s="128"/>
      <c r="C101" s="128"/>
      <c r="D101" s="128"/>
      <c r="E101" s="128"/>
      <c r="F101" s="128"/>
      <c r="G101" s="128"/>
      <c r="H101" s="128"/>
    </row>
    <row r="102" spans="1:14" ht="47.25" customHeight="1" x14ac:dyDescent="0.3">
      <c r="A102" s="101" t="s">
        <v>124</v>
      </c>
      <c r="B102" s="101" t="s">
        <v>123</v>
      </c>
      <c r="C102" s="101" t="s">
        <v>59</v>
      </c>
      <c r="D102" s="101" t="s">
        <v>60</v>
      </c>
      <c r="E102" s="132" t="s">
        <v>160</v>
      </c>
      <c r="F102" s="44" t="s">
        <v>154</v>
      </c>
      <c r="G102" s="117" t="s">
        <v>62</v>
      </c>
      <c r="H102" s="134"/>
    </row>
    <row r="103" spans="1:14" s="38" customFormat="1" x14ac:dyDescent="0.3">
      <c r="A103" s="102"/>
      <c r="B103" s="102"/>
      <c r="C103" s="102"/>
      <c r="D103" s="102"/>
      <c r="E103" s="133"/>
      <c r="F103" s="13">
        <v>0.55000000000000004</v>
      </c>
      <c r="G103" s="118"/>
      <c r="H103" s="135"/>
      <c r="K103"/>
    </row>
    <row r="104" spans="1:14" s="38" customFormat="1" x14ac:dyDescent="0.3">
      <c r="A104" s="85" t="s">
        <v>213</v>
      </c>
      <c r="B104" s="86"/>
      <c r="C104" s="86"/>
      <c r="D104" s="86"/>
      <c r="E104" s="86"/>
      <c r="F104" s="86"/>
      <c r="G104" s="86"/>
      <c r="H104" s="87"/>
      <c r="J104" s="37"/>
    </row>
    <row r="105" spans="1:14" s="38" customFormat="1" ht="15.75" customHeight="1" x14ac:dyDescent="0.3">
      <c r="A105" s="77">
        <v>1</v>
      </c>
      <c r="B105" s="78"/>
      <c r="C105" s="43" t="s">
        <v>214</v>
      </c>
      <c r="D105" s="66">
        <f>(16.99)*(10.764)</f>
        <v>182.88035999999997</v>
      </c>
      <c r="E105" s="43">
        <v>0</v>
      </c>
      <c r="F105" s="43">
        <f>(D105+E105)*(($F$103)+1)</f>
        <v>283.46455799999995</v>
      </c>
      <c r="G105" s="79" t="str">
        <f>A104</f>
        <v>Ground Floor For Lobby, Meter Room, Electric Substation, Pump Room, Commercial &amp; Parking</v>
      </c>
      <c r="H105" s="80"/>
      <c r="I105" s="65">
        <f>2.75*6.18</f>
        <v>16.994999999999997</v>
      </c>
      <c r="L105" s="91"/>
      <c r="M105" s="91"/>
      <c r="N105" s="37"/>
    </row>
    <row r="106" spans="1:14" s="38" customFormat="1" ht="15.75" customHeight="1" x14ac:dyDescent="0.3">
      <c r="A106" s="77">
        <f t="shared" ref="A106:A121" si="2">A105+1</f>
        <v>2</v>
      </c>
      <c r="B106" s="78"/>
      <c r="C106" s="43" t="s">
        <v>214</v>
      </c>
      <c r="D106" s="66">
        <f>(18.85)*(10.764)</f>
        <v>202.9014</v>
      </c>
      <c r="E106" s="43">
        <v>0</v>
      </c>
      <c r="F106" s="43">
        <f t="shared" ref="F106:F108" si="3">(D106+E106)*(($F$103)+1)</f>
        <v>314.49716999999998</v>
      </c>
      <c r="G106" s="81"/>
      <c r="H106" s="82"/>
      <c r="I106" s="37"/>
      <c r="L106" s="91"/>
      <c r="M106" s="91"/>
      <c r="N106" s="37"/>
    </row>
    <row r="107" spans="1:14" s="38" customFormat="1" ht="15.75" customHeight="1" x14ac:dyDescent="0.3">
      <c r="A107" s="77">
        <f t="shared" si="2"/>
        <v>3</v>
      </c>
      <c r="B107" s="78"/>
      <c r="C107" s="43" t="s">
        <v>214</v>
      </c>
      <c r="D107" s="66">
        <f>(16.99)*(10.764)</f>
        <v>182.88035999999997</v>
      </c>
      <c r="E107" s="43">
        <v>0</v>
      </c>
      <c r="F107" s="43">
        <f t="shared" si="3"/>
        <v>283.46455799999995</v>
      </c>
      <c r="G107" s="81"/>
      <c r="H107" s="82"/>
      <c r="I107" s="37"/>
      <c r="L107" s="91"/>
      <c r="M107" s="91"/>
      <c r="N107" s="37"/>
    </row>
    <row r="108" spans="1:14" s="38" customFormat="1" ht="15.75" customHeight="1" x14ac:dyDescent="0.3">
      <c r="A108" s="77">
        <f t="shared" si="2"/>
        <v>4</v>
      </c>
      <c r="B108" s="78"/>
      <c r="C108" s="43" t="s">
        <v>214</v>
      </c>
      <c r="D108" s="66">
        <f>(27.81)*(10.764)</f>
        <v>299.34683999999999</v>
      </c>
      <c r="E108" s="43">
        <v>0</v>
      </c>
      <c r="F108" s="43">
        <f t="shared" si="3"/>
        <v>463.98760199999998</v>
      </c>
      <c r="G108" s="81"/>
      <c r="H108" s="82"/>
      <c r="I108" s="65">
        <f>4.5*6.18</f>
        <v>27.81</v>
      </c>
      <c r="L108" s="91"/>
      <c r="M108" s="91"/>
      <c r="N108" s="37"/>
    </row>
    <row r="109" spans="1:14" s="38" customFormat="1" x14ac:dyDescent="0.3">
      <c r="A109" s="77">
        <f t="shared" si="2"/>
        <v>5</v>
      </c>
      <c r="B109" s="78"/>
      <c r="C109" s="43" t="s">
        <v>214</v>
      </c>
      <c r="D109" s="66">
        <f>(18.23)*(10.764)</f>
        <v>196.22772000000001</v>
      </c>
      <c r="E109" s="43">
        <v>0</v>
      </c>
      <c r="F109" s="43">
        <f>(D109+E109)*(($F$103)+1)</f>
        <v>304.15296599999999</v>
      </c>
      <c r="G109" s="81"/>
      <c r="H109" s="82"/>
      <c r="I109" s="65">
        <f>2.95*6.18</f>
        <v>18.231000000000002</v>
      </c>
      <c r="L109" s="91"/>
      <c r="M109" s="91"/>
      <c r="N109" s="37"/>
    </row>
    <row r="110" spans="1:14" s="38" customFormat="1" x14ac:dyDescent="0.3">
      <c r="A110" s="77">
        <f t="shared" si="2"/>
        <v>6</v>
      </c>
      <c r="B110" s="78"/>
      <c r="C110" s="43" t="s">
        <v>214</v>
      </c>
      <c r="D110" s="66">
        <f>(13.59)*(10.764)</f>
        <v>146.28276</v>
      </c>
      <c r="E110" s="43">
        <v>0</v>
      </c>
      <c r="F110" s="43">
        <f t="shared" ref="F110:F112" si="4">(D110+E110)*(($F$103)+1)</f>
        <v>226.73827800000001</v>
      </c>
      <c r="G110" s="81"/>
      <c r="H110" s="82"/>
      <c r="I110" s="37"/>
      <c r="L110" s="91"/>
      <c r="M110" s="91"/>
      <c r="N110" s="37"/>
    </row>
    <row r="111" spans="1:14" s="38" customFormat="1" x14ac:dyDescent="0.3">
      <c r="A111" s="77">
        <f t="shared" si="2"/>
        <v>7</v>
      </c>
      <c r="B111" s="78"/>
      <c r="C111" s="43" t="s">
        <v>214</v>
      </c>
      <c r="D111" s="66">
        <f>(16.99)*(10.764)</f>
        <v>182.88035999999997</v>
      </c>
      <c r="E111" s="43">
        <v>0</v>
      </c>
      <c r="F111" s="43">
        <f t="shared" si="4"/>
        <v>283.46455799999995</v>
      </c>
      <c r="G111" s="81"/>
      <c r="H111" s="82"/>
      <c r="I111" s="37"/>
      <c r="L111" s="91"/>
      <c r="M111" s="91"/>
      <c r="N111" s="37"/>
    </row>
    <row r="112" spans="1:14" s="38" customFormat="1" x14ac:dyDescent="0.3">
      <c r="A112" s="77">
        <f t="shared" si="2"/>
        <v>8</v>
      </c>
      <c r="B112" s="78"/>
      <c r="C112" s="43" t="s">
        <v>214</v>
      </c>
      <c r="D112" s="66">
        <f>(18.54)*(10.764)</f>
        <v>199.56455999999997</v>
      </c>
      <c r="E112" s="43">
        <v>0</v>
      </c>
      <c r="F112" s="43">
        <f t="shared" si="4"/>
        <v>309.32506799999999</v>
      </c>
      <c r="G112" s="81"/>
      <c r="H112" s="82"/>
      <c r="I112" s="37"/>
      <c r="L112" s="91"/>
      <c r="M112" s="91"/>
      <c r="N112" s="37"/>
    </row>
    <row r="113" spans="1:14" s="38" customFormat="1" x14ac:dyDescent="0.3">
      <c r="A113" s="77">
        <f t="shared" si="2"/>
        <v>9</v>
      </c>
      <c r="B113" s="78"/>
      <c r="C113" s="43" t="s">
        <v>214</v>
      </c>
      <c r="D113" s="66">
        <f>(18.54)*(10.764)</f>
        <v>199.56455999999997</v>
      </c>
      <c r="E113" s="43">
        <v>0</v>
      </c>
      <c r="F113" s="43">
        <f>(D113+E113)*(($F$103)+1)</f>
        <v>309.32506799999999</v>
      </c>
      <c r="G113" s="81"/>
      <c r="H113" s="82"/>
      <c r="I113" s="37"/>
      <c r="J113" s="38">
        <f>5200000/350</f>
        <v>14857.142857142857</v>
      </c>
      <c r="L113" s="91"/>
      <c r="M113" s="91"/>
      <c r="N113" s="37"/>
    </row>
    <row r="114" spans="1:14" s="38" customFormat="1" x14ac:dyDescent="0.3">
      <c r="A114" s="77">
        <f t="shared" si="2"/>
        <v>10</v>
      </c>
      <c r="B114" s="78"/>
      <c r="C114" s="43" t="s">
        <v>214</v>
      </c>
      <c r="D114" s="66">
        <f>(16.99)*(10.764)</f>
        <v>182.88035999999997</v>
      </c>
      <c r="E114" s="43">
        <v>0</v>
      </c>
      <c r="F114" s="43">
        <f t="shared" ref="F114:F116" si="5">(D114+E114)*(($F$103)+1)</f>
        <v>283.46455799999995</v>
      </c>
      <c r="G114" s="81"/>
      <c r="H114" s="82"/>
      <c r="I114" s="66">
        <f>10.764</f>
        <v>10.763999999999999</v>
      </c>
      <c r="J114" s="38">
        <f>J113/1.55</f>
        <v>9585.2534562211986</v>
      </c>
      <c r="L114" s="91"/>
      <c r="M114" s="91"/>
      <c r="N114" s="37"/>
    </row>
    <row r="115" spans="1:14" s="38" customFormat="1" x14ac:dyDescent="0.3">
      <c r="A115" s="77">
        <f t="shared" si="2"/>
        <v>11</v>
      </c>
      <c r="B115" s="78"/>
      <c r="C115" s="43" t="s">
        <v>214</v>
      </c>
      <c r="D115" s="66">
        <f>(13.59)*(10.764)</f>
        <v>146.28276</v>
      </c>
      <c r="E115" s="43">
        <v>0</v>
      </c>
      <c r="F115" s="43">
        <f t="shared" si="5"/>
        <v>226.73827800000001</v>
      </c>
      <c r="G115" s="81"/>
      <c r="H115" s="82"/>
      <c r="I115" s="37"/>
      <c r="L115" s="91"/>
      <c r="M115" s="91"/>
      <c r="N115" s="37"/>
    </row>
    <row r="116" spans="1:14" s="38" customFormat="1" x14ac:dyDescent="0.3">
      <c r="A116" s="77">
        <f t="shared" si="2"/>
        <v>12</v>
      </c>
      <c r="B116" s="78"/>
      <c r="C116" s="43" t="s">
        <v>214</v>
      </c>
      <c r="D116" s="66">
        <f>(18.23)*(10.764)</f>
        <v>196.22772000000001</v>
      </c>
      <c r="E116" s="43">
        <v>0</v>
      </c>
      <c r="F116" s="43">
        <f t="shared" si="5"/>
        <v>304.15296599999999</v>
      </c>
      <c r="G116" s="81"/>
      <c r="H116" s="82"/>
      <c r="I116" s="37"/>
      <c r="L116" s="91"/>
      <c r="M116" s="91"/>
      <c r="N116" s="37"/>
    </row>
    <row r="117" spans="1:14" s="38" customFormat="1" x14ac:dyDescent="0.3">
      <c r="A117" s="77">
        <f t="shared" si="2"/>
        <v>13</v>
      </c>
      <c r="B117" s="78"/>
      <c r="C117" s="43" t="s">
        <v>214</v>
      </c>
      <c r="D117" s="66">
        <f>(27.81)*(10.764)</f>
        <v>299.34683999999999</v>
      </c>
      <c r="E117" s="43">
        <v>0</v>
      </c>
      <c r="F117" s="43">
        <f>(D117+E117)*(($F$103)+1)</f>
        <v>463.98760199999998</v>
      </c>
      <c r="G117" s="81"/>
      <c r="H117" s="82"/>
      <c r="I117" s="37"/>
      <c r="L117" s="91"/>
      <c r="M117" s="91"/>
      <c r="N117" s="37"/>
    </row>
    <row r="118" spans="1:14" s="38" customFormat="1" x14ac:dyDescent="0.3">
      <c r="A118" s="77">
        <f t="shared" si="2"/>
        <v>14</v>
      </c>
      <c r="B118" s="78"/>
      <c r="C118" s="43" t="s">
        <v>214</v>
      </c>
      <c r="D118" s="66">
        <f>(16.99)*(10.764)</f>
        <v>182.88035999999997</v>
      </c>
      <c r="E118" s="43">
        <v>0</v>
      </c>
      <c r="F118" s="43">
        <f t="shared" ref="F118:F120" si="6">(D118+E118)*(($F$103)+1)</f>
        <v>283.46455799999995</v>
      </c>
      <c r="G118" s="81"/>
      <c r="H118" s="82"/>
      <c r="I118" s="37"/>
      <c r="L118" s="91"/>
      <c r="M118" s="91"/>
      <c r="N118" s="37"/>
    </row>
    <row r="119" spans="1:14" s="38" customFormat="1" x14ac:dyDescent="0.3">
      <c r="A119" s="77">
        <f t="shared" si="2"/>
        <v>15</v>
      </c>
      <c r="B119" s="78"/>
      <c r="C119" s="43" t="s">
        <v>214</v>
      </c>
      <c r="D119" s="66">
        <f>(18.85)*(10.764)</f>
        <v>202.9014</v>
      </c>
      <c r="E119" s="43">
        <v>0</v>
      </c>
      <c r="F119" s="43">
        <f t="shared" si="6"/>
        <v>314.49716999999998</v>
      </c>
      <c r="G119" s="81"/>
      <c r="H119" s="82"/>
      <c r="I119" s="37"/>
      <c r="L119" s="91"/>
      <c r="M119" s="91"/>
      <c r="N119" s="37"/>
    </row>
    <row r="120" spans="1:14" s="38" customFormat="1" x14ac:dyDescent="0.3">
      <c r="A120" s="77">
        <f t="shared" si="2"/>
        <v>16</v>
      </c>
      <c r="B120" s="78"/>
      <c r="C120" s="43" t="s">
        <v>214</v>
      </c>
      <c r="D120" s="66">
        <f>(16.99)*(10.764)</f>
        <v>182.88035999999997</v>
      </c>
      <c r="E120" s="43">
        <v>0</v>
      </c>
      <c r="F120" s="43">
        <f t="shared" si="6"/>
        <v>283.46455799999995</v>
      </c>
      <c r="G120" s="81"/>
      <c r="H120" s="82"/>
      <c r="I120" s="37"/>
      <c r="L120" s="91"/>
      <c r="M120" s="91"/>
      <c r="N120" s="37"/>
    </row>
    <row r="121" spans="1:14" s="38" customFormat="1" x14ac:dyDescent="0.3">
      <c r="A121" s="77">
        <f t="shared" si="2"/>
        <v>17</v>
      </c>
      <c r="B121" s="78"/>
      <c r="C121" s="43" t="s">
        <v>214</v>
      </c>
      <c r="D121" s="66">
        <f>(31.2)*(10.764)</f>
        <v>335.83679999999998</v>
      </c>
      <c r="E121" s="43">
        <v>0</v>
      </c>
      <c r="F121" s="43">
        <f t="shared" ref="F121" si="7">(D121+E121)*(($F$103)+1)</f>
        <v>520.54704000000004</v>
      </c>
      <c r="G121" s="83"/>
      <c r="H121" s="84"/>
      <c r="I121" s="37">
        <f>5.97*6.18</f>
        <v>36.894599999999997</v>
      </c>
      <c r="L121" s="91"/>
      <c r="M121" s="91"/>
      <c r="N121" s="37"/>
    </row>
    <row r="122" spans="1:14" s="38" customFormat="1" x14ac:dyDescent="0.3">
      <c r="A122" s="77"/>
      <c r="B122" s="125"/>
      <c r="C122" s="125"/>
      <c r="D122" s="125"/>
      <c r="E122" s="125"/>
      <c r="F122" s="125"/>
      <c r="G122" s="125"/>
      <c r="H122" s="78"/>
      <c r="I122" s="37"/>
      <c r="N122" s="37"/>
    </row>
    <row r="123" spans="1:14" ht="47.25" customHeight="1" x14ac:dyDescent="0.3">
      <c r="A123" s="117" t="s">
        <v>125</v>
      </c>
      <c r="B123" s="117" t="s">
        <v>126</v>
      </c>
      <c r="C123" s="101" t="s">
        <v>59</v>
      </c>
      <c r="D123" s="101" t="s">
        <v>60</v>
      </c>
      <c r="E123" s="132" t="s">
        <v>61</v>
      </c>
      <c r="F123" s="44" t="s">
        <v>154</v>
      </c>
      <c r="G123" s="117" t="s">
        <v>62</v>
      </c>
      <c r="H123" s="134"/>
      <c r="I123" s="37"/>
    </row>
    <row r="124" spans="1:14" s="38" customFormat="1" x14ac:dyDescent="0.3">
      <c r="A124" s="118"/>
      <c r="B124" s="118"/>
      <c r="C124" s="102"/>
      <c r="D124" s="102"/>
      <c r="E124" s="133"/>
      <c r="F124" s="13">
        <v>0.5</v>
      </c>
      <c r="G124" s="118"/>
      <c r="H124" s="135"/>
      <c r="I124" s="37"/>
    </row>
    <row r="125" spans="1:14" s="38" customFormat="1" x14ac:dyDescent="0.3">
      <c r="A125" s="85" t="s">
        <v>215</v>
      </c>
      <c r="B125" s="86"/>
      <c r="C125" s="86"/>
      <c r="D125" s="86"/>
      <c r="E125" s="86"/>
      <c r="F125" s="86"/>
      <c r="G125" s="86"/>
      <c r="H125" s="87"/>
      <c r="J125" s="37"/>
    </row>
    <row r="126" spans="1:14" s="38" customFormat="1" x14ac:dyDescent="0.3">
      <c r="A126" s="170" t="s">
        <v>220</v>
      </c>
      <c r="B126" s="170"/>
      <c r="C126" s="170"/>
      <c r="D126" s="170"/>
      <c r="E126" s="170"/>
      <c r="F126" s="170"/>
      <c r="G126" s="170"/>
      <c r="H126" s="170"/>
      <c r="I126" s="37"/>
      <c r="L126" s="91"/>
      <c r="M126" s="91"/>
    </row>
    <row r="127" spans="1:14" s="38" customFormat="1" x14ac:dyDescent="0.3">
      <c r="A127" s="175">
        <v>1</v>
      </c>
      <c r="B127" s="175"/>
      <c r="C127" s="43" t="s">
        <v>218</v>
      </c>
      <c r="D127" s="66">
        <f>(57.48)*(10.764)</f>
        <v>618.71471999999994</v>
      </c>
      <c r="E127" s="43">
        <f>3.05*5.5+8.5*4.5</f>
        <v>55.024999999999999</v>
      </c>
      <c r="F127" s="43">
        <f>D127*(($F$124)+1)+(IF(E127&lt;101,E127,IF(E127&lt;201,E127/2,IF(E127&lt;=301,E127/3,E127/4))))</f>
        <v>983.09707999999989</v>
      </c>
      <c r="G127" s="79" t="str">
        <f>A126</f>
        <v>2nd Floor For Filtration Plant, Amenities &amp; Residential</v>
      </c>
      <c r="H127" s="80"/>
      <c r="I127" s="37"/>
      <c r="N127" s="37"/>
    </row>
    <row r="128" spans="1:14" s="38" customFormat="1" x14ac:dyDescent="0.3">
      <c r="A128" s="175">
        <f>A127+1</f>
        <v>2</v>
      </c>
      <c r="B128" s="175"/>
      <c r="C128" s="43" t="s">
        <v>218</v>
      </c>
      <c r="D128" s="66">
        <f>(57.48)*(10.764)</f>
        <v>618.71471999999994</v>
      </c>
      <c r="E128" s="43">
        <f>3.05*5.5+8.5*4.5</f>
        <v>55.024999999999999</v>
      </c>
      <c r="F128" s="43">
        <f>D128*(($F$124)+1)+(IF(E128&lt;101,E128,IF(E128&lt;201,E128/2,IF(E128&lt;=301,E128/3,E128/4))))</f>
        <v>983.09707999999989</v>
      </c>
      <c r="G128" s="81"/>
      <c r="H128" s="82"/>
      <c r="I128" s="37"/>
      <c r="N128" s="37"/>
    </row>
    <row r="129" spans="1:14" s="38" customFormat="1" x14ac:dyDescent="0.3">
      <c r="A129" s="85" t="s">
        <v>216</v>
      </c>
      <c r="B129" s="86"/>
      <c r="C129" s="86"/>
      <c r="D129" s="86"/>
      <c r="E129" s="86"/>
      <c r="F129" s="86"/>
      <c r="G129" s="86"/>
      <c r="H129" s="87"/>
      <c r="J129" s="37"/>
    </row>
    <row r="130" spans="1:14" s="38" customFormat="1" ht="15.75" customHeight="1" x14ac:dyDescent="0.3">
      <c r="A130" s="77">
        <v>1</v>
      </c>
      <c r="B130" s="78"/>
      <c r="C130" s="43" t="s">
        <v>217</v>
      </c>
      <c r="D130" s="66">
        <f>(34.39+1.68+0.75*(2.75+2.75))*(10.764)</f>
        <v>432.65897999999999</v>
      </c>
      <c r="E130" s="43">
        <v>0</v>
      </c>
      <c r="F130" s="43">
        <f t="shared" ref="F130:F139" si="8">D130*(($F$124)+1)+(IF(E130&lt;101,E130,IF(E130&lt;201,E130/2,IF(E130&lt;=301,E130/3,E130/4))))</f>
        <v>648.98847000000001</v>
      </c>
      <c r="G130" s="79" t="str">
        <f>A129</f>
        <v>3rd Floor For Residential</v>
      </c>
      <c r="H130" s="80"/>
      <c r="I130" s="37">
        <f>2.75*4.75+2.2*2.2+2.75*3.2+1.2*2.05+1.5*1+2.2*0.9</f>
        <v>32.642499999999998</v>
      </c>
      <c r="J130" s="38">
        <f>1.6*1.05</f>
        <v>1.6800000000000002</v>
      </c>
      <c r="L130" s="91"/>
      <c r="M130" s="91"/>
      <c r="N130" s="37"/>
    </row>
    <row r="131" spans="1:14" s="38" customFormat="1" ht="15.75" customHeight="1" x14ac:dyDescent="0.3">
      <c r="A131" s="77">
        <v>2</v>
      </c>
      <c r="B131" s="78"/>
      <c r="C131" s="43" t="s">
        <v>217</v>
      </c>
      <c r="D131" s="66">
        <f>(34.39+1.68+0.75*(2.75+2.75))*(10.764)</f>
        <v>432.65897999999999</v>
      </c>
      <c r="E131" s="43">
        <v>0</v>
      </c>
      <c r="F131" s="43">
        <f t="shared" si="8"/>
        <v>648.98847000000001</v>
      </c>
      <c r="G131" s="81"/>
      <c r="H131" s="82"/>
      <c r="I131" s="37"/>
      <c r="L131" s="91"/>
      <c r="M131" s="91"/>
      <c r="N131" s="37"/>
    </row>
    <row r="132" spans="1:14" s="38" customFormat="1" ht="15.75" customHeight="1" x14ac:dyDescent="0.3">
      <c r="A132" s="77">
        <v>3</v>
      </c>
      <c r="B132" s="78"/>
      <c r="C132" s="43" t="s">
        <v>217</v>
      </c>
      <c r="D132" s="66">
        <f>(38.99+1.68+0.75*(2.9+3.05))*(10.764)</f>
        <v>485.80622999999997</v>
      </c>
      <c r="E132" s="43">
        <v>0</v>
      </c>
      <c r="F132" s="43">
        <f t="shared" si="8"/>
        <v>728.70934499999998</v>
      </c>
      <c r="G132" s="81"/>
      <c r="H132" s="82"/>
      <c r="I132" s="37"/>
      <c r="L132" s="91"/>
      <c r="M132" s="91"/>
      <c r="N132" s="37"/>
    </row>
    <row r="133" spans="1:14" s="38" customFormat="1" ht="15.75" customHeight="1" x14ac:dyDescent="0.3">
      <c r="A133" s="77">
        <v>4</v>
      </c>
      <c r="B133" s="78"/>
      <c r="C133" s="43" t="s">
        <v>218</v>
      </c>
      <c r="D133" s="66">
        <f>(47.7+0.75*(2.9+2.75+3.05))*(10.764)</f>
        <v>583.67790000000002</v>
      </c>
      <c r="E133" s="43">
        <v>0</v>
      </c>
      <c r="F133" s="43">
        <f t="shared" si="8"/>
        <v>875.51684999999998</v>
      </c>
      <c r="G133" s="81"/>
      <c r="H133" s="82"/>
      <c r="I133" s="37"/>
      <c r="L133" s="91"/>
      <c r="M133" s="91"/>
      <c r="N133" s="37"/>
    </row>
    <row r="134" spans="1:14" s="38" customFormat="1" x14ac:dyDescent="0.3">
      <c r="A134" s="77">
        <v>5</v>
      </c>
      <c r="B134" s="78"/>
      <c r="C134" s="43" t="s">
        <v>218</v>
      </c>
      <c r="D134" s="66">
        <f>(57.48+0.75*(3.2+2.2+2.75+3.05))*(10.764)</f>
        <v>709.13231999999994</v>
      </c>
      <c r="E134" s="43">
        <v>0</v>
      </c>
      <c r="F134" s="43">
        <f t="shared" si="8"/>
        <v>1063.69848</v>
      </c>
      <c r="G134" s="81"/>
      <c r="H134" s="82"/>
      <c r="I134" s="37">
        <f>3*5.25+3.2*1+2.2*3.05+2.75*3.05+3.3*4.05+2.05*1.2+1.2*2.1+5.5*0.9</f>
        <v>57.342500000000001</v>
      </c>
      <c r="K134" s="65"/>
      <c r="L134" s="91"/>
      <c r="M134" s="91"/>
      <c r="N134" s="37"/>
    </row>
    <row r="135" spans="1:14" s="38" customFormat="1" x14ac:dyDescent="0.3">
      <c r="A135" s="77">
        <v>6</v>
      </c>
      <c r="B135" s="78"/>
      <c r="C135" s="43" t="s">
        <v>218</v>
      </c>
      <c r="D135" s="66">
        <f>(57.48+0.75*(3.2+2.2+2.75+3.05))*(10.764)</f>
        <v>709.13231999999994</v>
      </c>
      <c r="E135" s="43">
        <v>0</v>
      </c>
      <c r="F135" s="43">
        <f t="shared" si="8"/>
        <v>1063.69848</v>
      </c>
      <c r="G135" s="81"/>
      <c r="H135" s="82"/>
      <c r="I135" s="37"/>
      <c r="L135" s="91"/>
      <c r="M135" s="91"/>
      <c r="N135" s="37"/>
    </row>
    <row r="136" spans="1:14" s="38" customFormat="1" x14ac:dyDescent="0.3">
      <c r="A136" s="77">
        <v>7</v>
      </c>
      <c r="B136" s="78"/>
      <c r="C136" s="43" t="s">
        <v>218</v>
      </c>
      <c r="D136" s="66">
        <f>(47.7+0.75*(2.9+2.75+3.05))*(10.764)</f>
        <v>583.67790000000002</v>
      </c>
      <c r="E136" s="43">
        <v>0</v>
      </c>
      <c r="F136" s="43">
        <f t="shared" si="8"/>
        <v>875.51684999999998</v>
      </c>
      <c r="G136" s="81"/>
      <c r="H136" s="82"/>
      <c r="I136" s="37"/>
      <c r="L136" s="91"/>
      <c r="M136" s="91"/>
      <c r="N136" s="37"/>
    </row>
    <row r="137" spans="1:14" s="38" customFormat="1" x14ac:dyDescent="0.3">
      <c r="A137" s="77">
        <v>8</v>
      </c>
      <c r="B137" s="78"/>
      <c r="C137" s="43" t="s">
        <v>217</v>
      </c>
      <c r="D137" s="66">
        <f>(38.19+1.68+0.75*(2.75+3.05))*(10.764)</f>
        <v>475.98407999999995</v>
      </c>
      <c r="E137" s="43">
        <v>0</v>
      </c>
      <c r="F137" s="43">
        <f t="shared" si="8"/>
        <v>713.97611999999992</v>
      </c>
      <c r="G137" s="81"/>
      <c r="H137" s="82"/>
      <c r="I137" s="37"/>
      <c r="L137" s="91"/>
      <c r="M137" s="91"/>
      <c r="N137" s="37"/>
    </row>
    <row r="138" spans="1:14" s="38" customFormat="1" x14ac:dyDescent="0.3">
      <c r="A138" s="77">
        <v>9</v>
      </c>
      <c r="B138" s="78"/>
      <c r="C138" s="43" t="s">
        <v>217</v>
      </c>
      <c r="D138" s="66">
        <f>(38.99+1.68+0.75*(2.9+3.05))*(10.764)</f>
        <v>485.80622999999997</v>
      </c>
      <c r="E138" s="43">
        <v>0</v>
      </c>
      <c r="F138" s="43">
        <f t="shared" si="8"/>
        <v>728.70934499999998</v>
      </c>
      <c r="G138" s="81"/>
      <c r="H138" s="82"/>
      <c r="I138" s="37"/>
      <c r="L138" s="91"/>
      <c r="M138" s="91"/>
      <c r="N138" s="37"/>
    </row>
    <row r="139" spans="1:14" s="38" customFormat="1" x14ac:dyDescent="0.3">
      <c r="A139" s="77">
        <v>10</v>
      </c>
      <c r="B139" s="78"/>
      <c r="C139" s="43" t="s">
        <v>217</v>
      </c>
      <c r="D139" s="66">
        <f>(38.19+1.68+0.75*(2.75+3.05))*(10.764)</f>
        <v>475.98407999999995</v>
      </c>
      <c r="E139" s="43">
        <v>0</v>
      </c>
      <c r="F139" s="43">
        <f t="shared" si="8"/>
        <v>713.97611999999992</v>
      </c>
      <c r="G139" s="83"/>
      <c r="H139" s="84"/>
      <c r="I139" s="37"/>
      <c r="L139" s="91"/>
      <c r="M139" s="91"/>
      <c r="N139" s="37"/>
    </row>
    <row r="140" spans="1:14" s="38" customFormat="1" ht="15.75" customHeight="1" x14ac:dyDescent="0.3">
      <c r="A140" s="85" t="s">
        <v>221</v>
      </c>
      <c r="B140" s="86"/>
      <c r="C140" s="86"/>
      <c r="D140" s="86"/>
      <c r="E140" s="86"/>
      <c r="F140" s="86"/>
      <c r="G140" s="86"/>
      <c r="H140" s="87"/>
      <c r="I140" s="37"/>
    </row>
    <row r="141" spans="1:14" s="38" customFormat="1" ht="15.75" customHeight="1" x14ac:dyDescent="0.3">
      <c r="A141" s="77">
        <v>1</v>
      </c>
      <c r="B141" s="78"/>
      <c r="C141" s="43" t="s">
        <v>217</v>
      </c>
      <c r="D141" s="66">
        <f>(34.39+1.68+0.75*(2.75+2.75))*(10.764)</f>
        <v>432.65897999999999</v>
      </c>
      <c r="E141" s="43">
        <v>0</v>
      </c>
      <c r="F141" s="43">
        <f t="shared" ref="F141:F150" si="9">D141*(($F$124)+1)+(IF(E141&lt;101,E141,IF(E141&lt;201,E141/2,IF(E141&lt;=301,E141/3,E141/4))))</f>
        <v>648.98847000000001</v>
      </c>
      <c r="G141" s="79" t="str">
        <f>A140</f>
        <v>4th, 5th, 6th, 7th, 9th, 10th, 12th, 13th Floor</v>
      </c>
      <c r="H141" s="80"/>
      <c r="I141" s="37"/>
    </row>
    <row r="142" spans="1:14" s="38" customFormat="1" ht="15.75" customHeight="1" x14ac:dyDescent="0.3">
      <c r="A142" s="77">
        <v>2</v>
      </c>
      <c r="B142" s="78"/>
      <c r="C142" s="43" t="s">
        <v>217</v>
      </c>
      <c r="D142" s="66">
        <f>(34.39+1.68+0.75*(2.75+2.75))*(10.764)</f>
        <v>432.65897999999999</v>
      </c>
      <c r="E142" s="43">
        <v>0</v>
      </c>
      <c r="F142" s="43">
        <f t="shared" si="9"/>
        <v>648.98847000000001</v>
      </c>
      <c r="G142" s="81"/>
      <c r="H142" s="82"/>
      <c r="I142" s="37"/>
    </row>
    <row r="143" spans="1:14" s="38" customFormat="1" ht="15.75" customHeight="1" x14ac:dyDescent="0.3">
      <c r="A143" s="77">
        <v>3</v>
      </c>
      <c r="B143" s="78"/>
      <c r="C143" s="43" t="s">
        <v>217</v>
      </c>
      <c r="D143" s="66">
        <f>(38.99+1.68+0.75*(2.9+3.05))*(10.764)</f>
        <v>485.80622999999997</v>
      </c>
      <c r="E143" s="43">
        <v>0</v>
      </c>
      <c r="F143" s="43">
        <f t="shared" si="9"/>
        <v>728.70934499999998</v>
      </c>
      <c r="G143" s="81"/>
      <c r="H143" s="82"/>
      <c r="I143" s="37"/>
    </row>
    <row r="144" spans="1:14" s="38" customFormat="1" ht="15.75" customHeight="1" x14ac:dyDescent="0.3">
      <c r="A144" s="77">
        <v>4</v>
      </c>
      <c r="B144" s="78"/>
      <c r="C144" s="43" t="s">
        <v>218</v>
      </c>
      <c r="D144" s="66">
        <f>(47.7+0.75*(2.9+2.75+3.05))*(10.764)</f>
        <v>583.67790000000002</v>
      </c>
      <c r="E144" s="43">
        <v>0</v>
      </c>
      <c r="F144" s="43">
        <f t="shared" si="9"/>
        <v>875.51684999999998</v>
      </c>
      <c r="G144" s="81"/>
      <c r="H144" s="82"/>
      <c r="I144" s="37"/>
    </row>
    <row r="145" spans="1:9" s="38" customFormat="1" ht="15.75" customHeight="1" x14ac:dyDescent="0.3">
      <c r="A145" s="77">
        <v>5</v>
      </c>
      <c r="B145" s="78"/>
      <c r="C145" s="43" t="s">
        <v>218</v>
      </c>
      <c r="D145" s="66">
        <f>(57.48+0.75*(3.2+2.2+2.75+3.05))*(10.764)</f>
        <v>709.13231999999994</v>
      </c>
      <c r="E145" s="43">
        <v>0</v>
      </c>
      <c r="F145" s="43">
        <f t="shared" si="9"/>
        <v>1063.69848</v>
      </c>
      <c r="G145" s="81"/>
      <c r="H145" s="82"/>
      <c r="I145" s="37"/>
    </row>
    <row r="146" spans="1:9" s="38" customFormat="1" x14ac:dyDescent="0.3">
      <c r="A146" s="77">
        <v>6</v>
      </c>
      <c r="B146" s="78"/>
      <c r="C146" s="43" t="s">
        <v>218</v>
      </c>
      <c r="D146" s="66">
        <f>(57.48+0.75*(3.2+2.2+2.75+3.05))*(10.764)</f>
        <v>709.13231999999994</v>
      </c>
      <c r="E146" s="43">
        <v>0</v>
      </c>
      <c r="F146" s="43">
        <f t="shared" si="9"/>
        <v>1063.69848</v>
      </c>
      <c r="G146" s="81"/>
      <c r="H146" s="82"/>
      <c r="I146" s="37"/>
    </row>
    <row r="147" spans="1:9" s="38" customFormat="1" x14ac:dyDescent="0.3">
      <c r="A147" s="77">
        <v>7</v>
      </c>
      <c r="B147" s="78"/>
      <c r="C147" s="43" t="s">
        <v>218</v>
      </c>
      <c r="D147" s="66">
        <f>(47.7+0.75*(2.9+2.75+3.05))*(10.764)</f>
        <v>583.67790000000002</v>
      </c>
      <c r="E147" s="43">
        <v>0</v>
      </c>
      <c r="F147" s="43">
        <f t="shared" si="9"/>
        <v>875.51684999999998</v>
      </c>
      <c r="G147" s="81"/>
      <c r="H147" s="82"/>
      <c r="I147" s="37"/>
    </row>
    <row r="148" spans="1:9" s="38" customFormat="1" ht="15.75" customHeight="1" x14ac:dyDescent="0.3">
      <c r="A148" s="77">
        <v>8</v>
      </c>
      <c r="B148" s="78"/>
      <c r="C148" s="43" t="s">
        <v>217</v>
      </c>
      <c r="D148" s="66">
        <f>(38.19+1.68+0.75*(2.75+3.05))*(10.764)</f>
        <v>475.98407999999995</v>
      </c>
      <c r="E148" s="43">
        <v>0</v>
      </c>
      <c r="F148" s="43">
        <f t="shared" si="9"/>
        <v>713.97611999999992</v>
      </c>
      <c r="G148" s="81"/>
      <c r="H148" s="82"/>
      <c r="I148" s="37"/>
    </row>
    <row r="149" spans="1:9" s="38" customFormat="1" ht="15.75" customHeight="1" x14ac:dyDescent="0.3">
      <c r="A149" s="77">
        <v>9</v>
      </c>
      <c r="B149" s="78"/>
      <c r="C149" s="43" t="s">
        <v>217</v>
      </c>
      <c r="D149" s="66">
        <f>(38.99+1.68+0.75*(2.9+3.05))*(10.764)</f>
        <v>485.80622999999997</v>
      </c>
      <c r="E149" s="43">
        <v>0</v>
      </c>
      <c r="F149" s="43">
        <f t="shared" si="9"/>
        <v>728.70934499999998</v>
      </c>
      <c r="G149" s="81"/>
      <c r="H149" s="82"/>
      <c r="I149" s="37"/>
    </row>
    <row r="150" spans="1:9" s="38" customFormat="1" ht="15.75" customHeight="1" x14ac:dyDescent="0.3">
      <c r="A150" s="77">
        <v>10</v>
      </c>
      <c r="B150" s="78"/>
      <c r="C150" s="43" t="s">
        <v>217</v>
      </c>
      <c r="D150" s="66">
        <f>(38.19+1.68+0.75*(2.75+3.05))*(10.764)</f>
        <v>475.98407999999995</v>
      </c>
      <c r="E150" s="43">
        <v>0</v>
      </c>
      <c r="F150" s="43">
        <f t="shared" si="9"/>
        <v>713.97611999999992</v>
      </c>
      <c r="G150" s="83"/>
      <c r="H150" s="84"/>
      <c r="I150" s="37"/>
    </row>
    <row r="151" spans="1:9" s="38" customFormat="1" ht="15.75" customHeight="1" x14ac:dyDescent="0.3">
      <c r="A151" s="85" t="s">
        <v>222</v>
      </c>
      <c r="B151" s="86"/>
      <c r="C151" s="86"/>
      <c r="D151" s="86"/>
      <c r="E151" s="86"/>
      <c r="F151" s="86"/>
      <c r="G151" s="86"/>
      <c r="H151" s="87"/>
      <c r="I151" s="37"/>
    </row>
    <row r="152" spans="1:9" s="38" customFormat="1" ht="15.75" customHeight="1" x14ac:dyDescent="0.3">
      <c r="A152" s="77">
        <v>1</v>
      </c>
      <c r="B152" s="78"/>
      <c r="C152" s="43" t="s">
        <v>217</v>
      </c>
      <c r="D152" s="66">
        <f>(34.39+1.68+0.75*(2.75+2.75))*(10.764)</f>
        <v>432.65897999999999</v>
      </c>
      <c r="E152" s="43">
        <v>0</v>
      </c>
      <c r="F152" s="43">
        <f t="shared" ref="F152:F160" si="10">D152*(($F$124)+1)+(IF(E152&lt;101,E152,IF(E152&lt;201,E152/2,IF(E152&lt;=301,E152/3,E152/4))))</f>
        <v>648.98847000000001</v>
      </c>
      <c r="G152" s="79" t="str">
        <f>A151</f>
        <v>8th &amp; 11th Floor (Part Refuge Area)</v>
      </c>
      <c r="H152" s="80"/>
      <c r="I152" s="37"/>
    </row>
    <row r="153" spans="1:9" s="38" customFormat="1" ht="15.75" customHeight="1" x14ac:dyDescent="0.3">
      <c r="A153" s="77">
        <v>2</v>
      </c>
      <c r="B153" s="78"/>
      <c r="C153" s="43" t="s">
        <v>217</v>
      </c>
      <c r="D153" s="66">
        <f>(34.39+1.68+0.75*(2.75+2.75))*(10.764)</f>
        <v>432.65897999999999</v>
      </c>
      <c r="E153" s="43">
        <v>0</v>
      </c>
      <c r="F153" s="43">
        <f t="shared" si="10"/>
        <v>648.98847000000001</v>
      </c>
      <c r="G153" s="81"/>
      <c r="H153" s="82"/>
      <c r="I153" s="37"/>
    </row>
    <row r="154" spans="1:9" s="38" customFormat="1" ht="15.75" customHeight="1" x14ac:dyDescent="0.3">
      <c r="A154" s="77">
        <v>3</v>
      </c>
      <c r="B154" s="78"/>
      <c r="C154" s="43" t="s">
        <v>217</v>
      </c>
      <c r="D154" s="66">
        <f>(38.99+1.68+0.75*(2.9+3.05))*(10.764)</f>
        <v>485.80622999999997</v>
      </c>
      <c r="E154" s="43">
        <v>0</v>
      </c>
      <c r="F154" s="43">
        <f t="shared" si="10"/>
        <v>728.70934499999998</v>
      </c>
      <c r="G154" s="81"/>
      <c r="H154" s="82"/>
      <c r="I154" s="37"/>
    </row>
    <row r="155" spans="1:9" s="38" customFormat="1" ht="15.75" customHeight="1" x14ac:dyDescent="0.3">
      <c r="A155" s="77">
        <v>4</v>
      </c>
      <c r="B155" s="78"/>
      <c r="C155" s="43" t="s">
        <v>218</v>
      </c>
      <c r="D155" s="66">
        <f>(47.7+0.75*(2.9+2.75+3.05))*(10.764)</f>
        <v>583.67790000000002</v>
      </c>
      <c r="E155" s="43">
        <v>0</v>
      </c>
      <c r="F155" s="43">
        <f t="shared" si="10"/>
        <v>875.51684999999998</v>
      </c>
      <c r="G155" s="81"/>
      <c r="H155" s="82"/>
      <c r="I155" s="37"/>
    </row>
    <row r="156" spans="1:9" s="38" customFormat="1" ht="15.75" customHeight="1" x14ac:dyDescent="0.3">
      <c r="A156" s="77">
        <v>5</v>
      </c>
      <c r="B156" s="78"/>
      <c r="C156" s="43" t="s">
        <v>218</v>
      </c>
      <c r="D156" s="66">
        <f>(57.48+0.75*(3.2+2.2+2.75+3.05))*(10.764)</f>
        <v>709.13231999999994</v>
      </c>
      <c r="E156" s="43">
        <v>0</v>
      </c>
      <c r="F156" s="43">
        <f t="shared" si="10"/>
        <v>1063.69848</v>
      </c>
      <c r="G156" s="81"/>
      <c r="H156" s="82"/>
      <c r="I156" s="37"/>
    </row>
    <row r="157" spans="1:9" s="38" customFormat="1" x14ac:dyDescent="0.3">
      <c r="A157" s="77">
        <v>6</v>
      </c>
      <c r="B157" s="78"/>
      <c r="C157" s="43" t="s">
        <v>218</v>
      </c>
      <c r="D157" s="66">
        <f>(57.48+0.75*(3.2+2.2+2.75+3.05))*(10.764)</f>
        <v>709.13231999999994</v>
      </c>
      <c r="E157" s="43">
        <v>0</v>
      </c>
      <c r="F157" s="43">
        <f t="shared" si="10"/>
        <v>1063.69848</v>
      </c>
      <c r="G157" s="81"/>
      <c r="H157" s="82"/>
      <c r="I157" s="37"/>
    </row>
    <row r="158" spans="1:9" s="38" customFormat="1" x14ac:dyDescent="0.3">
      <c r="A158" s="77">
        <v>7</v>
      </c>
      <c r="B158" s="78"/>
      <c r="C158" s="43" t="s">
        <v>218</v>
      </c>
      <c r="D158" s="66">
        <f>(47.7+0.75*(2.9+2.75+3.05))*(10.764)</f>
        <v>583.67790000000002</v>
      </c>
      <c r="E158" s="43">
        <v>0</v>
      </c>
      <c r="F158" s="43">
        <f t="shared" si="10"/>
        <v>875.51684999999998</v>
      </c>
      <c r="G158" s="81"/>
      <c r="H158" s="82"/>
      <c r="I158" s="37"/>
    </row>
    <row r="159" spans="1:9" s="38" customFormat="1" ht="15.75" customHeight="1" x14ac:dyDescent="0.3">
      <c r="A159" s="77">
        <v>8</v>
      </c>
      <c r="B159" s="78"/>
      <c r="C159" s="43" t="s">
        <v>217</v>
      </c>
      <c r="D159" s="66">
        <f>(38.99+1.68+0.75*(2.9+3.05))*(10.764)</f>
        <v>485.80622999999997</v>
      </c>
      <c r="E159" s="43">
        <v>0</v>
      </c>
      <c r="F159" s="43">
        <f t="shared" si="10"/>
        <v>728.70934499999998</v>
      </c>
      <c r="G159" s="81"/>
      <c r="H159" s="82"/>
      <c r="I159" s="37"/>
    </row>
    <row r="160" spans="1:9" s="38" customFormat="1" ht="15.75" customHeight="1" x14ac:dyDescent="0.3">
      <c r="A160" s="77">
        <v>9</v>
      </c>
      <c r="B160" s="78"/>
      <c r="C160" s="43" t="s">
        <v>217</v>
      </c>
      <c r="D160" s="66">
        <f>(38.19+1.68+0.75*(2.75+3.05))*(10.764)</f>
        <v>475.98407999999995</v>
      </c>
      <c r="E160" s="43">
        <v>0</v>
      </c>
      <c r="F160" s="43">
        <f t="shared" si="10"/>
        <v>713.97611999999992</v>
      </c>
      <c r="G160" s="83"/>
      <c r="H160" s="84"/>
      <c r="I160" s="37"/>
    </row>
    <row r="161" spans="1:9" s="38" customFormat="1" ht="15.75" customHeight="1" x14ac:dyDescent="0.3">
      <c r="A161" s="85" t="s">
        <v>223</v>
      </c>
      <c r="B161" s="86"/>
      <c r="C161" s="86"/>
      <c r="D161" s="86"/>
      <c r="E161" s="86"/>
      <c r="F161" s="86"/>
      <c r="G161" s="86"/>
      <c r="H161" s="87"/>
      <c r="I161" s="37"/>
    </row>
    <row r="162" spans="1:9" s="38" customFormat="1" ht="15.75" customHeight="1" x14ac:dyDescent="0.3">
      <c r="A162" s="77">
        <v>1</v>
      </c>
      <c r="B162" s="78"/>
      <c r="C162" s="43" t="s">
        <v>217</v>
      </c>
      <c r="D162" s="66">
        <f>(34.39+1.68+0.75*(2.75+2.75))*(10.764)</f>
        <v>432.65897999999999</v>
      </c>
      <c r="E162" s="43">
        <v>0</v>
      </c>
      <c r="F162" s="43">
        <f t="shared" ref="F162:F171" si="11">D162*(($F$124)+1)+(IF(E162&lt;101,E162,IF(E162&lt;201,E162/2,IF(E162&lt;=301,E162/3,E162/4))))</f>
        <v>648.98847000000001</v>
      </c>
      <c r="G162" s="79" t="str">
        <f>A161</f>
        <v>14th Floor</v>
      </c>
      <c r="H162" s="80"/>
      <c r="I162" s="37"/>
    </row>
    <row r="163" spans="1:9" s="38" customFormat="1" ht="15.75" customHeight="1" x14ac:dyDescent="0.3">
      <c r="A163" s="77">
        <v>2</v>
      </c>
      <c r="B163" s="78"/>
      <c r="C163" s="43" t="s">
        <v>217</v>
      </c>
      <c r="D163" s="66">
        <f>(34.39+1.68+0.75*(2.75+2.75))*(10.764)</f>
        <v>432.65897999999999</v>
      </c>
      <c r="E163" s="43">
        <v>0</v>
      </c>
      <c r="F163" s="43">
        <f t="shared" si="11"/>
        <v>648.98847000000001</v>
      </c>
      <c r="G163" s="81"/>
      <c r="H163" s="82"/>
      <c r="I163" s="37"/>
    </row>
    <row r="164" spans="1:9" s="38" customFormat="1" ht="15.75" customHeight="1" x14ac:dyDescent="0.3">
      <c r="A164" s="77">
        <v>3</v>
      </c>
      <c r="B164" s="78"/>
      <c r="C164" s="43" t="s">
        <v>217</v>
      </c>
      <c r="D164" s="66">
        <f>(38.99+1.68+0.75*(2.9+3.05))*(10.764)</f>
        <v>485.80622999999997</v>
      </c>
      <c r="E164" s="43">
        <v>0</v>
      </c>
      <c r="F164" s="43">
        <f t="shared" si="11"/>
        <v>728.70934499999998</v>
      </c>
      <c r="G164" s="81"/>
      <c r="H164" s="82"/>
      <c r="I164" s="37"/>
    </row>
    <row r="165" spans="1:9" s="38" customFormat="1" ht="15.75" customHeight="1" x14ac:dyDescent="0.3">
      <c r="A165" s="77">
        <v>4</v>
      </c>
      <c r="B165" s="78"/>
      <c r="C165" s="43" t="s">
        <v>218</v>
      </c>
      <c r="D165" s="66">
        <f>(47.7+0.75*(2.9+2.75+3.05))*(10.764)</f>
        <v>583.67790000000002</v>
      </c>
      <c r="E165" s="43">
        <v>0</v>
      </c>
      <c r="F165" s="43">
        <f t="shared" si="11"/>
        <v>875.51684999999998</v>
      </c>
      <c r="G165" s="81"/>
      <c r="H165" s="82"/>
      <c r="I165" s="37"/>
    </row>
    <row r="166" spans="1:9" s="38" customFormat="1" ht="15.75" customHeight="1" x14ac:dyDescent="0.3">
      <c r="A166" s="77">
        <v>5</v>
      </c>
      <c r="B166" s="78"/>
      <c r="C166" s="43" t="s">
        <v>218</v>
      </c>
      <c r="D166" s="66">
        <f>(57.48+0.75*(3.2+2.2+2.75+3.05))*(10.764)</f>
        <v>709.13231999999994</v>
      </c>
      <c r="E166" s="43">
        <v>0</v>
      </c>
      <c r="F166" s="43">
        <f t="shared" si="11"/>
        <v>1063.69848</v>
      </c>
      <c r="G166" s="81"/>
      <c r="H166" s="82"/>
      <c r="I166" s="37"/>
    </row>
    <row r="167" spans="1:9" s="38" customFormat="1" x14ac:dyDescent="0.3">
      <c r="A167" s="77">
        <v>6</v>
      </c>
      <c r="B167" s="78"/>
      <c r="C167" s="43" t="s">
        <v>218</v>
      </c>
      <c r="D167" s="66">
        <f>(57.48+0.75*(3.2+2.2+2.75+3.05))*(10.764)</f>
        <v>709.13231999999994</v>
      </c>
      <c r="E167" s="43">
        <v>0</v>
      </c>
      <c r="F167" s="43">
        <f t="shared" si="11"/>
        <v>1063.69848</v>
      </c>
      <c r="G167" s="81"/>
      <c r="H167" s="82"/>
      <c r="I167" s="37"/>
    </row>
    <row r="168" spans="1:9" s="38" customFormat="1" x14ac:dyDescent="0.3">
      <c r="A168" s="77">
        <v>7</v>
      </c>
      <c r="B168" s="78"/>
      <c r="C168" s="43" t="s">
        <v>218</v>
      </c>
      <c r="D168" s="66">
        <f>(47.7+0.75*(2.9+2.75+3.05))*(10.764)</f>
        <v>583.67790000000002</v>
      </c>
      <c r="E168" s="43">
        <v>0</v>
      </c>
      <c r="F168" s="43">
        <f t="shared" si="11"/>
        <v>875.51684999999998</v>
      </c>
      <c r="G168" s="81"/>
      <c r="H168" s="82"/>
      <c r="I168" s="37"/>
    </row>
    <row r="169" spans="1:9" s="38" customFormat="1" ht="15.75" customHeight="1" x14ac:dyDescent="0.3">
      <c r="A169" s="77">
        <v>8</v>
      </c>
      <c r="B169" s="78"/>
      <c r="C169" s="43" t="s">
        <v>217</v>
      </c>
      <c r="D169" s="66">
        <f>(38.19+1.68+0.75*(2.75+3.05))*(10.764)</f>
        <v>475.98407999999995</v>
      </c>
      <c r="E169" s="43">
        <v>0</v>
      </c>
      <c r="F169" s="43">
        <f t="shared" si="11"/>
        <v>713.97611999999992</v>
      </c>
      <c r="G169" s="81"/>
      <c r="H169" s="82"/>
      <c r="I169" s="37"/>
    </row>
    <row r="170" spans="1:9" s="38" customFormat="1" ht="15.75" customHeight="1" x14ac:dyDescent="0.3">
      <c r="A170" s="77">
        <v>9</v>
      </c>
      <c r="B170" s="78"/>
      <c r="C170" s="43" t="s">
        <v>217</v>
      </c>
      <c r="D170" s="66">
        <f>(38.99+1.68+0.75*(2.9+3.05))*(10.764)</f>
        <v>485.80622999999997</v>
      </c>
      <c r="E170" s="43">
        <v>0</v>
      </c>
      <c r="F170" s="43">
        <f t="shared" si="11"/>
        <v>728.70934499999998</v>
      </c>
      <c r="G170" s="81"/>
      <c r="H170" s="82"/>
      <c r="I170" s="37"/>
    </row>
    <row r="171" spans="1:9" s="38" customFormat="1" ht="15.75" customHeight="1" x14ac:dyDescent="0.3">
      <c r="A171" s="77">
        <v>10</v>
      </c>
      <c r="B171" s="78"/>
      <c r="C171" s="43" t="s">
        <v>217</v>
      </c>
      <c r="D171" s="66">
        <f>(38.19+1.68+0.75*(2.75+3.05))*(10.764)</f>
        <v>475.98407999999995</v>
      </c>
      <c r="E171" s="43">
        <v>0</v>
      </c>
      <c r="F171" s="43">
        <f t="shared" si="11"/>
        <v>713.97611999999992</v>
      </c>
      <c r="G171" s="83"/>
      <c r="H171" s="84"/>
      <c r="I171" s="37"/>
    </row>
    <row r="172" spans="1:9" s="36" customFormat="1" x14ac:dyDescent="0.3">
      <c r="A172" s="116" t="s">
        <v>70</v>
      </c>
      <c r="B172" s="116"/>
      <c r="C172" s="116"/>
      <c r="D172" s="116"/>
      <c r="E172" s="116"/>
      <c r="F172" s="116"/>
      <c r="G172" s="116"/>
      <c r="H172" s="116"/>
    </row>
    <row r="173" spans="1:9" s="36" customFormat="1" x14ac:dyDescent="0.3">
      <c r="A173" s="46" t="s">
        <v>157</v>
      </c>
      <c r="B173" s="88" t="s">
        <v>241</v>
      </c>
      <c r="C173" s="89"/>
      <c r="D173" s="89"/>
      <c r="E173" s="89"/>
      <c r="F173" s="89"/>
      <c r="G173" s="89"/>
      <c r="H173" s="90"/>
    </row>
    <row r="174" spans="1:9" s="36" customFormat="1" x14ac:dyDescent="0.3">
      <c r="A174" s="46" t="s">
        <v>157</v>
      </c>
      <c r="B174" s="88" t="str">
        <f>(IF(F123="Saleable area Loading :","We have considered Saleable area of Flats as per our Calculation.","We considered Saleable area of Flat as per Builder area Sheet."))</f>
        <v>We have considered Saleable area of Flats as per our Calculation.</v>
      </c>
      <c r="C174" s="89"/>
      <c r="D174" s="89"/>
      <c r="E174" s="89"/>
      <c r="F174" s="89"/>
      <c r="G174" s="89"/>
      <c r="H174" s="90"/>
    </row>
    <row r="175" spans="1:9" s="36" customFormat="1" x14ac:dyDescent="0.3">
      <c r="A175" s="46" t="s">
        <v>157</v>
      </c>
      <c r="B175" s="88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5" s="89"/>
      <c r="D175" s="89"/>
      <c r="E175" s="89"/>
      <c r="F175" s="89"/>
      <c r="G175" s="89"/>
      <c r="H175" s="90"/>
    </row>
    <row r="176" spans="1:9" s="36" customFormat="1" x14ac:dyDescent="0.3">
      <c r="A176" s="46" t="s">
        <v>157</v>
      </c>
      <c r="B176" s="74" t="s">
        <v>129</v>
      </c>
      <c r="C176" s="75"/>
      <c r="D176" s="75"/>
      <c r="E176" s="75"/>
      <c r="F176" s="75"/>
      <c r="G176" s="75"/>
      <c r="H176" s="76"/>
    </row>
    <row r="177" spans="1:8" s="36" customFormat="1" x14ac:dyDescent="0.3">
      <c r="A177" s="46" t="s">
        <v>157</v>
      </c>
      <c r="B177" s="74" t="s">
        <v>235</v>
      </c>
      <c r="C177" s="75"/>
      <c r="D177" s="75"/>
      <c r="E177" s="75"/>
      <c r="F177" s="75"/>
      <c r="G177" s="75"/>
      <c r="H177" s="76"/>
    </row>
    <row r="178" spans="1:8" s="36" customFormat="1" x14ac:dyDescent="0.3">
      <c r="A178" s="46" t="s">
        <v>157</v>
      </c>
      <c r="B178" s="74" t="s">
        <v>156</v>
      </c>
      <c r="C178" s="75"/>
      <c r="D178" s="75"/>
      <c r="E178" s="75"/>
      <c r="F178" s="75"/>
      <c r="G178" s="75"/>
      <c r="H178" s="76"/>
    </row>
    <row r="179" spans="1:8" s="36" customFormat="1" x14ac:dyDescent="0.3">
      <c r="A179" s="46" t="s">
        <v>157</v>
      </c>
      <c r="B179" s="74" t="s">
        <v>130</v>
      </c>
      <c r="C179" s="75"/>
      <c r="D179" s="75"/>
      <c r="E179" s="75"/>
      <c r="F179" s="75"/>
      <c r="G179" s="75"/>
      <c r="H179" s="76"/>
    </row>
    <row r="180" spans="1:8" s="36" customFormat="1" ht="34.5" customHeight="1" x14ac:dyDescent="0.3">
      <c r="A180" s="46" t="s">
        <v>157</v>
      </c>
      <c r="B180" s="74" t="s">
        <v>158</v>
      </c>
      <c r="C180" s="75"/>
      <c r="D180" s="75"/>
      <c r="E180" s="75"/>
      <c r="F180" s="75"/>
      <c r="G180" s="75"/>
      <c r="H180" s="76"/>
    </row>
    <row r="181" spans="1:8" s="36" customFormat="1" x14ac:dyDescent="0.3">
      <c r="A181" s="46" t="s">
        <v>157</v>
      </c>
      <c r="B181" s="74" t="s">
        <v>131</v>
      </c>
      <c r="C181" s="75"/>
      <c r="D181" s="75"/>
      <c r="E181" s="75"/>
      <c r="F181" s="75"/>
      <c r="G181" s="75"/>
      <c r="H181" s="76"/>
    </row>
    <row r="182" spans="1:8" s="36" customFormat="1" x14ac:dyDescent="0.3">
      <c r="A182" s="46" t="s">
        <v>157</v>
      </c>
      <c r="B182" s="74" t="s">
        <v>237</v>
      </c>
      <c r="C182" s="75"/>
      <c r="D182" s="75"/>
      <c r="E182" s="75"/>
      <c r="F182" s="75"/>
      <c r="G182" s="75"/>
      <c r="H182" s="76"/>
    </row>
    <row r="183" spans="1:8" s="36" customFormat="1" x14ac:dyDescent="0.3">
      <c r="A183" s="46" t="s">
        <v>157</v>
      </c>
      <c r="B183" s="74" t="s">
        <v>239</v>
      </c>
      <c r="C183" s="75"/>
      <c r="D183" s="75"/>
      <c r="E183" s="75"/>
      <c r="F183" s="75"/>
      <c r="G183" s="75"/>
      <c r="H183" s="76"/>
    </row>
    <row r="184" spans="1:8" x14ac:dyDescent="0.3">
      <c r="A184" s="173" t="s">
        <v>63</v>
      </c>
      <c r="B184" s="173"/>
      <c r="C184" s="173"/>
      <c r="D184" s="173"/>
      <c r="E184" s="173"/>
      <c r="F184" s="173"/>
      <c r="G184" s="173"/>
      <c r="H184" s="173"/>
    </row>
    <row r="185" spans="1:8" x14ac:dyDescent="0.3">
      <c r="A185" s="100" t="s">
        <v>64</v>
      </c>
      <c r="B185" s="100"/>
      <c r="C185" s="100"/>
      <c r="D185" s="100"/>
      <c r="E185" s="100"/>
      <c r="F185" s="100"/>
      <c r="G185" s="100"/>
      <c r="H185" s="100"/>
    </row>
    <row r="186" spans="1:8" ht="15.75" customHeight="1" x14ac:dyDescent="0.3">
      <c r="A186" s="199" t="s">
        <v>65</v>
      </c>
      <c r="B186" s="199"/>
      <c r="C186" s="199"/>
      <c r="D186" s="199"/>
      <c r="E186" s="199"/>
      <c r="F186" s="199"/>
      <c r="G186" s="199"/>
      <c r="H186" s="199"/>
    </row>
    <row r="187" spans="1:8" x14ac:dyDescent="0.3">
      <c r="A187" s="100" t="s">
        <v>66</v>
      </c>
      <c r="B187" s="100"/>
      <c r="C187" s="100"/>
      <c r="D187" s="100"/>
      <c r="E187" s="100"/>
      <c r="F187" s="100"/>
      <c r="G187" s="100"/>
      <c r="H187" s="100"/>
    </row>
    <row r="188" spans="1:8" x14ac:dyDescent="0.3">
      <c r="A188" s="100" t="s">
        <v>67</v>
      </c>
      <c r="B188" s="100"/>
      <c r="C188" s="100"/>
      <c r="D188" s="100"/>
      <c r="E188" s="100"/>
      <c r="F188" s="100"/>
      <c r="G188" s="100"/>
      <c r="H188" s="100"/>
    </row>
    <row r="189" spans="1:8" x14ac:dyDescent="0.3">
      <c r="A189" s="100" t="s">
        <v>132</v>
      </c>
      <c r="B189" s="100"/>
      <c r="C189" s="100"/>
      <c r="D189" s="100"/>
      <c r="E189" s="100"/>
      <c r="F189" s="100"/>
      <c r="G189" s="100"/>
      <c r="H189" s="100"/>
    </row>
    <row r="190" spans="1:8" x14ac:dyDescent="0.3">
      <c r="A190" s="112" t="s">
        <v>133</v>
      </c>
      <c r="B190" s="112"/>
      <c r="C190" s="112"/>
      <c r="D190" s="112"/>
      <c r="E190" s="112"/>
      <c r="F190" s="112"/>
      <c r="G190" s="112"/>
      <c r="H190" s="112"/>
    </row>
    <row r="191" spans="1:8" x14ac:dyDescent="0.3">
      <c r="A191" s="168" t="s">
        <v>80</v>
      </c>
      <c r="B191" s="168"/>
      <c r="C191" s="168" t="s">
        <v>243</v>
      </c>
      <c r="D191" s="168"/>
      <c r="E191" s="168" t="s">
        <v>110</v>
      </c>
      <c r="F191" s="168"/>
      <c r="G191" s="168" t="s">
        <v>242</v>
      </c>
      <c r="H191" s="168"/>
    </row>
    <row r="192" spans="1:8" x14ac:dyDescent="0.3">
      <c r="A192" s="167" t="s">
        <v>82</v>
      </c>
      <c r="B192" s="167"/>
      <c r="C192" s="167"/>
      <c r="D192" s="167"/>
      <c r="E192" s="167"/>
      <c r="F192" s="167"/>
      <c r="G192" s="167"/>
      <c r="H192" s="167"/>
    </row>
    <row r="193" spans="1:8" x14ac:dyDescent="0.3">
      <c r="A193" s="167"/>
      <c r="B193" s="167"/>
      <c r="C193" s="167"/>
      <c r="D193" s="167"/>
      <c r="E193" s="167"/>
      <c r="F193" s="167"/>
      <c r="G193" s="167"/>
      <c r="H193" s="167"/>
    </row>
    <row r="194" spans="1:8" x14ac:dyDescent="0.3">
      <c r="A194" s="167"/>
      <c r="B194" s="167"/>
      <c r="C194" s="167"/>
      <c r="D194" s="167"/>
      <c r="E194" s="167"/>
      <c r="F194" s="167"/>
      <c r="G194" s="167"/>
      <c r="H194" s="167"/>
    </row>
    <row r="195" spans="1:8" x14ac:dyDescent="0.3">
      <c r="A195" s="167"/>
      <c r="B195" s="167"/>
      <c r="C195" s="167"/>
      <c r="D195" s="167"/>
      <c r="E195" s="167"/>
      <c r="F195" s="167"/>
      <c r="G195" s="167"/>
      <c r="H195" s="167"/>
    </row>
    <row r="196" spans="1:8" x14ac:dyDescent="0.3">
      <c r="A196" s="39" t="s">
        <v>68</v>
      </c>
      <c r="B196" s="40"/>
      <c r="C196" s="40"/>
      <c r="D196" s="39" t="str">
        <f>E8</f>
        <v>QA Riverfront</v>
      </c>
      <c r="F196" s="40"/>
      <c r="G196" s="40"/>
      <c r="H196" s="40"/>
    </row>
    <row r="197" spans="1:8" x14ac:dyDescent="0.3">
      <c r="A197" s="40"/>
      <c r="B197" s="40"/>
      <c r="C197" s="40"/>
      <c r="D197" s="40"/>
      <c r="E197" s="40"/>
      <c r="F197" s="40"/>
      <c r="G197" s="40"/>
      <c r="H197" s="40"/>
    </row>
    <row r="198" spans="1:8" x14ac:dyDescent="0.3">
      <c r="A198" s="40"/>
      <c r="B198" s="40"/>
      <c r="C198" s="40"/>
      <c r="D198" s="40"/>
      <c r="E198" s="40"/>
      <c r="F198" s="40"/>
      <c r="G198" s="40"/>
      <c r="H198" s="40"/>
    </row>
    <row r="199" spans="1:8" ht="15" customHeight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spans="1:1" hidden="1" x14ac:dyDescent="0.3"/>
    <row r="242" spans="1:1" hidden="1" x14ac:dyDescent="0.3"/>
    <row r="244" spans="1:1" x14ac:dyDescent="0.3">
      <c r="A244" s="42" t="s">
        <v>189</v>
      </c>
    </row>
    <row r="288" spans="1:1" x14ac:dyDescent="0.3">
      <c r="A288" s="42" t="s">
        <v>69</v>
      </c>
    </row>
  </sheetData>
  <mergeCells count="343">
    <mergeCell ref="E41:H41"/>
    <mergeCell ref="A41:D41"/>
    <mergeCell ref="A189:H189"/>
    <mergeCell ref="A186:H186"/>
    <mergeCell ref="A127:B127"/>
    <mergeCell ref="A97:B97"/>
    <mergeCell ref="D123:D124"/>
    <mergeCell ref="E123:E124"/>
    <mergeCell ref="G123:H124"/>
    <mergeCell ref="F80:H80"/>
    <mergeCell ref="G95:H95"/>
    <mergeCell ref="A48:B48"/>
    <mergeCell ref="C48:E48"/>
    <mergeCell ref="A102:A103"/>
    <mergeCell ref="C123:C124"/>
    <mergeCell ref="A129:H129"/>
    <mergeCell ref="A144:B144"/>
    <mergeCell ref="A141:B141"/>
    <mergeCell ref="B183:H183"/>
    <mergeCell ref="F89:H89"/>
    <mergeCell ref="E94:F94"/>
    <mergeCell ref="A94:B94"/>
    <mergeCell ref="G48:H48"/>
    <mergeCell ref="A68:B68"/>
    <mergeCell ref="E68:F68"/>
    <mergeCell ref="B179:H179"/>
    <mergeCell ref="B175:H175"/>
    <mergeCell ref="A159:B159"/>
    <mergeCell ref="G50:H50"/>
    <mergeCell ref="D54:H54"/>
    <mergeCell ref="C50:E50"/>
    <mergeCell ref="A57:C57"/>
    <mergeCell ref="D57:H57"/>
    <mergeCell ref="G68:H68"/>
    <mergeCell ref="A69:B69"/>
    <mergeCell ref="E69:F78"/>
    <mergeCell ref="G69:H78"/>
    <mergeCell ref="A70:B70"/>
    <mergeCell ref="A71:B71"/>
    <mergeCell ref="A72:B72"/>
    <mergeCell ref="D62:H62"/>
    <mergeCell ref="A63:C63"/>
    <mergeCell ref="D63:H63"/>
    <mergeCell ref="A73:B73"/>
    <mergeCell ref="A74:B74"/>
    <mergeCell ref="A75:B75"/>
    <mergeCell ref="A76:B76"/>
    <mergeCell ref="A77:B7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78:B78"/>
    <mergeCell ref="A192:H195"/>
    <mergeCell ref="A191:B191"/>
    <mergeCell ref="E191:F191"/>
    <mergeCell ref="C191:D191"/>
    <mergeCell ref="G191:H191"/>
    <mergeCell ref="A93:H93"/>
    <mergeCell ref="A91:E91"/>
    <mergeCell ref="F91:H91"/>
    <mergeCell ref="A92:E92"/>
    <mergeCell ref="F92:H92"/>
    <mergeCell ref="A126:H126"/>
    <mergeCell ref="A98:B98"/>
    <mergeCell ref="A95:B95"/>
    <mergeCell ref="A187:H187"/>
    <mergeCell ref="A96:H96"/>
    <mergeCell ref="A190:H190"/>
    <mergeCell ref="A188:H188"/>
    <mergeCell ref="A184:H184"/>
    <mergeCell ref="A185:H185"/>
    <mergeCell ref="E97:F97"/>
    <mergeCell ref="B181:H181"/>
    <mergeCell ref="A128:B128"/>
    <mergeCell ref="E95:F95"/>
    <mergeCell ref="B102:B10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1:D11"/>
    <mergeCell ref="E11:H11"/>
    <mergeCell ref="A15:B15"/>
    <mergeCell ref="A12:D12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58:C58"/>
    <mergeCell ref="A59:C59"/>
    <mergeCell ref="D58:H58"/>
    <mergeCell ref="D59:H59"/>
    <mergeCell ref="A42:D42"/>
    <mergeCell ref="E42:H42"/>
    <mergeCell ref="E43:H43"/>
    <mergeCell ref="E44:H44"/>
    <mergeCell ref="E45:H45"/>
    <mergeCell ref="A43:D43"/>
    <mergeCell ref="A44:D44"/>
    <mergeCell ref="A45:D45"/>
    <mergeCell ref="A46:H46"/>
    <mergeCell ref="D56:H56"/>
    <mergeCell ref="A56:C56"/>
    <mergeCell ref="G49:H49"/>
    <mergeCell ref="A50:B51"/>
    <mergeCell ref="F35:H35"/>
    <mergeCell ref="A37:B37"/>
    <mergeCell ref="A36:H36"/>
    <mergeCell ref="A35:B35"/>
    <mergeCell ref="L108:M108"/>
    <mergeCell ref="L107:M107"/>
    <mergeCell ref="L106:M106"/>
    <mergeCell ref="L105:M105"/>
    <mergeCell ref="C98:D98"/>
    <mergeCell ref="E98:F98"/>
    <mergeCell ref="G98:H98"/>
    <mergeCell ref="F86:H86"/>
    <mergeCell ref="A80:E80"/>
    <mergeCell ref="A104:H104"/>
    <mergeCell ref="E102:E103"/>
    <mergeCell ref="G102:H103"/>
    <mergeCell ref="A90:E90"/>
    <mergeCell ref="C99:D99"/>
    <mergeCell ref="E99:F99"/>
    <mergeCell ref="G99:H99"/>
    <mergeCell ref="C97:D97"/>
    <mergeCell ref="G97:H97"/>
    <mergeCell ref="A100:H100"/>
    <mergeCell ref="C94:D94"/>
    <mergeCell ref="F90:H90"/>
    <mergeCell ref="A101:H101"/>
    <mergeCell ref="G94:H94"/>
    <mergeCell ref="C95:D95"/>
    <mergeCell ref="C35:E35"/>
    <mergeCell ref="C37:H37"/>
    <mergeCell ref="A40:D40"/>
    <mergeCell ref="E40:H40"/>
    <mergeCell ref="F79:H79"/>
    <mergeCell ref="F84:H84"/>
    <mergeCell ref="L126:M126"/>
    <mergeCell ref="A122:H122"/>
    <mergeCell ref="A123:A124"/>
    <mergeCell ref="F87:H87"/>
    <mergeCell ref="F88:H88"/>
    <mergeCell ref="A89:E89"/>
    <mergeCell ref="F82:H82"/>
    <mergeCell ref="A87:E87"/>
    <mergeCell ref="A82:E82"/>
    <mergeCell ref="A79:E79"/>
    <mergeCell ref="F83:H83"/>
    <mergeCell ref="A84:E84"/>
    <mergeCell ref="C51:H51"/>
    <mergeCell ref="L109:M109"/>
    <mergeCell ref="L110:M110"/>
    <mergeCell ref="L111:M111"/>
    <mergeCell ref="A38:B38"/>
    <mergeCell ref="C38:H38"/>
    <mergeCell ref="B176:H176"/>
    <mergeCell ref="B177:H177"/>
    <mergeCell ref="A172:H172"/>
    <mergeCell ref="A155:B155"/>
    <mergeCell ref="A156:B156"/>
    <mergeCell ref="C102:C103"/>
    <mergeCell ref="B123:B124"/>
    <mergeCell ref="A151:H151"/>
    <mergeCell ref="A140:H140"/>
    <mergeCell ref="A133:B133"/>
    <mergeCell ref="A130:B130"/>
    <mergeCell ref="A108:B108"/>
    <mergeCell ref="A112:B112"/>
    <mergeCell ref="A116:B116"/>
    <mergeCell ref="A120:B120"/>
    <mergeCell ref="A135:B135"/>
    <mergeCell ref="A153:B153"/>
    <mergeCell ref="A154:B154"/>
    <mergeCell ref="A142:B142"/>
    <mergeCell ref="A109:B109"/>
    <mergeCell ref="A110:B110"/>
    <mergeCell ref="A111:B111"/>
    <mergeCell ref="A107:B107"/>
    <mergeCell ref="G127:H128"/>
    <mergeCell ref="A47:B47"/>
    <mergeCell ref="C47:H47"/>
    <mergeCell ref="A99:B99"/>
    <mergeCell ref="F81:H81"/>
    <mergeCell ref="A81:E81"/>
    <mergeCell ref="D102:D103"/>
    <mergeCell ref="A83:E83"/>
    <mergeCell ref="A105:B105"/>
    <mergeCell ref="A106:B106"/>
    <mergeCell ref="A85:E85"/>
    <mergeCell ref="F85:H85"/>
    <mergeCell ref="A86:E86"/>
    <mergeCell ref="A88:E88"/>
    <mergeCell ref="A65:B65"/>
    <mergeCell ref="C65:H65"/>
    <mergeCell ref="A67:B67"/>
    <mergeCell ref="C67:H67"/>
    <mergeCell ref="A60:C60"/>
    <mergeCell ref="D60:H60"/>
    <mergeCell ref="A61:C61"/>
    <mergeCell ref="D61:H61"/>
    <mergeCell ref="A64:C64"/>
    <mergeCell ref="D64:H64"/>
    <mergeCell ref="A62:C62"/>
    <mergeCell ref="L120:M120"/>
    <mergeCell ref="A121:B121"/>
    <mergeCell ref="L121:M121"/>
    <mergeCell ref="G105:H121"/>
    <mergeCell ref="A125:H125"/>
    <mergeCell ref="A134:B134"/>
    <mergeCell ref="L134:M134"/>
    <mergeCell ref="L116:M116"/>
    <mergeCell ref="A117:B117"/>
    <mergeCell ref="L117:M117"/>
    <mergeCell ref="A118:B118"/>
    <mergeCell ref="L118:M118"/>
    <mergeCell ref="A119:B119"/>
    <mergeCell ref="L119:M119"/>
    <mergeCell ref="L112:M112"/>
    <mergeCell ref="A113:B113"/>
    <mergeCell ref="L113:M113"/>
    <mergeCell ref="A114:B114"/>
    <mergeCell ref="L114:M114"/>
    <mergeCell ref="A115:B115"/>
    <mergeCell ref="L115:M115"/>
    <mergeCell ref="L133:M133"/>
    <mergeCell ref="L130:M130"/>
    <mergeCell ref="A131:B131"/>
    <mergeCell ref="A146:B146"/>
    <mergeCell ref="A147:B147"/>
    <mergeCell ref="A148:B148"/>
    <mergeCell ref="A149:B149"/>
    <mergeCell ref="L137:M137"/>
    <mergeCell ref="A138:B138"/>
    <mergeCell ref="L138:M138"/>
    <mergeCell ref="A139:B139"/>
    <mergeCell ref="L139:M139"/>
    <mergeCell ref="G130:H139"/>
    <mergeCell ref="L131:M131"/>
    <mergeCell ref="A132:B132"/>
    <mergeCell ref="L132:M132"/>
    <mergeCell ref="A145:B145"/>
    <mergeCell ref="L135:M135"/>
    <mergeCell ref="A136:B136"/>
    <mergeCell ref="L136:M136"/>
    <mergeCell ref="A137:B137"/>
    <mergeCell ref="A143:B143"/>
    <mergeCell ref="B182:H182"/>
    <mergeCell ref="A150:B150"/>
    <mergeCell ref="G141:H150"/>
    <mergeCell ref="A152:B152"/>
    <mergeCell ref="G152:H160"/>
    <mergeCell ref="A157:B157"/>
    <mergeCell ref="A161:H161"/>
    <mergeCell ref="A162:B162"/>
    <mergeCell ref="G162:H171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B180:H180"/>
    <mergeCell ref="B178:H178"/>
    <mergeCell ref="A158:B158"/>
    <mergeCell ref="A160:B160"/>
    <mergeCell ref="B173:H173"/>
    <mergeCell ref="B174:H174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5" max="16383" man="1"/>
    <brk id="243" max="16383" man="1"/>
    <brk id="28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A13" sqref="A13:J26"/>
    </sheetView>
  </sheetViews>
  <sheetFormatPr defaultRowHeight="14.4" x14ac:dyDescent="0.3"/>
  <cols>
    <col min="1" max="1" width="12.109375" customWidth="1"/>
    <col min="2" max="2" width="10.6640625" customWidth="1"/>
    <col min="3" max="3" width="12.44140625" customWidth="1"/>
    <col min="4" max="4" width="15" customWidth="1"/>
    <col min="7" max="7" width="9.44140625" customWidth="1"/>
    <col min="8" max="8" width="17.109375" customWidth="1"/>
    <col min="9" max="9" width="24.6640625" customWidth="1"/>
  </cols>
  <sheetData>
    <row r="1" spans="1:10" x14ac:dyDescent="0.3">
      <c r="A1" t="s">
        <v>172</v>
      </c>
      <c r="F1" s="55">
        <v>10</v>
      </c>
    </row>
    <row r="2" spans="1:10" x14ac:dyDescent="0.3">
      <c r="A2" t="s">
        <v>177</v>
      </c>
      <c r="G2" t="s">
        <v>173</v>
      </c>
      <c r="H2" t="s">
        <v>174</v>
      </c>
      <c r="I2" s="56" t="s">
        <v>175</v>
      </c>
      <c r="J2" t="s">
        <v>176</v>
      </c>
    </row>
    <row r="3" spans="1:10" x14ac:dyDescent="0.3">
      <c r="A3" t="s">
        <v>51</v>
      </c>
      <c r="C3" t="s">
        <v>178</v>
      </c>
      <c r="F3" s="57">
        <v>1</v>
      </c>
      <c r="G3">
        <v>10</v>
      </c>
      <c r="H3">
        <v>45</v>
      </c>
      <c r="I3">
        <f>F3*10</f>
        <v>10</v>
      </c>
      <c r="J3">
        <f>F3*45</f>
        <v>45</v>
      </c>
    </row>
    <row r="4" spans="1:10" x14ac:dyDescent="0.3">
      <c r="A4" t="s">
        <v>179</v>
      </c>
      <c r="F4" s="57">
        <v>10</v>
      </c>
      <c r="G4">
        <v>60</v>
      </c>
      <c r="H4">
        <v>75</v>
      </c>
      <c r="I4">
        <f>(F4/F1)*50</f>
        <v>50</v>
      </c>
      <c r="J4">
        <f>(F4/F1)*30</f>
        <v>30</v>
      </c>
    </row>
    <row r="5" spans="1:10" x14ac:dyDescent="0.3">
      <c r="A5" t="s">
        <v>180</v>
      </c>
      <c r="F5" s="57">
        <v>10</v>
      </c>
      <c r="G5" s="58">
        <v>65</v>
      </c>
      <c r="H5" s="58" t="s">
        <v>181</v>
      </c>
      <c r="I5">
        <f>(F5/F1)*5</f>
        <v>5</v>
      </c>
      <c r="J5">
        <f>(F5/F1)*5</f>
        <v>5</v>
      </c>
    </row>
    <row r="6" spans="1:10" x14ac:dyDescent="0.3">
      <c r="A6" t="s">
        <v>182</v>
      </c>
      <c r="F6" s="57">
        <v>10</v>
      </c>
      <c r="G6">
        <v>70</v>
      </c>
      <c r="H6">
        <v>85</v>
      </c>
      <c r="I6">
        <f>(F6/F1)*5</f>
        <v>5</v>
      </c>
      <c r="J6">
        <f>(F6/F1)*5</f>
        <v>5</v>
      </c>
    </row>
    <row r="7" spans="1:10" x14ac:dyDescent="0.3">
      <c r="A7" t="s">
        <v>183</v>
      </c>
      <c r="F7" s="57">
        <v>10</v>
      </c>
      <c r="G7">
        <v>75</v>
      </c>
      <c r="H7">
        <v>90</v>
      </c>
      <c r="I7">
        <f>(F7/F1)*5</f>
        <v>5</v>
      </c>
      <c r="J7">
        <f>(F7/F1)*5</f>
        <v>5</v>
      </c>
    </row>
    <row r="8" spans="1:10" x14ac:dyDescent="0.3">
      <c r="A8" t="s">
        <v>184</v>
      </c>
      <c r="F8" s="57">
        <v>10</v>
      </c>
      <c r="G8">
        <v>85</v>
      </c>
      <c r="H8">
        <v>95</v>
      </c>
      <c r="I8">
        <f>(F8/F1)*10</f>
        <v>10</v>
      </c>
      <c r="J8">
        <f>(F8/F1)*5</f>
        <v>5</v>
      </c>
    </row>
    <row r="9" spans="1:10" x14ac:dyDescent="0.3">
      <c r="A9" t="s">
        <v>185</v>
      </c>
      <c r="F9" s="57">
        <v>10</v>
      </c>
      <c r="G9">
        <v>90</v>
      </c>
      <c r="H9">
        <v>95</v>
      </c>
      <c r="I9">
        <f>(F9/F1)*5</f>
        <v>5</v>
      </c>
      <c r="J9">
        <f>(F9/F1)*0</f>
        <v>0</v>
      </c>
    </row>
    <row r="10" spans="1:10" x14ac:dyDescent="0.3">
      <c r="A10" t="s">
        <v>186</v>
      </c>
      <c r="F10" s="57">
        <v>10</v>
      </c>
      <c r="G10">
        <v>95</v>
      </c>
      <c r="H10">
        <v>100</v>
      </c>
      <c r="I10">
        <f>(F10/F1)*5</f>
        <v>5</v>
      </c>
      <c r="J10">
        <f>(F10/F1)*5</f>
        <v>5</v>
      </c>
    </row>
    <row r="11" spans="1:10" x14ac:dyDescent="0.3">
      <c r="I11">
        <f>SUM(I3:I10)</f>
        <v>95</v>
      </c>
      <c r="J11">
        <f>SUM(J3:J10)</f>
        <v>100</v>
      </c>
    </row>
    <row r="12" spans="1:10" ht="15" thickBot="1" x14ac:dyDescent="0.35"/>
    <row r="13" spans="1:10" ht="15.6" x14ac:dyDescent="0.3">
      <c r="A13" s="201" t="s">
        <v>145</v>
      </c>
      <c r="B13" s="202"/>
      <c r="C13" s="203" t="s">
        <v>187</v>
      </c>
      <c r="D13" s="204"/>
      <c r="E13" s="204"/>
      <c r="F13" s="204"/>
      <c r="G13" s="204"/>
      <c r="H13" s="205"/>
      <c r="I13" s="47" t="str">
        <f ca="1">IF(D26=100%,"All work Completed. Possession granted to the Building.",IF(D25=100%,"All work Completed, Waiting for OC",I14&amp;""&amp;I15&amp;""&amp;J14&amp;""&amp;J13&amp;" "&amp;J15))</f>
        <v>All work Completed, Waiting for OC</v>
      </c>
      <c r="J13" s="48" t="str">
        <f ca="1">(IF(C19=(D14+F14+H14),"",IF(C19&gt;0,", RCC upto "&amp;C19&amp;" Slab","")))&amp;(IF(C20=H14,"",IF(C20&gt;0,", Brickwork upto "&amp;C20&amp;" Floor","")))&amp;(IF(C21=H14,"",IF(C21&gt;0,", Internal Plaster upto "&amp;C21&amp;" Floor","")))&amp;(IF(C22=H14,"",IF(C22&gt;0,", External Plaster upto "&amp;C22&amp;" Floor","")))&amp;(IF(C23=H14,"",IF(C23&gt;0,", Flooring upto "&amp;C23&amp;" Floor","")))&amp;(IF(C24=H14,"",IF(C24&gt;0,", Electric work upto "&amp;C24&amp;" Floor","")))&amp;(IF(C25=H14,"",IF(C25&gt;0,", Painting upto "&amp;C25&amp;" Floor","")))&amp;(IF(C26=H14,"",IF(C26&gt;0,", Possession upto "&amp;C26&amp;" Floor","")))</f>
        <v/>
      </c>
    </row>
    <row r="14" spans="1:10" ht="15.6" x14ac:dyDescent="0.3">
      <c r="A14" s="17" t="s">
        <v>147</v>
      </c>
      <c r="B14" s="15">
        <v>0</v>
      </c>
      <c r="C14" s="53" t="s">
        <v>74</v>
      </c>
      <c r="D14" s="53">
        <v>1</v>
      </c>
      <c r="E14" s="53" t="s">
        <v>73</v>
      </c>
      <c r="F14" s="15">
        <v>0</v>
      </c>
      <c r="G14" s="54" t="s">
        <v>83</v>
      </c>
      <c r="H14" s="18">
        <f ca="1">--TRIM(RIGHT(SUBSTITUTE(LEFT(C13,_xlfn.AGGREGATE(16,6,FIND({0,1,2,3,4,5,6,7,8,9},C13,ROW(INDIRECT("1:"&amp;LEN(C13)))),1))," ",REPT(" ",LEN(C13))),LEN(C13)))</f>
        <v>10</v>
      </c>
      <c r="I14" s="49" t="str">
        <f ca="1">IF(D17=100%,"Excavation","")&amp;IF(D18=100%,", Plinth","")&amp;IF(D19=100%,", RCC Slab","")&amp;IF(D20=100%,", Brickwork","")&amp;IF(D21=100%,", Internal Plaster","")&amp;IF(D22=100%,", External Plaster","")&amp;IF(D23=100%,", Flooring","")&amp;IF(D24=100%,", Electric work","")&amp;IF(D25=100%,", Painting &amp; Wodden work","")</f>
        <v>Excavation, Plinth, RCC Slab, Brickwork, Internal Plaster, External Plaster, Flooring, Electric work, Painting &amp; Wodden work</v>
      </c>
      <c r="J14" s="50" t="str">
        <f ca="1">(IF(C17=0,"Work not yet Started.",IF(D17=25%,"Piling work in process",IF(D17=50%,"Excavation work in process",IF(D17=100%,"","0")))))&amp;(IF(C18=0%,"",IF(C18=J19,", Footing work is process",IF(C18=J20,", Footing work Completed",IF(C18=J21,", 1st Basement Completed",IF(C18=J22,", 1st &amp; 2nd Basement Completed",IF(C18=J23,", 1st to 3rd Basement Completed",IF(C18=J24,", 1st to 4th Basement Completed",IF(C18=J25,", Plinth work is process",IF(C18=J26,"","0"))))))))))</f>
        <v/>
      </c>
    </row>
    <row r="15" spans="1:10" ht="51.75" customHeight="1" x14ac:dyDescent="0.3">
      <c r="A15" s="108" t="s">
        <v>93</v>
      </c>
      <c r="B15" s="109"/>
      <c r="C15" s="110" t="str">
        <f ca="1">I13</f>
        <v>All work Completed, Waiting for OC</v>
      </c>
      <c r="D15" s="110"/>
      <c r="E15" s="110"/>
      <c r="F15" s="110"/>
      <c r="G15" s="110"/>
      <c r="H15" s="111"/>
      <c r="I15" s="49" t="str">
        <f ca="1">IF(I14&lt;&gt;""," Completed","")</f>
        <v xml:space="preserve"> Completed</v>
      </c>
      <c r="J15" s="50" t="str">
        <f ca="1">IF(J13&lt;&gt;"","Completed","")</f>
        <v/>
      </c>
    </row>
    <row r="16" spans="1:10" ht="15.6" x14ac:dyDescent="0.3">
      <c r="A16" s="206" t="s">
        <v>50</v>
      </c>
      <c r="B16" s="207"/>
      <c r="C16" s="51" t="s">
        <v>144</v>
      </c>
      <c r="D16" s="51" t="s">
        <v>86</v>
      </c>
      <c r="E16" s="207" t="s">
        <v>88</v>
      </c>
      <c r="F16" s="207"/>
      <c r="G16" s="207" t="s">
        <v>87</v>
      </c>
      <c r="H16" s="208"/>
      <c r="I16" s="14" t="s">
        <v>146</v>
      </c>
      <c r="J16" s="29">
        <f ca="1">H14*25%</f>
        <v>2.5</v>
      </c>
    </row>
    <row r="17" spans="1:10" ht="15.6" x14ac:dyDescent="0.3">
      <c r="A17" s="206" t="s">
        <v>134</v>
      </c>
      <c r="B17" s="207"/>
      <c r="C17" s="51">
        <f ca="1">J18</f>
        <v>10</v>
      </c>
      <c r="D17" s="20">
        <f ca="1">((100/H14)*C17)/100</f>
        <v>1</v>
      </c>
      <c r="E17" s="209">
        <f ca="1">(((C18/H14*10)+(50/(D14+F14+H14)*C19)+(5/(H14)*C20)+(5/(H14)*C21)+(5/H14*C22)+(10/H14*C23)+(5/H14*C24)+(5/H14*C25)+(5/H14*C26))/100)</f>
        <v>0.95</v>
      </c>
      <c r="F17" s="210"/>
      <c r="G17" s="209">
        <f ca="1">((((C17/H14)*20)+((C18/H14)*25)+(30/(H14+F14+D14)*C19)+(5/H14*C20)+(5/H14*C21)+(5/H14*C22)+(5/H14*C23)+(0/H14*C24)+(5/H14*C25)+(0/H14*C26))/100)</f>
        <v>1</v>
      </c>
      <c r="H17" s="215"/>
      <c r="I17" s="14" t="s">
        <v>104</v>
      </c>
      <c r="J17" s="30">
        <f ca="1">H14*50%</f>
        <v>5</v>
      </c>
    </row>
    <row r="18" spans="1:10" ht="15.6" x14ac:dyDescent="0.3">
      <c r="A18" s="206" t="s">
        <v>51</v>
      </c>
      <c r="B18" s="207"/>
      <c r="C18" s="51">
        <f ca="1">J26</f>
        <v>10</v>
      </c>
      <c r="D18" s="20">
        <f ca="1">((100/H14)*C18)/100</f>
        <v>1</v>
      </c>
      <c r="E18" s="211"/>
      <c r="F18" s="212"/>
      <c r="G18" s="211"/>
      <c r="H18" s="216"/>
      <c r="I18" s="14" t="s">
        <v>105</v>
      </c>
      <c r="J18" s="30">
        <f ca="1">H14</f>
        <v>10</v>
      </c>
    </row>
    <row r="19" spans="1:10" ht="15.6" x14ac:dyDescent="0.3">
      <c r="A19" s="206" t="s">
        <v>135</v>
      </c>
      <c r="B19" s="207"/>
      <c r="C19" s="51">
        <v>11</v>
      </c>
      <c r="D19" s="20">
        <f ca="1">((100/(D14+F14+H14))*C19)/100</f>
        <v>1.0000000000000002</v>
      </c>
      <c r="E19" s="211"/>
      <c r="F19" s="212"/>
      <c r="G19" s="211"/>
      <c r="H19" s="216"/>
      <c r="I19" s="14" t="s">
        <v>106</v>
      </c>
      <c r="J19" s="31">
        <f ca="1">(IF(B14&gt;1,(H14/(B14+2)),H14/4))</f>
        <v>2.5</v>
      </c>
    </row>
    <row r="20" spans="1:10" ht="15.6" x14ac:dyDescent="0.3">
      <c r="A20" s="206" t="s">
        <v>141</v>
      </c>
      <c r="B20" s="207" t="s">
        <v>136</v>
      </c>
      <c r="C20" s="51">
        <v>10</v>
      </c>
      <c r="D20" s="20">
        <f ca="1">((100/H14)*C20)/100</f>
        <v>1</v>
      </c>
      <c r="E20" s="211"/>
      <c r="F20" s="212"/>
      <c r="G20" s="211"/>
      <c r="H20" s="216"/>
      <c r="I20" s="14" t="s">
        <v>107</v>
      </c>
      <c r="J20" s="31">
        <f ca="1">(IF(B14&gt;1,(H14/(B14+2)+J19),H14/4+J19))</f>
        <v>5</v>
      </c>
    </row>
    <row r="21" spans="1:10" ht="15.6" x14ac:dyDescent="0.3">
      <c r="A21" s="206" t="s">
        <v>142</v>
      </c>
      <c r="B21" s="207" t="s">
        <v>136</v>
      </c>
      <c r="C21" s="51">
        <v>10</v>
      </c>
      <c r="D21" s="20">
        <f ca="1">((100/H14)*C21)/100</f>
        <v>1</v>
      </c>
      <c r="E21" s="211"/>
      <c r="F21" s="212"/>
      <c r="G21" s="211"/>
      <c r="H21" s="216"/>
      <c r="I21" s="14" t="s">
        <v>151</v>
      </c>
      <c r="J21" s="31">
        <f>(IF(B14&gt;1,(H14/(B14+2)+J20),0))</f>
        <v>0</v>
      </c>
    </row>
    <row r="22" spans="1:10" ht="15.6" x14ac:dyDescent="0.3">
      <c r="A22" s="206" t="s">
        <v>140</v>
      </c>
      <c r="B22" s="207" t="s">
        <v>138</v>
      </c>
      <c r="C22" s="51">
        <v>10</v>
      </c>
      <c r="D22" s="20">
        <f ca="1">((100/(H14))*C22)/100</f>
        <v>1</v>
      </c>
      <c r="E22" s="211"/>
      <c r="F22" s="212"/>
      <c r="G22" s="211"/>
      <c r="H22" s="216"/>
      <c r="I22" s="14" t="s">
        <v>148</v>
      </c>
      <c r="J22" s="31">
        <f>(IF(B14&gt;2,(H14/(B14+2)+J21),0))</f>
        <v>0</v>
      </c>
    </row>
    <row r="23" spans="1:10" ht="15.6" x14ac:dyDescent="0.3">
      <c r="A23" s="206" t="s">
        <v>137</v>
      </c>
      <c r="B23" s="207" t="s">
        <v>137</v>
      </c>
      <c r="C23" s="51">
        <v>10</v>
      </c>
      <c r="D23" s="20">
        <f ca="1">((100/H14)*C23)/100</f>
        <v>1</v>
      </c>
      <c r="E23" s="211"/>
      <c r="F23" s="212"/>
      <c r="G23" s="211"/>
      <c r="H23" s="216"/>
      <c r="I23" s="14" t="s">
        <v>149</v>
      </c>
      <c r="J23" s="32">
        <f>(IF(B14&gt;3,(H14/(B14+2)+J22),0))</f>
        <v>0</v>
      </c>
    </row>
    <row r="24" spans="1:10" ht="15.6" x14ac:dyDescent="0.3">
      <c r="A24" s="206" t="s">
        <v>188</v>
      </c>
      <c r="B24" s="207"/>
      <c r="C24" s="51">
        <v>10</v>
      </c>
      <c r="D24" s="20">
        <f ca="1">((100/H14)*C24)/100</f>
        <v>1</v>
      </c>
      <c r="E24" s="211"/>
      <c r="F24" s="212"/>
      <c r="G24" s="211"/>
      <c r="H24" s="216"/>
      <c r="I24" s="14" t="s">
        <v>150</v>
      </c>
      <c r="J24" s="31">
        <f>(IF(B14&gt;4,(H14/(B14+2)+J23),0))</f>
        <v>0</v>
      </c>
    </row>
    <row r="25" spans="1:10" ht="15.75" customHeight="1" x14ac:dyDescent="0.3">
      <c r="A25" s="206" t="s">
        <v>143</v>
      </c>
      <c r="B25" s="207"/>
      <c r="C25" s="51">
        <v>10</v>
      </c>
      <c r="D25" s="20">
        <f ca="1">((100/(H14))*C25)/100</f>
        <v>1</v>
      </c>
      <c r="E25" s="211"/>
      <c r="F25" s="212"/>
      <c r="G25" s="211"/>
      <c r="H25" s="216"/>
      <c r="I25" s="14" t="s">
        <v>152</v>
      </c>
      <c r="J25" s="31">
        <f ca="1">(IF(B14=1,(H14/(B14+3)+J20),IF(B14=0,(H14/4+J20),IF(B14&gt;1,0))))</f>
        <v>7.5</v>
      </c>
    </row>
    <row r="26" spans="1:10" ht="16.2" thickBot="1" x14ac:dyDescent="0.35">
      <c r="A26" s="218" t="s">
        <v>139</v>
      </c>
      <c r="B26" s="219"/>
      <c r="C26" s="52">
        <v>0</v>
      </c>
      <c r="D26" s="21">
        <f ca="1">((100/(H14))*C26)/100</f>
        <v>0</v>
      </c>
      <c r="E26" s="213"/>
      <c r="F26" s="214"/>
      <c r="G26" s="213"/>
      <c r="H26" s="217"/>
      <c r="I26" s="16" t="s">
        <v>108</v>
      </c>
      <c r="J26" s="33">
        <f ca="1">(IF(B14&gt;1.5,(H14/(B14+2)+J20+MAX(0,J21-J20)+MAX(0,J22-J21)+MAX(0,J23-J22)+MAX(0,J24-J23)+MAX(0,J25-J24)),IF(B14=1,(H14/(B14+3)+J25),IF(B14=0,H14/4+J25))))</f>
        <v>10</v>
      </c>
    </row>
  </sheetData>
  <mergeCells count="19">
    <mergeCell ref="A17:B17"/>
    <mergeCell ref="E17:F26"/>
    <mergeCell ref="G17:H26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3:B13"/>
    <mergeCell ref="C13:H13"/>
    <mergeCell ref="A15:B15"/>
    <mergeCell ref="C15:H15"/>
    <mergeCell ref="A16:B16"/>
    <mergeCell ref="E16:F16"/>
    <mergeCell ref="G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70" zoomScaleNormal="70" workbookViewId="0">
      <selection activeCell="H22" sqref="H22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20" t="s">
        <v>111</v>
      </c>
      <c r="C3" s="220"/>
      <c r="D3" s="220"/>
      <c r="E3" s="220"/>
      <c r="F3" s="220"/>
      <c r="G3" s="220"/>
      <c r="H3" s="220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4:L18"/>
  <sheetViews>
    <sheetView zoomScale="70" zoomScaleNormal="70" workbookViewId="0">
      <selection activeCell="J26" sqref="J26"/>
    </sheetView>
  </sheetViews>
  <sheetFormatPr defaultRowHeight="14.4" x14ac:dyDescent="0.3"/>
  <sheetData>
    <row r="4" spans="1:12" ht="15" thickBot="1" x14ac:dyDescent="0.35"/>
    <row r="5" spans="1:12" s="22" customFormat="1" ht="15.75" customHeight="1" x14ac:dyDescent="0.3">
      <c r="A5" s="221" t="s">
        <v>145</v>
      </c>
      <c r="B5" s="222"/>
      <c r="C5" s="222" t="e">
        <f>#REF!</f>
        <v>#REF!</v>
      </c>
      <c r="D5" s="222"/>
      <c r="E5" s="222"/>
      <c r="F5" s="222"/>
      <c r="G5" s="222"/>
      <c r="H5" s="222"/>
      <c r="I5" s="222"/>
      <c r="J5" s="223"/>
      <c r="K5" s="60" t="e">
        <f ca="1">IF(D18=100%,"All work Completed. Possession granted to the Building.",IF(D17=100%,"All work Completed, Waiting for OC",K6&amp;""&amp;K7&amp;""&amp;L6&amp;""&amp;L5&amp;" "&amp;L7))</f>
        <v>#REF!</v>
      </c>
      <c r="L5" s="48" t="e">
        <f ca="1">(IF(C11=(D6+G6+J6),"",IF(C11&gt;0,", RCC upto "&amp;C11&amp;" Slab","")))&amp;(IF(C12=J6,"",IF(C12&gt;0,", Brickwork upto "&amp;C12&amp;" Floor","")))&amp;(IF(C13=J6,"",IF(C13&gt;0,", Internal Plaster upto "&amp;C13&amp;" Floor","")))&amp;(IF(C14=J6,"",IF(C14&gt;0,", External Plaster upto "&amp;C14&amp;" Floor","")))&amp;(IF(C15=J6,"",IF(C15&gt;0,", Flooring upto "&amp;C15&amp;" Floor","")))&amp;(IF(C16=J6,"",IF(C16&gt;0,", Electric work upto "&amp;C16&amp;" Floor","")))&amp;(IF(C17=J6,"",IF(C17&gt;0,", Painting upto "&amp;C17&amp;" Floor","")))&amp;(IF(C18=J6,"",IF(C18&gt;0,", Possession upto "&amp;C18&amp;" Floor","")))</f>
        <v>#REF!</v>
      </c>
    </row>
    <row r="6" spans="1:12" s="22" customFormat="1" ht="15.6" x14ac:dyDescent="0.3">
      <c r="A6" s="62" t="s">
        <v>147</v>
      </c>
      <c r="B6" s="63">
        <v>0</v>
      </c>
      <c r="C6" s="63" t="s">
        <v>74</v>
      </c>
      <c r="D6" s="63">
        <v>1</v>
      </c>
      <c r="E6" s="63" t="s">
        <v>73</v>
      </c>
      <c r="F6" s="63"/>
      <c r="G6" s="63">
        <v>0</v>
      </c>
      <c r="H6" s="63" t="s">
        <v>83</v>
      </c>
      <c r="I6" s="63"/>
      <c r="J6" s="64" t="e">
        <f ca="1">--TRIM(RIGHT(SUBSTITUTE(LEFT(C5,_xlfn.AGGREGATE(16,6,FIND({0,1,2,3,4,5,6,7,8,9},C5,ROW(INDIRECT("1:"&amp;LEN(C5)))),1))," ",REPT(" ",LEN(C5))),LEN(C5)))</f>
        <v>#REF!</v>
      </c>
      <c r="K6" s="61" t="e">
        <f ca="1">IF(D9=100%,"Excavation","")&amp;IF(D10=100%,", Plinth","")&amp;IF(D11=100%,", RCC Slab","")&amp;IF(D12=100%,", Brickwork","")&amp;IF(D13=100%,", Internal Plaster","")&amp;IF(D14=100%,", External Plaster","")&amp;IF(D15=100%,", Flooring","")&amp;IF(D16=100%,", Electric work","")&amp;IF(D17=100%,", Painting &amp; Wodden work","")</f>
        <v>#REF!</v>
      </c>
      <c r="L6" s="50" t="e">
        <f ca="1">(IF(C9=0,"Work not yet Started.",IF(D9=25%,"Piling work in process",IF(D9=50%,"Excavation work in process",IF(D9=100%,"","0")))))&amp;(IF(C10=0%,"",IF(C10=L11,", Footing work is process",IF(C10=L12,", Footing work Completed",IF(C10=L13,", 1st Basement Completed",IF(C10=L14,", 1st &amp; 2nd Basement Completed",IF(C10=L15,", 1st to 3rd Basement Completed",IF(C10=L16,", 1st to 4th Basement Completed",IF(C10=L17,", Plinth work is process",IF(C10=L18,"","0"))))))))))</f>
        <v>#REF!</v>
      </c>
    </row>
    <row r="7" spans="1:12" s="22" customFormat="1" ht="36.75" customHeight="1" x14ac:dyDescent="0.3">
      <c r="A7" s="224" t="s">
        <v>93</v>
      </c>
      <c r="B7" s="225"/>
      <c r="C7" s="226" t="e">
        <f ca="1">K5</f>
        <v>#REF!</v>
      </c>
      <c r="D7" s="226"/>
      <c r="E7" s="226"/>
      <c r="F7" s="226"/>
      <c r="G7" s="226"/>
      <c r="H7" s="226"/>
      <c r="I7" s="226"/>
      <c r="J7" s="227"/>
      <c r="K7" s="61" t="e">
        <f ca="1">IF(K6&lt;&gt;""," Completed","")</f>
        <v>#REF!</v>
      </c>
      <c r="L7" s="50" t="e">
        <f ca="1">IF(L5&lt;&gt;"","Completed","")</f>
        <v>#REF!</v>
      </c>
    </row>
    <row r="8" spans="1:12" s="22" customFormat="1" ht="15.75" customHeight="1" x14ac:dyDescent="0.3">
      <c r="A8" s="206" t="s">
        <v>50</v>
      </c>
      <c r="B8" s="207"/>
      <c r="C8" s="51" t="s">
        <v>144</v>
      </c>
      <c r="D8" s="51" t="s">
        <v>86</v>
      </c>
      <c r="E8" s="59"/>
      <c r="F8" s="207" t="s">
        <v>88</v>
      </c>
      <c r="G8" s="207"/>
      <c r="H8" s="207" t="s">
        <v>87</v>
      </c>
      <c r="I8" s="207"/>
      <c r="J8" s="208"/>
      <c r="K8" s="14" t="s">
        <v>146</v>
      </c>
      <c r="L8" s="29" t="e">
        <f ca="1">J6*25%</f>
        <v>#REF!</v>
      </c>
    </row>
    <row r="9" spans="1:12" s="22" customFormat="1" ht="15.6" x14ac:dyDescent="0.3">
      <c r="A9" s="206" t="s">
        <v>134</v>
      </c>
      <c r="B9" s="207"/>
      <c r="C9" s="51" t="e">
        <f ca="1">L10</f>
        <v>#REF!</v>
      </c>
      <c r="D9" s="232" t="e">
        <f ca="1">((100/J6)*C9)/100</f>
        <v>#REF!</v>
      </c>
      <c r="E9" s="232"/>
      <c r="F9" s="228" t="e">
        <f ca="1">(((C10/J6*10)+(50/(D6+G6+J6)*C11)+(5/(J6)*C12)+(5/(J6)*C13)+(5/J6*C14)+(10/J6*C15)+(5/J6*C16)+(5/J6*C17)+(5/J6*C18))/100)</f>
        <v>#REF!</v>
      </c>
      <c r="G9" s="228"/>
      <c r="H9" s="228" t="e">
        <f ca="1">((((C9/J6)*20)+((C10/J6)*25)+(30/(J6+G6+D6)*C11)+(5/J6*C12)+(5/J6*C13)+(5/J6*C14)+(5/J6*C15)+(0/J6*C16)+(5/J6*C17)+(0/J6*C18))/100)</f>
        <v>#REF!</v>
      </c>
      <c r="I9" s="228"/>
      <c r="J9" s="229"/>
      <c r="K9" s="14" t="s">
        <v>104</v>
      </c>
      <c r="L9" s="30" t="e">
        <f ca="1">J6*50%</f>
        <v>#REF!</v>
      </c>
    </row>
    <row r="10" spans="1:12" s="22" customFormat="1" ht="15.6" x14ac:dyDescent="0.3">
      <c r="A10" s="206" t="s">
        <v>51</v>
      </c>
      <c r="B10" s="207"/>
      <c r="C10" s="51" t="e">
        <f ca="1">L18</f>
        <v>#REF!</v>
      </c>
      <c r="D10" s="232" t="e">
        <f ca="1">((100/J6)*C10)/100</f>
        <v>#REF!</v>
      </c>
      <c r="E10" s="232"/>
      <c r="F10" s="228"/>
      <c r="G10" s="228"/>
      <c r="H10" s="228"/>
      <c r="I10" s="228"/>
      <c r="J10" s="229"/>
      <c r="K10" s="14" t="s">
        <v>105</v>
      </c>
      <c r="L10" s="30" t="e">
        <f ca="1">J6</f>
        <v>#REF!</v>
      </c>
    </row>
    <row r="11" spans="1:12" s="22" customFormat="1" ht="15.75" customHeight="1" x14ac:dyDescent="0.3">
      <c r="A11" s="206" t="s">
        <v>135</v>
      </c>
      <c r="B11" s="207"/>
      <c r="C11" s="51">
        <v>0</v>
      </c>
      <c r="D11" s="232" t="e">
        <f ca="1">((100/(D6+G6+J6))*C11)/100</f>
        <v>#REF!</v>
      </c>
      <c r="E11" s="232"/>
      <c r="F11" s="228"/>
      <c r="G11" s="228"/>
      <c r="H11" s="228"/>
      <c r="I11" s="228"/>
      <c r="J11" s="229"/>
      <c r="K11" s="14" t="s">
        <v>106</v>
      </c>
      <c r="L11" s="31" t="e">
        <f ca="1">(IF(B6&gt;1,(J6/(B6+2)),J6/4))</f>
        <v>#REF!</v>
      </c>
    </row>
    <row r="12" spans="1:12" s="22" customFormat="1" ht="15.75" customHeight="1" x14ac:dyDescent="0.3">
      <c r="A12" s="206" t="s">
        <v>141</v>
      </c>
      <c r="B12" s="207" t="s">
        <v>136</v>
      </c>
      <c r="C12" s="51">
        <v>0</v>
      </c>
      <c r="D12" s="232" t="e">
        <f ca="1">((100/J6)*C12)/100</f>
        <v>#REF!</v>
      </c>
      <c r="E12" s="232"/>
      <c r="F12" s="228"/>
      <c r="G12" s="228"/>
      <c r="H12" s="228"/>
      <c r="I12" s="228"/>
      <c r="J12" s="229"/>
      <c r="K12" s="14" t="s">
        <v>107</v>
      </c>
      <c r="L12" s="31" t="e">
        <f ca="1">(IF(B6&gt;1,(J6/(B6+2)+L11),J6/4+L11))</f>
        <v>#REF!</v>
      </c>
    </row>
    <row r="13" spans="1:12" s="22" customFormat="1" ht="15.75" customHeight="1" x14ac:dyDescent="0.3">
      <c r="A13" s="206" t="s">
        <v>142</v>
      </c>
      <c r="B13" s="207" t="s">
        <v>136</v>
      </c>
      <c r="C13" s="51">
        <v>0</v>
      </c>
      <c r="D13" s="232" t="e">
        <f ca="1">((100/J6)*C13)/100</f>
        <v>#REF!</v>
      </c>
      <c r="E13" s="232"/>
      <c r="F13" s="228"/>
      <c r="G13" s="228"/>
      <c r="H13" s="228"/>
      <c r="I13" s="228"/>
      <c r="J13" s="229"/>
      <c r="K13" s="14" t="s">
        <v>151</v>
      </c>
      <c r="L13" s="31">
        <f>(IF(B6&gt;1,(J6/(B6+2)+L12),0))</f>
        <v>0</v>
      </c>
    </row>
    <row r="14" spans="1:12" s="22" customFormat="1" ht="15" customHeight="1" x14ac:dyDescent="0.3">
      <c r="A14" s="206" t="s">
        <v>140</v>
      </c>
      <c r="B14" s="207" t="s">
        <v>138</v>
      </c>
      <c r="C14" s="51">
        <v>0</v>
      </c>
      <c r="D14" s="232" t="e">
        <f ca="1">((100/(J6))*C14)/100</f>
        <v>#REF!</v>
      </c>
      <c r="E14" s="232"/>
      <c r="F14" s="228"/>
      <c r="G14" s="228"/>
      <c r="H14" s="228"/>
      <c r="I14" s="228"/>
      <c r="J14" s="229"/>
      <c r="K14" s="14" t="s">
        <v>148</v>
      </c>
      <c r="L14" s="31">
        <f>(IF(B6&gt;2,(J6/(B6+2)+L13),0))</f>
        <v>0</v>
      </c>
    </row>
    <row r="15" spans="1:12" s="22" customFormat="1" ht="15.75" customHeight="1" x14ac:dyDescent="0.3">
      <c r="A15" s="206" t="s">
        <v>137</v>
      </c>
      <c r="B15" s="207" t="s">
        <v>137</v>
      </c>
      <c r="C15" s="51">
        <v>0</v>
      </c>
      <c r="D15" s="232" t="e">
        <f ca="1">((100/J6)*C15)/100</f>
        <v>#REF!</v>
      </c>
      <c r="E15" s="232"/>
      <c r="F15" s="228"/>
      <c r="G15" s="228"/>
      <c r="H15" s="228"/>
      <c r="I15" s="228"/>
      <c r="J15" s="229"/>
      <c r="K15" s="14" t="s">
        <v>149</v>
      </c>
      <c r="L15" s="32">
        <f>(IF(B6&gt;3,(J6/(B6+2)+L14),0))</f>
        <v>0</v>
      </c>
    </row>
    <row r="16" spans="1:12" s="22" customFormat="1" ht="15.75" customHeight="1" x14ac:dyDescent="0.3">
      <c r="A16" s="206" t="s">
        <v>188</v>
      </c>
      <c r="B16" s="207"/>
      <c r="C16" s="51">
        <v>0</v>
      </c>
      <c r="D16" s="232" t="e">
        <f ca="1">((100/J6)*C16)/100</f>
        <v>#REF!</v>
      </c>
      <c r="E16" s="232"/>
      <c r="F16" s="228"/>
      <c r="G16" s="228"/>
      <c r="H16" s="228"/>
      <c r="I16" s="228"/>
      <c r="J16" s="229"/>
      <c r="K16" s="14" t="s">
        <v>150</v>
      </c>
      <c r="L16" s="31">
        <f>(IF(B6&gt;4,(J6/(B6+2)+L15),0))</f>
        <v>0</v>
      </c>
    </row>
    <row r="17" spans="1:12" s="22" customFormat="1" ht="15.75" customHeight="1" x14ac:dyDescent="0.3">
      <c r="A17" s="206" t="s">
        <v>143</v>
      </c>
      <c r="B17" s="207"/>
      <c r="C17" s="51">
        <v>0</v>
      </c>
      <c r="D17" s="232" t="e">
        <f ca="1">((100/(J6))*C17)/100</f>
        <v>#REF!</v>
      </c>
      <c r="E17" s="232"/>
      <c r="F17" s="228"/>
      <c r="G17" s="228"/>
      <c r="H17" s="228"/>
      <c r="I17" s="228"/>
      <c r="J17" s="229"/>
      <c r="K17" s="14" t="s">
        <v>152</v>
      </c>
      <c r="L17" s="31" t="e">
        <f ca="1">(IF(B6=1,(J6/(B6+3)+L12),IF(B6=0,(J6/4+L12),IF(B6&gt;1,0))))</f>
        <v>#REF!</v>
      </c>
    </row>
    <row r="18" spans="1:12" s="22" customFormat="1" ht="16.2" thickBot="1" x14ac:dyDescent="0.35">
      <c r="A18" s="234" t="s">
        <v>139</v>
      </c>
      <c r="B18" s="235"/>
      <c r="C18" s="52">
        <v>0</v>
      </c>
      <c r="D18" s="233" t="e">
        <f ca="1">((100/(J6))*C18)/100</f>
        <v>#REF!</v>
      </c>
      <c r="E18" s="233"/>
      <c r="F18" s="230"/>
      <c r="G18" s="230"/>
      <c r="H18" s="230"/>
      <c r="I18" s="230"/>
      <c r="J18" s="231"/>
      <c r="K18" s="16" t="s">
        <v>108</v>
      </c>
      <c r="L18" s="33" t="e">
        <f ca="1">(IF(B6&gt;1.5,(J6/(B6+2)+L12+MAX(0,L13-L12)+MAX(0,L14-L13)+MAX(0,L15-L14)+MAX(0,L16-L15)+MAX(0,L17-L16)),IF(B6=1,(J6/(B6+3)+L17),IF(B6=0,J6/4+L17))))</f>
        <v>#REF!</v>
      </c>
    </row>
  </sheetData>
  <mergeCells count="29">
    <mergeCell ref="A9:B9"/>
    <mergeCell ref="A17:B17"/>
    <mergeCell ref="A18:B18"/>
    <mergeCell ref="D13:E13"/>
    <mergeCell ref="D14:E14"/>
    <mergeCell ref="D15:E15"/>
    <mergeCell ref="H9:J18"/>
    <mergeCell ref="A10:B10"/>
    <mergeCell ref="A11:B11"/>
    <mergeCell ref="A12:B12"/>
    <mergeCell ref="A13:B13"/>
    <mergeCell ref="A14:B14"/>
    <mergeCell ref="A15:B15"/>
    <mergeCell ref="A16:B16"/>
    <mergeCell ref="D9:E9"/>
    <mergeCell ref="D10:E10"/>
    <mergeCell ref="D11:E11"/>
    <mergeCell ref="D12:E12"/>
    <mergeCell ref="D16:E16"/>
    <mergeCell ref="D17:E17"/>
    <mergeCell ref="D18:E18"/>
    <mergeCell ref="F9:G18"/>
    <mergeCell ref="A5:B5"/>
    <mergeCell ref="C5:J5"/>
    <mergeCell ref="A7:B7"/>
    <mergeCell ref="C7:J7"/>
    <mergeCell ref="A8:B8"/>
    <mergeCell ref="H8:J8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Sheet1</vt:lpstr>
      <vt:lpstr>valuation</vt:lpstr>
      <vt:lpstr>Old Format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2025-08-14T07:46:56Z</cp:lastPrinted>
  <dcterms:created xsi:type="dcterms:W3CDTF">2019-07-16T09:29:46Z</dcterms:created>
  <dcterms:modified xsi:type="dcterms:W3CDTF">2025-08-14T07:48:32Z</dcterms:modified>
</cp:coreProperties>
</file>