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D139" i="1" l="1"/>
  <c r="D138" i="1"/>
  <c r="D136" i="1"/>
  <c r="D135" i="1"/>
  <c r="D134" i="1"/>
  <c r="D133" i="1"/>
  <c r="D131" i="1"/>
  <c r="D130" i="1"/>
  <c r="D129" i="1"/>
  <c r="D128" i="1"/>
  <c r="D125" i="1"/>
  <c r="D124" i="1"/>
  <c r="D123" i="1"/>
  <c r="D122" i="1"/>
  <c r="D120" i="1"/>
  <c r="D119" i="1"/>
  <c r="D118" i="1"/>
  <c r="D117" i="1"/>
  <c r="D115" i="1"/>
  <c r="D114" i="1"/>
  <c r="D113" i="1"/>
  <c r="D112" i="1"/>
  <c r="D110" i="1"/>
  <c r="D109" i="1"/>
  <c r="D108" i="1"/>
  <c r="D107" i="1"/>
  <c r="L5" i="5" l="1"/>
  <c r="F6" i="5"/>
  <c r="G6" i="5" s="1"/>
  <c r="F7" i="5"/>
  <c r="G7" i="5" s="1"/>
  <c r="F8" i="5"/>
  <c r="G8" i="5" s="1"/>
  <c r="F5" i="5"/>
  <c r="G5" i="5" s="1"/>
  <c r="L9" i="5"/>
  <c r="F9" i="5"/>
  <c r="F10" i="5"/>
  <c r="F11" i="5"/>
  <c r="C96" i="1"/>
  <c r="E96" i="1"/>
  <c r="G122" i="1"/>
  <c r="F136" i="1"/>
  <c r="F135" i="1"/>
  <c r="F134" i="1"/>
  <c r="A134" i="1"/>
  <c r="A135" i="1" s="1"/>
  <c r="A136" i="1" s="1"/>
  <c r="G133" i="1"/>
  <c r="F133" i="1"/>
  <c r="L132" i="1"/>
  <c r="F124" i="1"/>
  <c r="F123" i="1"/>
  <c r="A123" i="1"/>
  <c r="A124" i="1" s="1"/>
  <c r="A125" i="1" s="1"/>
  <c r="F122" i="1"/>
  <c r="L121" i="1"/>
  <c r="F130" i="1"/>
  <c r="F129" i="1"/>
  <c r="G128" i="1"/>
  <c r="F115" i="1"/>
  <c r="F113" i="1"/>
  <c r="A113" i="1"/>
  <c r="A114" i="1" s="1"/>
  <c r="A115" i="1" s="1"/>
  <c r="G112" i="1"/>
  <c r="F112" i="1"/>
  <c r="L111" i="1"/>
  <c r="I109" i="1"/>
  <c r="F128" i="1" l="1"/>
  <c r="F131" i="1"/>
  <c r="F114" i="1"/>
  <c r="F125" i="1"/>
  <c r="L109" i="1"/>
  <c r="K109" i="1"/>
  <c r="I110" i="1"/>
  <c r="J109" i="1"/>
  <c r="I107" i="1"/>
  <c r="K107" i="1" s="1"/>
  <c r="J107" i="1"/>
  <c r="G107" i="1"/>
  <c r="A108" i="1"/>
  <c r="A109" i="1" s="1"/>
  <c r="G50" i="1"/>
  <c r="G51" i="1" s="1"/>
  <c r="E97" i="1" l="1"/>
  <c r="E98" i="1" s="1"/>
  <c r="C97" i="1"/>
  <c r="C98" i="1" s="1"/>
  <c r="F110" i="1"/>
  <c r="Z12" i="1"/>
  <c r="E43" i="1" l="1"/>
  <c r="E44" i="1" s="1"/>
  <c r="C15" i="1" l="1"/>
  <c r="E30" i="1" l="1"/>
  <c r="F107" i="1" l="1"/>
  <c r="F108" i="1"/>
  <c r="F109" i="1"/>
  <c r="F93" i="1" l="1"/>
  <c r="B144" i="1" l="1"/>
  <c r="F139" i="1" l="1"/>
  <c r="F138" i="1"/>
  <c r="F120" i="1"/>
  <c r="F119" i="1"/>
  <c r="F118" i="1"/>
  <c r="F117" i="1"/>
  <c r="G96" i="1" l="1"/>
  <c r="G97" i="1" s="1"/>
  <c r="G98" i="1" s="1"/>
  <c r="G11" i="5"/>
  <c r="G10" i="5"/>
  <c r="G9" i="5"/>
  <c r="G12" i="5"/>
  <c r="D164" i="1"/>
  <c r="G138" i="1"/>
  <c r="G117" i="1"/>
  <c r="D55" i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l="1"/>
  <c r="D64" i="1" s="1"/>
  <c r="D65" i="1" s="1"/>
  <c r="E70" i="1"/>
  <c r="J67" i="1"/>
  <c r="D71" i="1"/>
  <c r="I67" i="1" s="1"/>
  <c r="I68" i="1" s="1"/>
  <c r="F65" i="1" l="1"/>
  <c r="I66" i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<sst xmlns="http://schemas.openxmlformats.org/spreadsheetml/2006/main" count="402" uniqueCount="288">
  <si>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</si>
  <si>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</si>
  <si>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</si>
  <si>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</si>
  <si>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</si>
  <si>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</si>
  <si>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</si>
  <si>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</si>
  <si>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</si>
  <si>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</si>
  <si>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</si>
  <si>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</si>
  <si>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</si>
  <si>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</si>
  <si>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</si>
  <si>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</si>
  <si>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</si>
  <si>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</si>
  <si>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</si>
  <si>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</si>
  <si>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</si>
  <si>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</si>
  <si>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</si>
  <si>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</si>
  <si>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</si>
  <si>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</si>
  <si>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</si>
  <si>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</si>
  <si>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</si>
  <si>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</si>
  <si>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</si>
  <si>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</si>
  <si>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</si>
  <si>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</si>
  <si>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</si>
  <si>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</si>
  <si>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</si>
  <si>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</si>
  <si>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</si>
  <si>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</si>
  <si>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</si>
  <si>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</si>
  <si>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</si>
  <si>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</si>
  <si>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</si>
  <si>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</si>
  <si>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</si>
  <si>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</si>
  <si>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</si>
  <si>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</si>
  <si>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</si>
  <si>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</si>
  <si>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</si>
  <si>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</si>
  <si>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</si>
  <si>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</si>
  <si>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</si>
  <si>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</si>
  <si>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</si>
  <si>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</si>
  <si>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</si>
  <si>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</si>
  <si>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</si>
  <si>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</si>
  <si>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</si>
  <si>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</si>
  <si>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</si>
  <si>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</si>
  <si>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</si>
  <si>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</si>
  <si>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</si>
  <si>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</si>
  <si>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</si>
  <si>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</si>
  <si>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</si>
  <si>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</si>
  <si>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</si>
  <si>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</si>
  <si>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</si>
  <si>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</si>
  <si>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</si>
  <si>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</si>
  <si>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</si>
  <si>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</si>
  <si>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</si>
  <si>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</si>
  <si>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</si>
  <si>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</si>
  <si>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</si>
  <si>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</si>
  <si>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</si>
  <si>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</si>
  <si>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</si>
  <si>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</si>
  <si>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</si>
  <si>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</si>
  <si>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</si>
  <si>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</si>
  <si>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</si>
  <si>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</si>
  <si>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</si>
  <si>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</si>
  <si>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</si>
  <si>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</si>
  <si>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</si>
  <si>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</si>
  <si>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</si>
  <si>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</si>
  <si>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</si>
  <si>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</si>
  <si>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</si>
  <si>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</si>
  <si>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</si>
  <si>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</si>
  <si>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</si>
  <si>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</si>
  <si>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</si>
  <si>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</si>
  <si>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</si>
  <si>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</si>
  <si>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</si>
  <si>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</si>
  <si>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</si>
  <si>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</si>
  <si>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</si>
  <si>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</si>
  <si>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</si>
  <si>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</si>
  <si>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</si>
  <si>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</si>
  <si>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</si>
  <si>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</si>
  <si>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</si>
  <si>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</si>
  <si>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</si>
  <si>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</si>
  <si>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</si>
  <si>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</si>
  <si>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</si>
  <si>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</si>
  <si>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</si>
  <si>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</si>
  <si>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</si>
  <si>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</si>
  <si>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</si>
  <si>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</si>
  <si>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</si>
  <si>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</si>
  <si>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</si>
  <si>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</si>
  <si>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</si>
  <si>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</si>
  <si>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</si>
  <si>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</si>
  <si>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</si>
  <si>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</si>
  <si>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</si>
  <si>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</si>
  <si>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</si>
  <si>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</si>
  <si>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</si>
  <si>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</si>
  <si>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</si>
  <si>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</si>
  <si>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</si>
  <si>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</si>
  <si>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</si>
  <si>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</si>
  <si>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</si>
  <si>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</si>
  <si>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</si>
  <si>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</si>
  <si>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</si>
  <si>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</si>
  <si>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</si>
  <si>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</si>
  <si>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</si>
  <si>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</si>
  <si>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</si>
  <si>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</si>
  <si>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</si>
  <si>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</si>
  <si>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</si>
  <si>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</si>
  <si>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</si>
  <si>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</si>
  <si>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</si>
  <si>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</si>
  <si>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</si>
  <si>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</si>
  <si>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</si>
  <si>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</si>
  <si>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</si>
  <si>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</si>
  <si>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</si>
  <si>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</si>
  <si>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</si>
  <si>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</si>
  <si>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</si>
  <si>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</si>
  <si>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</si>
  <si>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</si>
  <si>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</si>
  <si>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</si>
  <si>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</si>
  <si>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</si>
  <si>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</si>
  <si>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</si>
  <si>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</si>
  <si>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</si>
  <si>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</si>
  <si>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</si>
  <si>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</si>
  <si>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</si>
  <si>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</si>
  <si>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</si>
  <si>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</si>
  <si>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</si>
  <si>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</si>
  <si>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</si>
  <si>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</si>
  <si>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</si>
  <si>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</si>
  <si>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</si>
  <si>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</si>
  <si>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</si>
  <si>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</si>
  <si>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Satyam Altura</t>
  </si>
  <si>
    <t>Mr. Mukesh 9152899899</t>
  </si>
  <si>
    <t>P51700047665</t>
  </si>
  <si>
    <t>Plot No</t>
  </si>
  <si>
    <t>13, Sector 16A</t>
  </si>
  <si>
    <t>Sanpada</t>
  </si>
  <si>
    <t>https://goo.gl/maps/KNJ2xPZNuZEdwvnF7</t>
  </si>
  <si>
    <t>Sanpada West</t>
  </si>
  <si>
    <t>Santha Gyanaswar Road</t>
  </si>
  <si>
    <t>Progressive Highness Building</t>
  </si>
  <si>
    <t>Sri Subramania Mandir</t>
  </si>
  <si>
    <t>OES Hostel</t>
  </si>
  <si>
    <t>Railway Carshed</t>
  </si>
  <si>
    <t>15.00 MTR Wide Road</t>
  </si>
  <si>
    <t>Plot No.14</t>
  </si>
  <si>
    <t>Plot No.12 A</t>
  </si>
  <si>
    <t>Navi Mumbai Municipal Corporation</t>
  </si>
  <si>
    <t>NMMC/TPO/BP/17008/2023</t>
  </si>
  <si>
    <t xml:space="preserve">As per RERA - 31/12/2026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</si>
  <si>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</si>
  <si>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Gr + P1 to P7 + 8th to 27th Floor</t>
  </si>
  <si>
    <t>8th to 10th Floor For Residenial</t>
  </si>
  <si>
    <t>3BHK</t>
  </si>
  <si>
    <t>2BHK</t>
  </si>
  <si>
    <t>T</t>
  </si>
  <si>
    <t>27th Floor ( Part Terrace Area )</t>
  </si>
  <si>
    <t>Terrace Area</t>
  </si>
  <si>
    <t xml:space="preserve">Details of Residential in Building   </t>
  </si>
  <si>
    <t>Flats</t>
  </si>
  <si>
    <t>Flats - 74</t>
  </si>
  <si>
    <t xml:space="preserve">We considered Gross carpet area = Net carpet + Enclose balcony 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</si>
  <si>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</si>
  <si>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19.058547,73.005808</t>
  </si>
  <si>
    <t>Santha Gyanaswar Road/ 
Progressive Highness Building</t>
  </si>
  <si>
    <t>Open Plot/ Railway Carshed</t>
  </si>
  <si>
    <t>road</t>
  </si>
  <si>
    <t>tdr</t>
  </si>
  <si>
    <t>ancilary</t>
  </si>
  <si>
    <t xml:space="preserve">premium </t>
  </si>
  <si>
    <t>1.9 KM from Sanpada Railway Station</t>
  </si>
  <si>
    <t>NRV/A/17008</t>
  </si>
  <si>
    <t xml:space="preserve">Ground Floor For Entrance Lobby, Meter Room, Drivers Room,
LV Room, OWC, Substation Room &amp; Parking </t>
  </si>
  <si>
    <t>1st to 6th Podium Floor For Parking</t>
  </si>
  <si>
    <t>7th Podium Floor For Swimming Pool, Lobby, Society Office, Fitness Center,
Creche, Refuge Area, Letter Box Room &amp; Parking</t>
  </si>
  <si>
    <t>11th Floor ( Part Refuge Area )</t>
  </si>
  <si>
    <t>12th to 15th, 17th to 20th, 22nd &amp; 24th  Floor</t>
  </si>
  <si>
    <t>25th Floor</t>
  </si>
  <si>
    <t>23rd Recreational Floor For Amenities</t>
  </si>
  <si>
    <t>26th Floor ( Part Refuge Area )</t>
  </si>
  <si>
    <t>16th &amp; 21st Floor ( Part Refuge Area )</t>
  </si>
  <si>
    <t>Swimming Pool, Fitness Center, Creche, Yoga Zone, Multipurpose Hall with Store &amp; Pantry Area, Board Games, Dry Care Area, Tennis Court, Meditation Area, Reading Corner</t>
  </si>
  <si>
    <t>Construction work is in process at the time of Visit.</t>
  </si>
  <si>
    <t>Floor Rise Rate from 9th Floor</t>
  </si>
  <si>
    <t>50/-</t>
  </si>
  <si>
    <t>Smith pal Verbal</t>
  </si>
  <si>
    <t>Recommended Rates / Other charges of the Property have been revised on 24/06/2024.</t>
  </si>
  <si>
    <t>Satyam Lifescapes LLP</t>
  </si>
  <si>
    <t>S</t>
  </si>
  <si>
    <t>Tushar Mohite</t>
  </si>
  <si>
    <t>Mr. Jayesh 9029351521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</si>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</sst>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5" xfId="0" applyFont="1" applyBorder="1"/>
    <xf numFmtId="0" fontId="25" fillId="0" borderId="4" xfId="0" applyFont="1" applyBorder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4" fontId="15" fillId="0" borderId="0" xfId="1" applyNumberFormat="1" applyFo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4" fillId="2" borderId="12" xfId="0" applyFont="1" applyFill="1" applyBorder="1"/>
    <xf numFmtId="0" fontId="25" fillId="0" borderId="8" xfId="0" applyFont="1" applyBorder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18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right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0" xfId="10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microsoft.com/office/2007/relationships/hdphoto" Target="../media/hdphoto1.wdp"/><Relationship Id="rId21" Type="http://schemas.openxmlformats.org/officeDocument/2006/relationships/image" Target="../media/image19.jpe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24" Type="http://schemas.openxmlformats.org/officeDocument/2006/relationships/image" Target="../media/image22.jpeg"/><Relationship Id="rId5" Type="http://schemas.microsoft.com/office/2007/relationships/hdphoto" Target="../media/hdphoto2.wdp"/><Relationship Id="rId15" Type="http://schemas.openxmlformats.org/officeDocument/2006/relationships/image" Target="../media/image13.png"/><Relationship Id="rId23" Type="http://schemas.openxmlformats.org/officeDocument/2006/relationships/image" Target="../media/image21.jpeg"/><Relationship Id="rId10" Type="http://schemas.openxmlformats.org/officeDocument/2006/relationships/image" Target="../media/image8.png"/><Relationship Id="rId19" Type="http://schemas.openxmlformats.org/officeDocument/2006/relationships/image" Target="../media/image17.jpe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465552</xdr:colOff>
      <xdr:row>265</xdr:row>
      <xdr:rowOff>183880</xdr:rowOff>
    </xdr:from>
    <xdr:to>
      <xdr:col>7</xdr:col>
      <xdr:colOff>193847</xdr:colOff>
      <xdr:row>284</xdr:row>
      <xdr:rowOff>192476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552" y="53168857"/>
          <a:ext cx="5400000" cy="379262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463396</xdr:colOff>
      <xdr:row>226</xdr:row>
      <xdr:rowOff>156623</xdr:rowOff>
    </xdr:from>
    <xdr:to>
      <xdr:col>7</xdr:col>
      <xdr:colOff>191691</xdr:colOff>
      <xdr:row>243</xdr:row>
      <xdr:rowOff>175308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3396" y="44976078"/>
          <a:ext cx="5400000" cy="340439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464534</xdr:colOff>
      <xdr:row>207</xdr:row>
      <xdr:rowOff>103905</xdr:rowOff>
    </xdr:from>
    <xdr:to>
      <xdr:col>7</xdr:col>
      <xdr:colOff>192829</xdr:colOff>
      <xdr:row>226</xdr:row>
      <xdr:rowOff>4630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4534" y="41139337"/>
          <a:ext cx="5400000" cy="367982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353495</xdr:colOff>
      <xdr:row>274</xdr:row>
      <xdr:rowOff>191520</xdr:rowOff>
    </xdr:from>
    <xdr:to>
      <xdr:col>5</xdr:col>
      <xdr:colOff>6114</xdr:colOff>
      <xdr:row>283</xdr:row>
      <xdr:rowOff>101870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2772845" y="56379495"/>
          <a:ext cx="1386169" cy="1710575"/>
          <a:chOff x="-1283164" y="3340474"/>
          <a:chExt cx="1567647" cy="1898506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CxnSpPr/>
        </xdr:nvCxnSpPr>
        <xdr:spPr>
          <a:xfrm flipH="1">
            <a:off x="-1283164" y="3340474"/>
            <a:ext cx="561547" cy="1380733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 flipH="1" flipV="1">
            <a:off x="-1283164" y="4708880"/>
            <a:ext cx="1345368" cy="505443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 flipH="1">
            <a:off x="85602" y="3673327"/>
            <a:ext cx="187183" cy="1565653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CxnSpPr/>
        </xdr:nvCxnSpPr>
        <xdr:spPr>
          <a:xfrm flipH="1" flipV="1">
            <a:off x="-756715" y="3340474"/>
            <a:ext cx="1041198" cy="369839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460457</xdr:colOff>
      <xdr:row>249</xdr:row>
      <xdr:rowOff>92703</xdr:rowOff>
    </xdr:from>
    <xdr:to>
      <xdr:col>7</xdr:col>
      <xdr:colOff>188752</xdr:colOff>
      <xdr:row>265</xdr:row>
      <xdr:rowOff>3769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0457" y="49891135"/>
          <a:ext cx="5400000" cy="309761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377825</xdr:colOff>
      <xdr:row>164</xdr:row>
      <xdr:rowOff>120650</xdr:rowOff>
    </xdr:from>
    <xdr:to>
      <xdr:col>15</xdr:col>
      <xdr:colOff>205473</xdr:colOff>
      <xdr:row>198</xdr:row>
      <xdr:rowOff>175570</xdr:rowOff>
    </xdr:to>
    <xdr:grpSp>
      <xdr:nvGrpSpPr>
        <xdr:cNvPr id="10" name="Group 9"/>
        <xdr:cNvGrpSpPr/>
      </xdr:nvGrpSpPr>
      <xdr:grpSpPr>
        <a:xfrm>
          <a:off x="6788150" y="34315400"/>
          <a:ext cx="6152248" cy="6846245"/>
          <a:chOff x="139700" y="33851850"/>
          <a:chExt cx="6422123" cy="6741470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8110" y="38793320"/>
            <a:ext cx="239777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5024" y="338518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312" y="338518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2668" y="338518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8496" y="3879332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6831" y="3666458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1398" y="3666841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697" y="3666458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38793320"/>
            <a:ext cx="239777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264" y="3666458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57151</xdr:colOff>
      <xdr:row>164</xdr:row>
      <xdr:rowOff>57149</xdr:rowOff>
    </xdr:from>
    <xdr:to>
      <xdr:col>7</xdr:col>
      <xdr:colOff>619125</xdr:colOff>
      <xdr:row>203</xdr:row>
      <xdr:rowOff>183562</xdr:rowOff>
    </xdr:to>
    <xdr:grpSp>
      <xdr:nvGrpSpPr>
        <xdr:cNvPr id="11" name="Group 10"/>
        <xdr:cNvGrpSpPr/>
      </xdr:nvGrpSpPr>
      <xdr:grpSpPr>
        <a:xfrm>
          <a:off x="57151" y="34251899"/>
          <a:ext cx="6267449" cy="7917863"/>
          <a:chOff x="57151" y="34251899"/>
          <a:chExt cx="6267449" cy="7917863"/>
        </a:xfrm>
      </xdr:grpSpPr>
      <xdr:pic>
        <xdr:nvPicPr>
          <xdr:cNvPr id="24" name="Picture 23" descr="https://vsjcllp.vsjadon.com/upload/insp-242965-1525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8333"/>
          <a:stretch/>
        </xdr:blipFill>
        <xdr:spPr bwMode="auto">
          <a:xfrm>
            <a:off x="4648201" y="40652700"/>
            <a:ext cx="1676399" cy="15049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296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151" y="40639582"/>
            <a:ext cx="2038350" cy="15301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296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05275" y="38319075"/>
            <a:ext cx="1676400" cy="22375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296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14350" y="38309550"/>
            <a:ext cx="1676400" cy="22375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2965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05050" y="38300025"/>
            <a:ext cx="1676400" cy="22375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2965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19476" y="40647938"/>
            <a:ext cx="1136612" cy="15170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2965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62176" y="40628888"/>
            <a:ext cx="1136612" cy="15170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2965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34261424"/>
            <a:ext cx="3004387" cy="39433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2965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075" y="34251899"/>
            <a:ext cx="3004387" cy="39433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0</xdr:rowOff>
    </xdr:from>
    <xdr:to>
      <xdr:col>6</xdr:col>
      <xdr:colOff>4567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7" y="28687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571501</xdr:colOff>
      <xdr:row>14</xdr:row>
      <xdr:rowOff>156882</xdr:rowOff>
    </xdr:from>
    <xdr:to>
      <xdr:col>15</xdr:col>
      <xdr:colOff>464009</xdr:colOff>
      <xdr:row>33</xdr:row>
      <xdr:rowOff>137382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2766" y="2835088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974912</xdr:colOff>
      <xdr:row>34</xdr:row>
      <xdr:rowOff>44824</xdr:rowOff>
    </xdr:from>
    <xdr:to>
      <xdr:col>4</xdr:col>
      <xdr:colOff>230347</xdr:colOff>
      <xdr:row>66</xdr:row>
      <xdr:rowOff>158348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7618" y="6533030"/>
          <a:ext cx="3961905" cy="6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NJ2xPZNuZEdwvnF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48"/>
  <sheetViews>
    <sheetView tabSelected="1" view="pageBreakPreview" zoomScaleNormal="100" zoomScaleSheetLayoutView="100" zoomScalePageLayoutView="85" workbookViewId="0">
      <selection activeCell="I14" sqref="I14:P14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85546875" style="38" customWidth="1"/>
    <col min="4" max="4" width="14.140625" style="38" customWidth="1"/>
    <col min="5" max="6" width="11.85546875" style="38" customWidth="1"/>
    <col min="7" max="7" width="11.42578125" style="38" customWidth="1"/>
    <col min="8" max="8" width="10.5703125" style="38" customWidth="1"/>
    <col min="9" max="9" width="17.42578125" style="19" customWidth="1"/>
    <col min="10" max="10" width="11.42578125" style="19" customWidth="1"/>
    <col min="11" max="11" width="21.140625" style="19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85546875" style="19" customWidth="1"/>
    <col min="17" max="247" width="9.140625" style="19"/>
    <col min="248" max="248" width="8.85546875" style="19" customWidth="1"/>
    <col min="249" max="249" width="9.85546875" style="19" customWidth="1"/>
    <col min="250" max="250" width="14.42578125" style="19" customWidth="1"/>
    <col min="251" max="251" width="7.140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85546875" style="19" customWidth="1"/>
    <col min="505" max="505" width="9.85546875" style="19" customWidth="1"/>
    <col min="506" max="506" width="14.42578125" style="19" customWidth="1"/>
    <col min="507" max="507" width="7.140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85546875" style="19" customWidth="1"/>
    <col min="761" max="761" width="9.85546875" style="19" customWidth="1"/>
    <col min="762" max="762" width="14.42578125" style="19" customWidth="1"/>
    <col min="763" max="763" width="7.140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85546875" style="19" customWidth="1"/>
    <col min="1017" max="1017" width="9.85546875" style="19" customWidth="1"/>
    <col min="1018" max="1018" width="14.42578125" style="19" customWidth="1"/>
    <col min="1019" max="1019" width="7.140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85546875" style="19" customWidth="1"/>
    <col min="1273" max="1273" width="9.85546875" style="19" customWidth="1"/>
    <col min="1274" max="1274" width="14.42578125" style="19" customWidth="1"/>
    <col min="1275" max="1275" width="7.140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85546875" style="19" customWidth="1"/>
    <col min="1529" max="1529" width="9.85546875" style="19" customWidth="1"/>
    <col min="1530" max="1530" width="14.42578125" style="19" customWidth="1"/>
    <col min="1531" max="1531" width="7.140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85546875" style="19" customWidth="1"/>
    <col min="1785" max="1785" width="9.85546875" style="19" customWidth="1"/>
    <col min="1786" max="1786" width="14.42578125" style="19" customWidth="1"/>
    <col min="1787" max="1787" width="7.140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85546875" style="19" customWidth="1"/>
    <col min="2041" max="2041" width="9.85546875" style="19" customWidth="1"/>
    <col min="2042" max="2042" width="14.42578125" style="19" customWidth="1"/>
    <col min="2043" max="2043" width="7.140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85546875" style="19" customWidth="1"/>
    <col min="2297" max="2297" width="9.85546875" style="19" customWidth="1"/>
    <col min="2298" max="2298" width="14.42578125" style="19" customWidth="1"/>
    <col min="2299" max="2299" width="7.140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85546875" style="19" customWidth="1"/>
    <col min="2553" max="2553" width="9.85546875" style="19" customWidth="1"/>
    <col min="2554" max="2554" width="14.42578125" style="19" customWidth="1"/>
    <col min="2555" max="2555" width="7.140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85546875" style="19" customWidth="1"/>
    <col min="2809" max="2809" width="9.85546875" style="19" customWidth="1"/>
    <col min="2810" max="2810" width="14.42578125" style="19" customWidth="1"/>
    <col min="2811" max="2811" width="7.140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85546875" style="19" customWidth="1"/>
    <col min="3065" max="3065" width="9.85546875" style="19" customWidth="1"/>
    <col min="3066" max="3066" width="14.42578125" style="19" customWidth="1"/>
    <col min="3067" max="3067" width="7.140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85546875" style="19" customWidth="1"/>
    <col min="3321" max="3321" width="9.85546875" style="19" customWidth="1"/>
    <col min="3322" max="3322" width="14.42578125" style="19" customWidth="1"/>
    <col min="3323" max="3323" width="7.140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85546875" style="19" customWidth="1"/>
    <col min="3577" max="3577" width="9.85546875" style="19" customWidth="1"/>
    <col min="3578" max="3578" width="14.42578125" style="19" customWidth="1"/>
    <col min="3579" max="3579" width="7.140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85546875" style="19" customWidth="1"/>
    <col min="3833" max="3833" width="9.85546875" style="19" customWidth="1"/>
    <col min="3834" max="3834" width="14.42578125" style="19" customWidth="1"/>
    <col min="3835" max="3835" width="7.140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85546875" style="19" customWidth="1"/>
    <col min="4089" max="4089" width="9.85546875" style="19" customWidth="1"/>
    <col min="4090" max="4090" width="14.42578125" style="19" customWidth="1"/>
    <col min="4091" max="4091" width="7.140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85546875" style="19" customWidth="1"/>
    <col min="4345" max="4345" width="9.85546875" style="19" customWidth="1"/>
    <col min="4346" max="4346" width="14.42578125" style="19" customWidth="1"/>
    <col min="4347" max="4347" width="7.140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85546875" style="19" customWidth="1"/>
    <col min="4601" max="4601" width="9.85546875" style="19" customWidth="1"/>
    <col min="4602" max="4602" width="14.42578125" style="19" customWidth="1"/>
    <col min="4603" max="4603" width="7.140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85546875" style="19" customWidth="1"/>
    <col min="4857" max="4857" width="9.85546875" style="19" customWidth="1"/>
    <col min="4858" max="4858" width="14.42578125" style="19" customWidth="1"/>
    <col min="4859" max="4859" width="7.140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85546875" style="19" customWidth="1"/>
    <col min="5113" max="5113" width="9.85546875" style="19" customWidth="1"/>
    <col min="5114" max="5114" width="14.42578125" style="19" customWidth="1"/>
    <col min="5115" max="5115" width="7.140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85546875" style="19" customWidth="1"/>
    <col min="5369" max="5369" width="9.85546875" style="19" customWidth="1"/>
    <col min="5370" max="5370" width="14.42578125" style="19" customWidth="1"/>
    <col min="5371" max="5371" width="7.140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85546875" style="19" customWidth="1"/>
    <col min="5625" max="5625" width="9.85546875" style="19" customWidth="1"/>
    <col min="5626" max="5626" width="14.42578125" style="19" customWidth="1"/>
    <col min="5627" max="5627" width="7.140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85546875" style="19" customWidth="1"/>
    <col min="5881" max="5881" width="9.85546875" style="19" customWidth="1"/>
    <col min="5882" max="5882" width="14.42578125" style="19" customWidth="1"/>
    <col min="5883" max="5883" width="7.140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85546875" style="19" customWidth="1"/>
    <col min="6137" max="6137" width="9.85546875" style="19" customWidth="1"/>
    <col min="6138" max="6138" width="14.42578125" style="19" customWidth="1"/>
    <col min="6139" max="6139" width="7.140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85546875" style="19" customWidth="1"/>
    <col min="6393" max="6393" width="9.85546875" style="19" customWidth="1"/>
    <col min="6394" max="6394" width="14.42578125" style="19" customWidth="1"/>
    <col min="6395" max="6395" width="7.140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85546875" style="19" customWidth="1"/>
    <col min="6649" max="6649" width="9.85546875" style="19" customWidth="1"/>
    <col min="6650" max="6650" width="14.42578125" style="19" customWidth="1"/>
    <col min="6651" max="6651" width="7.140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85546875" style="19" customWidth="1"/>
    <col min="6905" max="6905" width="9.85546875" style="19" customWidth="1"/>
    <col min="6906" max="6906" width="14.42578125" style="19" customWidth="1"/>
    <col min="6907" max="6907" width="7.140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85546875" style="19" customWidth="1"/>
    <col min="7161" max="7161" width="9.85546875" style="19" customWidth="1"/>
    <col min="7162" max="7162" width="14.42578125" style="19" customWidth="1"/>
    <col min="7163" max="7163" width="7.140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85546875" style="19" customWidth="1"/>
    <col min="7417" max="7417" width="9.85546875" style="19" customWidth="1"/>
    <col min="7418" max="7418" width="14.42578125" style="19" customWidth="1"/>
    <col min="7419" max="7419" width="7.140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85546875" style="19" customWidth="1"/>
    <col min="7673" max="7673" width="9.85546875" style="19" customWidth="1"/>
    <col min="7674" max="7674" width="14.42578125" style="19" customWidth="1"/>
    <col min="7675" max="7675" width="7.140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85546875" style="19" customWidth="1"/>
    <col min="7929" max="7929" width="9.85546875" style="19" customWidth="1"/>
    <col min="7930" max="7930" width="14.42578125" style="19" customWidth="1"/>
    <col min="7931" max="7931" width="7.140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85546875" style="19" customWidth="1"/>
    <col min="8185" max="8185" width="9.85546875" style="19" customWidth="1"/>
    <col min="8186" max="8186" width="14.42578125" style="19" customWidth="1"/>
    <col min="8187" max="8187" width="7.140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85546875" style="19" customWidth="1"/>
    <col min="8441" max="8441" width="9.85546875" style="19" customWidth="1"/>
    <col min="8442" max="8442" width="14.42578125" style="19" customWidth="1"/>
    <col min="8443" max="8443" width="7.140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85546875" style="19" customWidth="1"/>
    <col min="8697" max="8697" width="9.85546875" style="19" customWidth="1"/>
    <col min="8698" max="8698" width="14.42578125" style="19" customWidth="1"/>
    <col min="8699" max="8699" width="7.140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85546875" style="19" customWidth="1"/>
    <col min="8953" max="8953" width="9.85546875" style="19" customWidth="1"/>
    <col min="8954" max="8954" width="14.42578125" style="19" customWidth="1"/>
    <col min="8955" max="8955" width="7.140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85546875" style="19" customWidth="1"/>
    <col min="9209" max="9209" width="9.85546875" style="19" customWidth="1"/>
    <col min="9210" max="9210" width="14.42578125" style="19" customWidth="1"/>
    <col min="9211" max="9211" width="7.140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85546875" style="19" customWidth="1"/>
    <col min="9465" max="9465" width="9.85546875" style="19" customWidth="1"/>
    <col min="9466" max="9466" width="14.42578125" style="19" customWidth="1"/>
    <col min="9467" max="9467" width="7.140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85546875" style="19" customWidth="1"/>
    <col min="9721" max="9721" width="9.85546875" style="19" customWidth="1"/>
    <col min="9722" max="9722" width="14.42578125" style="19" customWidth="1"/>
    <col min="9723" max="9723" width="7.140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85546875" style="19" customWidth="1"/>
    <col min="9977" max="9977" width="9.85546875" style="19" customWidth="1"/>
    <col min="9978" max="9978" width="14.42578125" style="19" customWidth="1"/>
    <col min="9979" max="9979" width="7.140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85546875" style="19" customWidth="1"/>
    <col min="10233" max="10233" width="9.85546875" style="19" customWidth="1"/>
    <col min="10234" max="10234" width="14.42578125" style="19" customWidth="1"/>
    <col min="10235" max="10235" width="7.140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85546875" style="19" customWidth="1"/>
    <col min="10489" max="10489" width="9.85546875" style="19" customWidth="1"/>
    <col min="10490" max="10490" width="14.42578125" style="19" customWidth="1"/>
    <col min="10491" max="10491" width="7.140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85546875" style="19" customWidth="1"/>
    <col min="10745" max="10745" width="9.85546875" style="19" customWidth="1"/>
    <col min="10746" max="10746" width="14.42578125" style="19" customWidth="1"/>
    <col min="10747" max="10747" width="7.140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85546875" style="19" customWidth="1"/>
    <col min="11001" max="11001" width="9.85546875" style="19" customWidth="1"/>
    <col min="11002" max="11002" width="14.42578125" style="19" customWidth="1"/>
    <col min="11003" max="11003" width="7.140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85546875" style="19" customWidth="1"/>
    <col min="11257" max="11257" width="9.85546875" style="19" customWidth="1"/>
    <col min="11258" max="11258" width="14.42578125" style="19" customWidth="1"/>
    <col min="11259" max="11259" width="7.140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85546875" style="19" customWidth="1"/>
    <col min="11513" max="11513" width="9.85546875" style="19" customWidth="1"/>
    <col min="11514" max="11514" width="14.42578125" style="19" customWidth="1"/>
    <col min="11515" max="11515" width="7.140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85546875" style="19" customWidth="1"/>
    <col min="11769" max="11769" width="9.85546875" style="19" customWidth="1"/>
    <col min="11770" max="11770" width="14.42578125" style="19" customWidth="1"/>
    <col min="11771" max="11771" width="7.140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85546875" style="19" customWidth="1"/>
    <col min="12025" max="12025" width="9.85546875" style="19" customWidth="1"/>
    <col min="12026" max="12026" width="14.42578125" style="19" customWidth="1"/>
    <col min="12027" max="12027" width="7.140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85546875" style="19" customWidth="1"/>
    <col min="12281" max="12281" width="9.85546875" style="19" customWidth="1"/>
    <col min="12282" max="12282" width="14.42578125" style="19" customWidth="1"/>
    <col min="12283" max="12283" width="7.140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85546875" style="19" customWidth="1"/>
    <col min="12537" max="12537" width="9.85546875" style="19" customWidth="1"/>
    <col min="12538" max="12538" width="14.42578125" style="19" customWidth="1"/>
    <col min="12539" max="12539" width="7.140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85546875" style="19" customWidth="1"/>
    <col min="12793" max="12793" width="9.85546875" style="19" customWidth="1"/>
    <col min="12794" max="12794" width="14.42578125" style="19" customWidth="1"/>
    <col min="12795" max="12795" width="7.140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85546875" style="19" customWidth="1"/>
    <col min="13049" max="13049" width="9.85546875" style="19" customWidth="1"/>
    <col min="13050" max="13050" width="14.42578125" style="19" customWidth="1"/>
    <col min="13051" max="13051" width="7.140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85546875" style="19" customWidth="1"/>
    <col min="13305" max="13305" width="9.85546875" style="19" customWidth="1"/>
    <col min="13306" max="13306" width="14.42578125" style="19" customWidth="1"/>
    <col min="13307" max="13307" width="7.140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85546875" style="19" customWidth="1"/>
    <col min="13561" max="13561" width="9.85546875" style="19" customWidth="1"/>
    <col min="13562" max="13562" width="14.42578125" style="19" customWidth="1"/>
    <col min="13563" max="13563" width="7.140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85546875" style="19" customWidth="1"/>
    <col min="13817" max="13817" width="9.85546875" style="19" customWidth="1"/>
    <col min="13818" max="13818" width="14.42578125" style="19" customWidth="1"/>
    <col min="13819" max="13819" width="7.140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85546875" style="19" customWidth="1"/>
    <col min="14073" max="14073" width="9.85546875" style="19" customWidth="1"/>
    <col min="14074" max="14074" width="14.42578125" style="19" customWidth="1"/>
    <col min="14075" max="14075" width="7.140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85546875" style="19" customWidth="1"/>
    <col min="14329" max="14329" width="9.85546875" style="19" customWidth="1"/>
    <col min="14330" max="14330" width="14.42578125" style="19" customWidth="1"/>
    <col min="14331" max="14331" width="7.140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85546875" style="19" customWidth="1"/>
    <col min="14585" max="14585" width="9.85546875" style="19" customWidth="1"/>
    <col min="14586" max="14586" width="14.42578125" style="19" customWidth="1"/>
    <col min="14587" max="14587" width="7.140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85546875" style="19" customWidth="1"/>
    <col min="14841" max="14841" width="9.85546875" style="19" customWidth="1"/>
    <col min="14842" max="14842" width="14.42578125" style="19" customWidth="1"/>
    <col min="14843" max="14843" width="7.140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85546875" style="19" customWidth="1"/>
    <col min="15097" max="15097" width="9.85546875" style="19" customWidth="1"/>
    <col min="15098" max="15098" width="14.42578125" style="19" customWidth="1"/>
    <col min="15099" max="15099" width="7.140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85546875" style="19" customWidth="1"/>
    <col min="15353" max="15353" width="9.85546875" style="19" customWidth="1"/>
    <col min="15354" max="15354" width="14.42578125" style="19" customWidth="1"/>
    <col min="15355" max="15355" width="7.140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85546875" style="19" customWidth="1"/>
    <col min="15609" max="15609" width="9.85546875" style="19" customWidth="1"/>
    <col min="15610" max="15610" width="14.42578125" style="19" customWidth="1"/>
    <col min="15611" max="15611" width="7.140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85546875" style="19" customWidth="1"/>
    <col min="15865" max="15865" width="9.85546875" style="19" customWidth="1"/>
    <col min="15866" max="15866" width="14.42578125" style="19" customWidth="1"/>
    <col min="15867" max="15867" width="7.140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85546875" style="19" customWidth="1"/>
    <col min="16121" max="16121" width="9.85546875" style="19" customWidth="1"/>
    <col min="16122" max="16122" width="14.42578125" style="19" customWidth="1"/>
    <col min="16123" max="16123" width="7.140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26" ht="46.5" customHeight="1" x14ac:dyDescent="0.25">
      <c r="A1" s="135" t="s">
        <v>258</v>
      </c>
      <c r="B1" s="135"/>
      <c r="C1" s="135"/>
      <c r="D1" s="135"/>
      <c r="E1" s="135"/>
      <c r="F1" s="135"/>
      <c r="G1" s="135"/>
      <c r="H1" s="135"/>
    </row>
    <row r="2" spans="1:26" ht="16.5" customHeight="1" x14ac:dyDescent="0.25">
      <c r="A2" s="67" t="s">
        <v>0</v>
      </c>
      <c r="B2" s="67"/>
      <c r="C2" s="67"/>
      <c r="D2" s="67"/>
      <c r="E2" s="67"/>
      <c r="F2" s="67"/>
      <c r="G2" s="67"/>
      <c r="H2" s="67"/>
    </row>
    <row r="3" spans="1:26" x14ac:dyDescent="0.25">
      <c r="A3" s="94" t="s">
        <v>1</v>
      </c>
      <c r="B3" s="94"/>
      <c r="C3" s="94"/>
      <c r="D3" s="94"/>
      <c r="E3" s="94" t="str">
        <f ca="1">TEXT(TODAY(),"DD/MM/YYYY")</f>
        <v>19/08/2025</v>
      </c>
      <c r="F3" s="94"/>
      <c r="G3" s="94"/>
      <c r="H3" s="94"/>
    </row>
    <row r="4" spans="1:26" ht="15" customHeight="1" x14ac:dyDescent="0.25">
      <c r="A4" s="94" t="s">
        <v>2</v>
      </c>
      <c r="B4" s="94"/>
      <c r="C4" s="94"/>
      <c r="D4" s="94"/>
      <c r="E4" s="95" t="s">
        <v>226</v>
      </c>
      <c r="F4" s="95"/>
      <c r="G4" s="95"/>
      <c r="H4" s="95"/>
    </row>
    <row r="5" spans="1:26" x14ac:dyDescent="0.25">
      <c r="A5" s="94" t="s">
        <v>3</v>
      </c>
      <c r="B5" s="94"/>
      <c r="C5" s="94"/>
      <c r="D5" s="94"/>
      <c r="E5" s="139">
        <v>45882</v>
      </c>
      <c r="F5" s="94"/>
      <c r="G5" s="94"/>
      <c r="H5" s="94"/>
    </row>
    <row r="6" spans="1:26" ht="16.5" customHeight="1" x14ac:dyDescent="0.25">
      <c r="A6" s="94" t="s">
        <v>4</v>
      </c>
      <c r="B6" s="94"/>
      <c r="C6" s="94"/>
      <c r="D6" s="94"/>
      <c r="E6" s="94" t="s">
        <v>283</v>
      </c>
      <c r="F6" s="94"/>
      <c r="G6" s="94"/>
      <c r="H6" s="94"/>
    </row>
    <row r="7" spans="1:26" ht="15" customHeight="1" x14ac:dyDescent="0.25">
      <c r="A7" s="94" t="s">
        <v>5</v>
      </c>
      <c r="B7" s="94"/>
      <c r="C7" s="94"/>
      <c r="D7" s="94"/>
      <c r="E7" s="94" t="str">
        <f>E6</f>
        <v>Satyam Lifescapes LLP</v>
      </c>
      <c r="F7" s="94"/>
      <c r="G7" s="94"/>
      <c r="H7" s="94"/>
    </row>
    <row r="8" spans="1:26" x14ac:dyDescent="0.25">
      <c r="A8" s="94" t="s">
        <v>6</v>
      </c>
      <c r="B8" s="94"/>
      <c r="C8" s="94"/>
      <c r="D8" s="94"/>
      <c r="E8" s="136" t="s">
        <v>227</v>
      </c>
      <c r="F8" s="137"/>
      <c r="G8" s="137"/>
      <c r="H8" s="138"/>
    </row>
    <row r="9" spans="1:26" x14ac:dyDescent="0.25">
      <c r="A9" s="94" t="s">
        <v>166</v>
      </c>
      <c r="B9" s="94"/>
      <c r="C9" s="94"/>
      <c r="D9" s="94"/>
      <c r="E9" s="94" t="s">
        <v>228</v>
      </c>
      <c r="F9" s="94"/>
      <c r="G9" s="94"/>
      <c r="H9" s="94"/>
    </row>
    <row r="10" spans="1:26" x14ac:dyDescent="0.25">
      <c r="A10" s="94" t="s">
        <v>167</v>
      </c>
      <c r="B10" s="94"/>
      <c r="C10" s="94"/>
      <c r="D10" s="94"/>
      <c r="E10" s="94" t="s">
        <v>286</v>
      </c>
      <c r="F10" s="94"/>
      <c r="G10" s="94"/>
      <c r="H10" s="94"/>
    </row>
    <row r="11" spans="1:26" x14ac:dyDescent="0.25">
      <c r="A11" s="94" t="s">
        <v>7</v>
      </c>
      <c r="B11" s="94"/>
      <c r="C11" s="94"/>
      <c r="D11" s="94"/>
      <c r="E11" s="94" t="s">
        <v>120</v>
      </c>
      <c r="F11" s="94"/>
      <c r="G11" s="94"/>
      <c r="H11" s="94"/>
    </row>
    <row r="12" spans="1:26" hidden="1" x14ac:dyDescent="0.25">
      <c r="A12" s="94" t="s">
        <v>169</v>
      </c>
      <c r="B12" s="94"/>
      <c r="C12" s="94"/>
      <c r="D12" s="94"/>
      <c r="E12" s="94" t="s">
        <v>29</v>
      </c>
      <c r="F12" s="94"/>
      <c r="G12" s="94"/>
      <c r="H12" s="94"/>
      <c r="S12" s="51" t="s">
        <v>173</v>
      </c>
      <c r="T12" s="51" t="s">
        <v>183</v>
      </c>
      <c r="U12" s="51" t="s">
        <v>170</v>
      </c>
      <c r="V12" s="51" t="s">
        <v>188</v>
      </c>
      <c r="W12" s="51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25">
      <c r="A13" s="68" t="s">
        <v>8</v>
      </c>
      <c r="B13" s="68"/>
      <c r="C13" s="68"/>
      <c r="D13" s="68"/>
      <c r="E13" s="140" t="s">
        <v>221</v>
      </c>
      <c r="F13" s="140"/>
      <c r="G13" s="140"/>
      <c r="H13" s="140"/>
      <c r="S13" s="51" t="s">
        <v>174</v>
      </c>
      <c r="T13" s="51" t="s">
        <v>181</v>
      </c>
      <c r="U13" s="51" t="s">
        <v>203</v>
      </c>
      <c r="V13" s="51" t="s">
        <v>189</v>
      </c>
      <c r="W13" s="51" t="s">
        <v>207</v>
      </c>
      <c r="X13"/>
      <c r="Y13"/>
      <c r="Z13"/>
    </row>
    <row r="14" spans="1:26" x14ac:dyDescent="0.25">
      <c r="A14" s="68" t="s">
        <v>9</v>
      </c>
      <c r="B14" s="68"/>
      <c r="C14" s="68"/>
      <c r="D14" s="68"/>
      <c r="E14" s="140" t="s">
        <v>229</v>
      </c>
      <c r="F14" s="95"/>
      <c r="G14" s="95"/>
      <c r="H14" s="95"/>
      <c r="I14" s="62"/>
      <c r="J14" s="63"/>
      <c r="K14" s="63"/>
      <c r="L14" s="63"/>
      <c r="M14" s="63"/>
      <c r="N14" s="63"/>
      <c r="O14" s="63"/>
      <c r="P14" s="63"/>
      <c r="S14" s="51" t="s">
        <v>175</v>
      </c>
      <c r="T14" s="51" t="s">
        <v>182</v>
      </c>
      <c r="U14" s="51" t="s">
        <v>204</v>
      </c>
      <c r="V14" s="51" t="s">
        <v>190</v>
      </c>
      <c r="W14" s="51" t="s">
        <v>220</v>
      </c>
      <c r="X14"/>
      <c r="Y14"/>
      <c r="Z14"/>
    </row>
    <row r="15" spans="1:26" ht="33.75" customHeight="1" x14ac:dyDescent="0.25">
      <c r="A15" s="73" t="s">
        <v>10</v>
      </c>
      <c r="B15" s="73"/>
      <c r="C15" s="7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Satyam Altura, Plot No.13, Sector 16A, near Progressive Highness Building, Santha Gyanaswar Road, Sanpada, Sanpada, Sanpada West, Thane, Thane  - 400705.</v>
      </c>
      <c r="D15" s="73"/>
      <c r="E15" s="73"/>
      <c r="F15" s="73"/>
      <c r="G15" s="73"/>
      <c r="H15" s="73"/>
      <c r="S15" s="51" t="s">
        <v>176</v>
      </c>
      <c r="T15" s="51" t="s">
        <v>184</v>
      </c>
      <c r="U15" s="51" t="s">
        <v>205</v>
      </c>
      <c r="V15" s="51" t="s">
        <v>191</v>
      </c>
      <c r="W15" s="51" t="s">
        <v>208</v>
      </c>
      <c r="X15"/>
      <c r="Y15"/>
      <c r="Z15"/>
    </row>
    <row r="16" spans="1:26" x14ac:dyDescent="0.25">
      <c r="A16" s="140" t="s">
        <v>230</v>
      </c>
      <c r="B16" s="140"/>
      <c r="C16" s="140" t="s">
        <v>231</v>
      </c>
      <c r="D16" s="140"/>
      <c r="E16" s="140"/>
      <c r="F16" s="140"/>
      <c r="G16" s="140"/>
      <c r="H16" s="140"/>
      <c r="S16" s="51" t="s">
        <v>177</v>
      </c>
      <c r="T16" s="51" t="s">
        <v>185</v>
      </c>
      <c r="U16" s="51"/>
      <c r="V16" s="51" t="s">
        <v>192</v>
      </c>
      <c r="W16" s="51" t="s">
        <v>209</v>
      </c>
      <c r="X16"/>
      <c r="Y16"/>
      <c r="Z16"/>
    </row>
    <row r="17" spans="1:26" ht="15.75" customHeight="1" x14ac:dyDescent="0.25">
      <c r="A17" s="93" t="s">
        <v>162</v>
      </c>
      <c r="B17" s="93"/>
      <c r="C17" s="93" t="s">
        <v>232</v>
      </c>
      <c r="D17" s="93"/>
      <c r="E17" s="93"/>
      <c r="F17" s="93"/>
      <c r="G17" s="93"/>
      <c r="H17" s="93"/>
      <c r="S17" s="51" t="s">
        <v>178</v>
      </c>
      <c r="T17" s="51" t="s">
        <v>183</v>
      </c>
      <c r="U17" s="51"/>
      <c r="V17" s="51" t="s">
        <v>193</v>
      </c>
      <c r="W17" s="51" t="s">
        <v>210</v>
      </c>
      <c r="X17"/>
      <c r="Y17"/>
      <c r="Z17"/>
    </row>
    <row r="18" spans="1:26" ht="15.75" customHeight="1" x14ac:dyDescent="0.25">
      <c r="A18" s="73" t="s">
        <v>11</v>
      </c>
      <c r="B18" s="73"/>
      <c r="C18" s="94" t="s">
        <v>235</v>
      </c>
      <c r="D18" s="94"/>
      <c r="E18" s="73" t="s">
        <v>73</v>
      </c>
      <c r="F18" s="73"/>
      <c r="G18" s="93" t="s">
        <v>232</v>
      </c>
      <c r="H18" s="93"/>
      <c r="S18" s="51" t="s">
        <v>179</v>
      </c>
      <c r="T18" s="51" t="s">
        <v>186</v>
      </c>
      <c r="U18" s="51"/>
      <c r="V18" s="51" t="s">
        <v>194</v>
      </c>
      <c r="W18" s="51" t="s">
        <v>211</v>
      </c>
      <c r="X18"/>
      <c r="Y18"/>
      <c r="Z18"/>
    </row>
    <row r="19" spans="1:26" x14ac:dyDescent="0.25">
      <c r="A19" s="68" t="s">
        <v>13</v>
      </c>
      <c r="B19" s="68"/>
      <c r="C19" s="93" t="s">
        <v>234</v>
      </c>
      <c r="D19" s="93"/>
      <c r="E19" s="73" t="s">
        <v>12</v>
      </c>
      <c r="F19" s="73"/>
      <c r="G19" s="141" t="s">
        <v>173</v>
      </c>
      <c r="H19" s="141"/>
      <c r="S19" s="51" t="s">
        <v>180</v>
      </c>
      <c r="T19" s="51" t="s">
        <v>187</v>
      </c>
      <c r="U19" s="51"/>
      <c r="V19" s="51" t="s">
        <v>195</v>
      </c>
      <c r="W19" s="51" t="s">
        <v>212</v>
      </c>
      <c r="X19"/>
      <c r="Y19"/>
      <c r="Z19"/>
    </row>
    <row r="20" spans="1:26" ht="15.75" customHeight="1" x14ac:dyDescent="0.25">
      <c r="A20" s="68" t="s">
        <v>74</v>
      </c>
      <c r="B20" s="68"/>
      <c r="C20" s="140" t="s">
        <v>174</v>
      </c>
      <c r="D20" s="140"/>
      <c r="E20" s="73" t="s">
        <v>14</v>
      </c>
      <c r="F20" s="73"/>
      <c r="G20" s="93">
        <v>400705</v>
      </c>
      <c r="H20" s="93"/>
      <c r="S20" s="51"/>
      <c r="T20" s="51"/>
      <c r="U20" s="51"/>
      <c r="V20" s="51" t="s">
        <v>196</v>
      </c>
      <c r="W20" s="51" t="s">
        <v>213</v>
      </c>
      <c r="X20"/>
      <c r="Y20"/>
      <c r="Z20"/>
    </row>
    <row r="21" spans="1:26" ht="32.25" customHeight="1" x14ac:dyDescent="0.25">
      <c r="A21" s="68" t="s">
        <v>121</v>
      </c>
      <c r="B21" s="68"/>
      <c r="C21" s="93" t="s">
        <v>236</v>
      </c>
      <c r="D21" s="93"/>
      <c r="E21" s="73" t="s">
        <v>15</v>
      </c>
      <c r="F21" s="73"/>
      <c r="G21" s="140" t="s">
        <v>266</v>
      </c>
      <c r="H21" s="140"/>
      <c r="S21" s="51"/>
      <c r="T21" s="51"/>
      <c r="U21" s="51"/>
      <c r="V21" s="51" t="s">
        <v>197</v>
      </c>
      <c r="W21" s="51" t="s">
        <v>214</v>
      </c>
      <c r="X21"/>
      <c r="Y21"/>
      <c r="Z21"/>
    </row>
    <row r="22" spans="1:26" ht="15" customHeight="1" x14ac:dyDescent="0.25">
      <c r="A22" s="73" t="s">
        <v>75</v>
      </c>
      <c r="B22" s="73"/>
      <c r="C22" s="73"/>
      <c r="D22" s="73"/>
      <c r="E22" s="94" t="s">
        <v>16</v>
      </c>
      <c r="F22" s="94"/>
      <c r="G22" s="94"/>
      <c r="H22" s="94"/>
      <c r="S22" s="51"/>
      <c r="T22" s="51"/>
      <c r="U22" s="51"/>
      <c r="V22" s="51" t="s">
        <v>198</v>
      </c>
      <c r="W22" s="51" t="s">
        <v>215</v>
      </c>
      <c r="X22"/>
      <c r="Y22"/>
      <c r="Z22"/>
    </row>
    <row r="23" spans="1:26" ht="18.75" customHeight="1" x14ac:dyDescent="0.25">
      <c r="A23" s="73"/>
      <c r="B23" s="73"/>
      <c r="C23" s="73"/>
      <c r="D23" s="73"/>
      <c r="E23" s="94"/>
      <c r="F23" s="94"/>
      <c r="G23" s="94"/>
      <c r="H23" s="94"/>
      <c r="S23" s="51"/>
      <c r="T23" s="51"/>
      <c r="U23" s="51"/>
      <c r="V23" s="51" t="s">
        <v>199</v>
      </c>
      <c r="W23" s="51" t="s">
        <v>216</v>
      </c>
      <c r="X23"/>
      <c r="Y23"/>
      <c r="Z23"/>
    </row>
    <row r="24" spans="1:26" ht="15" customHeight="1" x14ac:dyDescent="0.25">
      <c r="A24" s="73" t="s">
        <v>17</v>
      </c>
      <c r="B24" s="73"/>
      <c r="C24" s="73"/>
      <c r="D24" s="73"/>
      <c r="E24" s="93" t="s">
        <v>18</v>
      </c>
      <c r="F24" s="93"/>
      <c r="G24" s="93"/>
      <c r="H24" s="93"/>
      <c r="S24" s="51"/>
      <c r="T24" s="51"/>
      <c r="U24" s="51"/>
      <c r="V24" s="51" t="s">
        <v>200</v>
      </c>
      <c r="W24" s="51" t="s">
        <v>217</v>
      </c>
      <c r="X24"/>
      <c r="Y24"/>
      <c r="Z24"/>
    </row>
    <row r="25" spans="1:26" ht="15" customHeight="1" x14ac:dyDescent="0.25">
      <c r="A25" s="68" t="s">
        <v>19</v>
      </c>
      <c r="B25" s="68"/>
      <c r="C25" s="68"/>
      <c r="D25" s="68"/>
      <c r="E25" s="93" t="str">
        <f>IF(AND(G19="Mumbai"),"Upper Class","Middle Class")</f>
        <v>Middle Class</v>
      </c>
      <c r="F25" s="93"/>
      <c r="G25" s="93"/>
      <c r="H25" s="93"/>
      <c r="S25" s="51"/>
      <c r="T25" s="51"/>
      <c r="U25" s="51"/>
      <c r="V25" s="51" t="s">
        <v>201</v>
      </c>
      <c r="W25" s="51" t="s">
        <v>218</v>
      </c>
      <c r="X25"/>
      <c r="Y25"/>
      <c r="Z25"/>
    </row>
    <row r="26" spans="1:26" x14ac:dyDescent="0.25">
      <c r="A26" s="68" t="s">
        <v>20</v>
      </c>
      <c r="B26" s="68"/>
      <c r="C26" s="68"/>
      <c r="D26" s="68"/>
      <c r="E26" s="93" t="s">
        <v>21</v>
      </c>
      <c r="F26" s="93"/>
      <c r="G26" s="93"/>
      <c r="H26" s="93"/>
      <c r="S26" s="51"/>
      <c r="T26" s="51"/>
      <c r="U26" s="51"/>
      <c r="V26" s="51" t="s">
        <v>202</v>
      </c>
      <c r="W26" s="51" t="s">
        <v>219</v>
      </c>
      <c r="X26"/>
      <c r="Y26"/>
      <c r="Z26"/>
    </row>
    <row r="27" spans="1:26" ht="15.75" customHeight="1" x14ac:dyDescent="0.25">
      <c r="A27" s="68" t="s">
        <v>22</v>
      </c>
      <c r="B27" s="68"/>
      <c r="C27" s="68"/>
      <c r="D27" s="68"/>
      <c r="E27" s="93" t="str">
        <f>IF(AND(G19="Mumbai"),"Developed","Developing")</f>
        <v>Developing</v>
      </c>
      <c r="F27" s="93"/>
      <c r="G27" s="93"/>
      <c r="H27" s="93"/>
    </row>
    <row r="28" spans="1:26" x14ac:dyDescent="0.25">
      <c r="A28" s="68" t="s">
        <v>23</v>
      </c>
      <c r="B28" s="68"/>
      <c r="C28" s="68"/>
      <c r="D28" s="68"/>
      <c r="E28" s="93" t="s">
        <v>24</v>
      </c>
      <c r="F28" s="93"/>
      <c r="G28" s="93"/>
      <c r="H28" s="93"/>
    </row>
    <row r="29" spans="1:26" ht="15.75" customHeight="1" x14ac:dyDescent="0.25">
      <c r="A29" s="68" t="s">
        <v>80</v>
      </c>
      <c r="B29" s="68"/>
      <c r="C29" s="68"/>
      <c r="D29" s="68"/>
      <c r="E29" s="93" t="s">
        <v>81</v>
      </c>
      <c r="F29" s="93"/>
      <c r="G29" s="93"/>
      <c r="H29" s="93"/>
    </row>
    <row r="30" spans="1:26" ht="15" customHeight="1" x14ac:dyDescent="0.25">
      <c r="A30" s="68" t="s">
        <v>32</v>
      </c>
      <c r="B30" s="68"/>
      <c r="C30" s="68"/>
      <c r="D30" s="68"/>
      <c r="E30" s="9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3"/>
      <c r="G30" s="93"/>
      <c r="H30" s="93"/>
    </row>
    <row r="31" spans="1:26" ht="15.75" customHeight="1" x14ac:dyDescent="0.25">
      <c r="A31" s="68" t="s">
        <v>92</v>
      </c>
      <c r="B31" s="68"/>
      <c r="C31" s="68"/>
      <c r="D31" s="68"/>
      <c r="E31" s="93" t="s">
        <v>33</v>
      </c>
      <c r="F31" s="93"/>
      <c r="G31" s="93"/>
      <c r="H31" s="93"/>
    </row>
    <row r="32" spans="1:26" s="20" customFormat="1" x14ac:dyDescent="0.25">
      <c r="A32" s="149" t="s">
        <v>93</v>
      </c>
      <c r="B32" s="149"/>
      <c r="C32" s="146" t="s">
        <v>171</v>
      </c>
      <c r="D32" s="147"/>
      <c r="E32" s="148"/>
      <c r="F32" s="146" t="s">
        <v>30</v>
      </c>
      <c r="G32" s="147"/>
      <c r="H32" s="148"/>
    </row>
    <row r="33" spans="1:10" s="20" customFormat="1" x14ac:dyDescent="0.25">
      <c r="A33" s="142" t="s">
        <v>25</v>
      </c>
      <c r="B33" s="142" t="s">
        <v>29</v>
      </c>
      <c r="C33" s="143" t="s">
        <v>239</v>
      </c>
      <c r="D33" s="144"/>
      <c r="E33" s="145"/>
      <c r="F33" s="143" t="s">
        <v>261</v>
      </c>
      <c r="G33" s="144"/>
      <c r="H33" s="145"/>
    </row>
    <row r="34" spans="1:10" ht="37.5" customHeight="1" x14ac:dyDescent="0.25">
      <c r="A34" s="150" t="s">
        <v>26</v>
      </c>
      <c r="B34" s="150" t="s">
        <v>29</v>
      </c>
      <c r="C34" s="151" t="s">
        <v>240</v>
      </c>
      <c r="D34" s="75"/>
      <c r="E34" s="76"/>
      <c r="F34" s="74" t="s">
        <v>260</v>
      </c>
      <c r="G34" s="75"/>
      <c r="H34" s="76"/>
    </row>
    <row r="35" spans="1:10" s="20" customFormat="1" x14ac:dyDescent="0.25">
      <c r="A35" s="142" t="s">
        <v>28</v>
      </c>
      <c r="B35" s="142" t="s">
        <v>29</v>
      </c>
      <c r="C35" s="143" t="s">
        <v>242</v>
      </c>
      <c r="D35" s="144"/>
      <c r="E35" s="145"/>
      <c r="F35" s="143" t="s">
        <v>237</v>
      </c>
      <c r="G35" s="144"/>
      <c r="H35" s="145"/>
    </row>
    <row r="36" spans="1:10" x14ac:dyDescent="0.25">
      <c r="A36" s="142" t="s">
        <v>27</v>
      </c>
      <c r="B36" s="142" t="s">
        <v>29</v>
      </c>
      <c r="C36" s="143" t="s">
        <v>241</v>
      </c>
      <c r="D36" s="144"/>
      <c r="E36" s="145"/>
      <c r="F36" s="143" t="s">
        <v>238</v>
      </c>
      <c r="G36" s="144"/>
      <c r="H36" s="145"/>
    </row>
    <row r="37" spans="1:10" x14ac:dyDescent="0.25">
      <c r="A37" s="68" t="s">
        <v>31</v>
      </c>
      <c r="B37" s="68"/>
      <c r="C37" s="68"/>
      <c r="D37" s="68"/>
      <c r="E37" s="68"/>
      <c r="F37" s="68"/>
      <c r="G37" s="68"/>
      <c r="H37" s="68"/>
    </row>
    <row r="38" spans="1:10" ht="15.75" customHeight="1" x14ac:dyDescent="0.25">
      <c r="A38" s="132" t="s">
        <v>164</v>
      </c>
      <c r="B38" s="132"/>
      <c r="C38" s="68" t="s">
        <v>259</v>
      </c>
      <c r="D38" s="68"/>
      <c r="E38" s="68"/>
      <c r="F38" s="68"/>
      <c r="G38" s="68"/>
      <c r="H38" s="68"/>
    </row>
    <row r="39" spans="1:10" x14ac:dyDescent="0.25">
      <c r="A39" s="132" t="s">
        <v>161</v>
      </c>
      <c r="B39" s="132"/>
      <c r="C39" s="178" t="s">
        <v>233</v>
      </c>
      <c r="D39" s="93"/>
      <c r="E39" s="93"/>
      <c r="F39" s="93"/>
      <c r="G39" s="93"/>
      <c r="H39" s="93"/>
    </row>
    <row r="40" spans="1:10" x14ac:dyDescent="0.25">
      <c r="A40" s="132" t="s">
        <v>34</v>
      </c>
      <c r="B40" s="132"/>
      <c r="C40" s="132"/>
      <c r="D40" s="132"/>
      <c r="E40" s="132"/>
      <c r="F40" s="132"/>
      <c r="G40" s="132"/>
      <c r="H40" s="132"/>
    </row>
    <row r="41" spans="1:10" x14ac:dyDescent="0.25">
      <c r="A41" s="68" t="s">
        <v>35</v>
      </c>
      <c r="B41" s="68"/>
      <c r="C41" s="68"/>
      <c r="D41" s="68"/>
      <c r="E41" s="152">
        <v>2016.09</v>
      </c>
      <c r="F41" s="152"/>
      <c r="G41" s="152"/>
      <c r="H41" s="152"/>
    </row>
    <row r="42" spans="1:10" x14ac:dyDescent="0.25">
      <c r="A42" s="68" t="s">
        <v>36</v>
      </c>
      <c r="B42" s="68"/>
      <c r="C42" s="68"/>
      <c r="D42" s="68"/>
      <c r="E42" s="85">
        <v>1.1000000000000001</v>
      </c>
      <c r="F42" s="85"/>
      <c r="G42" s="85"/>
      <c r="H42" s="85"/>
      <c r="I42" s="19" t="s">
        <v>263</v>
      </c>
      <c r="J42" s="19">
        <v>0.9</v>
      </c>
    </row>
    <row r="43" spans="1:10" x14ac:dyDescent="0.25">
      <c r="A43" s="68" t="s">
        <v>37</v>
      </c>
      <c r="B43" s="68"/>
      <c r="C43" s="68"/>
      <c r="D43" s="68"/>
      <c r="E43" s="85">
        <f>E45/E41-E42</f>
        <v>3.6943395384134639</v>
      </c>
      <c r="F43" s="85"/>
      <c r="G43" s="85"/>
      <c r="H43" s="85"/>
      <c r="I43" s="19" t="s">
        <v>262</v>
      </c>
      <c r="J43" s="19">
        <v>0.5</v>
      </c>
    </row>
    <row r="44" spans="1:10" x14ac:dyDescent="0.25">
      <c r="A44" s="68" t="s">
        <v>38</v>
      </c>
      <c r="B44" s="68"/>
      <c r="C44" s="68"/>
      <c r="D44" s="68"/>
      <c r="E44" s="85">
        <f>E42+E43</f>
        <v>4.7943395384134639</v>
      </c>
      <c r="F44" s="85"/>
      <c r="G44" s="85"/>
      <c r="H44" s="85"/>
      <c r="I44" s="19" t="s">
        <v>264</v>
      </c>
      <c r="J44" s="19">
        <f>3624.68/E41</f>
        <v>1.7978760868810419</v>
      </c>
    </row>
    <row r="45" spans="1:10" x14ac:dyDescent="0.25">
      <c r="A45" s="68" t="s">
        <v>91</v>
      </c>
      <c r="B45" s="68"/>
      <c r="C45" s="68"/>
      <c r="D45" s="68"/>
      <c r="E45" s="154">
        <v>9665.82</v>
      </c>
      <c r="F45" s="154"/>
      <c r="G45" s="154"/>
      <c r="H45" s="154"/>
      <c r="I45" s="19" t="s">
        <v>265</v>
      </c>
      <c r="J45" s="19">
        <v>0.5</v>
      </c>
    </row>
    <row r="46" spans="1:10" x14ac:dyDescent="0.25">
      <c r="A46" s="94" t="s">
        <v>39</v>
      </c>
      <c r="B46" s="94"/>
      <c r="C46" s="94"/>
      <c r="D46" s="94"/>
      <c r="E46" s="95" t="s">
        <v>120</v>
      </c>
      <c r="F46" s="95"/>
      <c r="G46" s="95"/>
      <c r="H46" s="95"/>
    </row>
    <row r="47" spans="1:10" x14ac:dyDescent="0.25">
      <c r="A47" s="132" t="s">
        <v>40</v>
      </c>
      <c r="B47" s="132"/>
      <c r="C47" s="132"/>
      <c r="D47" s="132"/>
      <c r="E47" s="132"/>
      <c r="F47" s="132"/>
      <c r="G47" s="132"/>
      <c r="H47" s="132"/>
    </row>
    <row r="48" spans="1:10" ht="33.75" customHeight="1" x14ac:dyDescent="0.25">
      <c r="A48" s="88" t="s">
        <v>150</v>
      </c>
      <c r="B48" s="89"/>
      <c r="C48" s="179" t="s">
        <v>243</v>
      </c>
      <c r="D48" s="180"/>
      <c r="E48" s="180"/>
      <c r="F48" s="180"/>
      <c r="G48" s="180"/>
      <c r="H48" s="181"/>
    </row>
    <row r="49" spans="1:14" ht="15.75" customHeight="1" x14ac:dyDescent="0.25">
      <c r="A49" s="88" t="s">
        <v>41</v>
      </c>
      <c r="B49" s="89"/>
      <c r="C49" s="88" t="s">
        <v>267</v>
      </c>
      <c r="D49" s="90"/>
      <c r="E49" s="89"/>
      <c r="F49" s="16" t="s">
        <v>42</v>
      </c>
      <c r="G49" s="91">
        <v>45016</v>
      </c>
      <c r="H49" s="89"/>
    </row>
    <row r="50" spans="1:14" x14ac:dyDescent="0.25">
      <c r="A50" s="88" t="s">
        <v>43</v>
      </c>
      <c r="B50" s="89"/>
      <c r="C50" s="88" t="str">
        <f>C49</f>
        <v>NRV/A/17008</v>
      </c>
      <c r="D50" s="90"/>
      <c r="E50" s="89"/>
      <c r="F50" s="16" t="s">
        <v>42</v>
      </c>
      <c r="G50" s="91">
        <f>G49</f>
        <v>45016</v>
      </c>
      <c r="H50" s="89"/>
    </row>
    <row r="51" spans="1:14" s="21" customFormat="1" ht="15.75" customHeight="1" x14ac:dyDescent="0.25">
      <c r="A51" s="158" t="s">
        <v>154</v>
      </c>
      <c r="B51" s="159"/>
      <c r="C51" s="88" t="s">
        <v>244</v>
      </c>
      <c r="D51" s="90"/>
      <c r="E51" s="89"/>
      <c r="F51" s="16" t="s">
        <v>42</v>
      </c>
      <c r="G51" s="91">
        <f>G50</f>
        <v>45016</v>
      </c>
      <c r="H51" s="89"/>
    </row>
    <row r="52" spans="1:14" s="21" customFormat="1" ht="15.75" customHeight="1" x14ac:dyDescent="0.25">
      <c r="A52" s="160"/>
      <c r="B52" s="161"/>
      <c r="C52" s="88" t="s">
        <v>247</v>
      </c>
      <c r="D52" s="90"/>
      <c r="E52" s="90"/>
      <c r="F52" s="90"/>
      <c r="G52" s="90"/>
      <c r="H52" s="89"/>
    </row>
    <row r="53" spans="1:14" x14ac:dyDescent="0.25">
      <c r="A53" s="69" t="s">
        <v>44</v>
      </c>
      <c r="B53" s="70"/>
      <c r="C53" s="69" t="s">
        <v>105</v>
      </c>
      <c r="D53" s="71"/>
      <c r="E53" s="70"/>
      <c r="F53" s="43" t="s">
        <v>42</v>
      </c>
      <c r="G53" s="96" t="s">
        <v>29</v>
      </c>
      <c r="H53" s="97"/>
    </row>
    <row r="54" spans="1:14" x14ac:dyDescent="0.25">
      <c r="A54" s="92" t="s">
        <v>46</v>
      </c>
      <c r="B54" s="92"/>
      <c r="C54" s="92"/>
      <c r="D54" s="92"/>
      <c r="E54" s="92"/>
      <c r="F54" s="92"/>
      <c r="G54" s="92"/>
      <c r="H54" s="92"/>
    </row>
    <row r="55" spans="1:14" x14ac:dyDescent="0.25">
      <c r="A55" s="73" t="s">
        <v>90</v>
      </c>
      <c r="B55" s="73"/>
      <c r="C55" s="73"/>
      <c r="D55" s="68">
        <f>E45</f>
        <v>9665.82</v>
      </c>
      <c r="E55" s="68"/>
      <c r="F55" s="68"/>
      <c r="G55" s="68"/>
      <c r="H55" s="68"/>
    </row>
    <row r="56" spans="1:14" x14ac:dyDescent="0.25">
      <c r="A56" s="93" t="s">
        <v>47</v>
      </c>
      <c r="B56" s="94"/>
      <c r="C56" s="94"/>
      <c r="D56" s="95" t="s">
        <v>256</v>
      </c>
      <c r="E56" s="95"/>
      <c r="F56" s="95"/>
      <c r="G56" s="95"/>
      <c r="H56" s="95"/>
      <c r="I56" s="22"/>
    </row>
    <row r="57" spans="1:14" x14ac:dyDescent="0.25">
      <c r="A57" s="155" t="s">
        <v>48</v>
      </c>
      <c r="B57" s="156"/>
      <c r="C57" s="157"/>
      <c r="D57" s="140" t="s">
        <v>247</v>
      </c>
      <c r="E57" s="95"/>
      <c r="F57" s="95"/>
      <c r="G57" s="95"/>
      <c r="H57" s="95"/>
    </row>
    <row r="58" spans="1:14" ht="15.75" customHeight="1" x14ac:dyDescent="0.25">
      <c r="A58" s="155" t="s">
        <v>88</v>
      </c>
      <c r="B58" s="156"/>
      <c r="C58" s="156"/>
      <c r="D58" s="95" t="s">
        <v>247</v>
      </c>
      <c r="E58" s="95"/>
      <c r="F58" s="95"/>
      <c r="G58" s="95"/>
      <c r="H58" s="95"/>
    </row>
    <row r="59" spans="1:14" ht="15.75" customHeight="1" x14ac:dyDescent="0.25">
      <c r="A59" s="68" t="s">
        <v>45</v>
      </c>
      <c r="B59" s="68"/>
      <c r="C59" s="68"/>
      <c r="D59" s="140" t="s">
        <v>245</v>
      </c>
      <c r="E59" s="140"/>
      <c r="F59" s="140"/>
      <c r="G59" s="140"/>
      <c r="H59" s="140"/>
      <c r="J59" s="23"/>
      <c r="K59" s="22"/>
      <c r="N59" s="22"/>
    </row>
    <row r="60" spans="1:14" ht="15.75" customHeight="1" x14ac:dyDescent="0.25">
      <c r="A60" s="68" t="s">
        <v>86</v>
      </c>
      <c r="B60" s="68"/>
      <c r="C60" s="68"/>
      <c r="D60" s="153" t="str">
        <f>(IF(G53="NA","60 Years After Completion",IF(G53&lt;&gt;"NA",""&amp;60-ROUNDDOWN((E3-G53)/360,0)&amp;" Years"," ")))</f>
        <v>60 Years After Completion</v>
      </c>
      <c r="E60" s="153"/>
      <c r="F60" s="153"/>
      <c r="G60" s="153"/>
      <c r="H60" s="153"/>
      <c r="N60" s="22"/>
    </row>
    <row r="61" spans="1:14" ht="15.75" customHeight="1" x14ac:dyDescent="0.25">
      <c r="A61" s="68" t="s">
        <v>87</v>
      </c>
      <c r="B61" s="68"/>
      <c r="C61" s="68"/>
      <c r="D61" s="73" t="s">
        <v>24</v>
      </c>
      <c r="E61" s="73"/>
      <c r="F61" s="73"/>
      <c r="G61" s="73"/>
      <c r="H61" s="73"/>
      <c r="J61" s="24"/>
      <c r="K61" s="24"/>
    </row>
    <row r="62" spans="1:14" ht="48.75" customHeight="1" x14ac:dyDescent="0.25">
      <c r="A62" s="95" t="s">
        <v>246</v>
      </c>
      <c r="B62" s="95"/>
      <c r="C62" s="95"/>
      <c r="D62" s="140" t="s">
        <v>277</v>
      </c>
      <c r="E62" s="140"/>
      <c r="F62" s="140"/>
      <c r="G62" s="140"/>
      <c r="H62" s="140"/>
      <c r="I62" s="185"/>
      <c r="J62" s="63"/>
      <c r="K62" s="63"/>
      <c r="L62" s="63"/>
      <c r="M62" s="63"/>
    </row>
    <row r="63" spans="1:14" x14ac:dyDescent="0.25">
      <c r="A63" s="73" t="s">
        <v>147</v>
      </c>
      <c r="B63" s="73"/>
      <c r="C63" s="73"/>
      <c r="D63" s="73" t="s">
        <v>29</v>
      </c>
      <c r="E63" s="73"/>
      <c r="F63" s="73"/>
      <c r="G63" s="73"/>
      <c r="H63" s="73"/>
      <c r="I63" s="25"/>
      <c r="J63" s="25"/>
      <c r="K63" s="25"/>
      <c r="L63" s="25"/>
      <c r="M63" s="25"/>
      <c r="N63" s="25"/>
    </row>
    <row r="64" spans="1:14" ht="15.75" customHeight="1" x14ac:dyDescent="0.25">
      <c r="A64" s="68" t="s">
        <v>85</v>
      </c>
      <c r="B64" s="68"/>
      <c r="C64" s="68"/>
      <c r="D64" s="93" t="str">
        <f ca="1">(IF(G70&gt;95%,"Nothing",IF(G70&gt;0%,"Cement, Aggregate, Steel, etc",IF(G70=0%,"Work not yet Started"))))</f>
        <v>Cement, Aggregate, Steel, etc</v>
      </c>
      <c r="E64" s="93"/>
      <c r="F64" s="93"/>
      <c r="G64" s="93"/>
      <c r="H64" s="93"/>
      <c r="J64" s="24"/>
    </row>
    <row r="65" spans="1:10" ht="33.75" customHeight="1" thickBot="1" x14ac:dyDescent="0.3">
      <c r="A65" s="73" t="s">
        <v>118</v>
      </c>
      <c r="B65" s="73"/>
      <c r="C65" s="73"/>
      <c r="D65" s="93" t="str">
        <f ca="1">(IF(D64="Nothing","Yes",IF(D64="Cement, Aggregate, Steel, etc","Under Construction",IF(D64="Work not yet Started","Work not yet Started"))))</f>
        <v>Under Construction</v>
      </c>
      <c r="E65" s="93"/>
      <c r="F65" s="93" t="str">
        <f ca="1">(IF(D64="Nothing","Yes",IF(D64="Cement, Aggregate, Steel, etc","Under Construction",IF(D64="Work not yet Started","Work not yet Started"))))</f>
        <v>Under Construction</v>
      </c>
      <c r="G65" s="93"/>
      <c r="H65" s="93"/>
    </row>
    <row r="66" spans="1:10" ht="15.75" customHeight="1" x14ac:dyDescent="0.25">
      <c r="A66" s="176" t="s">
        <v>139</v>
      </c>
      <c r="B66" s="176"/>
      <c r="C66" s="176" t="s">
        <v>247</v>
      </c>
      <c r="D66" s="176"/>
      <c r="E66" s="176"/>
      <c r="F66" s="176"/>
      <c r="G66" s="176"/>
      <c r="H66" s="176"/>
      <c r="I66" s="57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25 Floor, External Plaster upto 22 Floor, Flooring upto 12 Floor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25 Floor, External Plaster upto 22 Floor, Flooring upto 12 Floor</v>
      </c>
    </row>
    <row r="67" spans="1:10" x14ac:dyDescent="0.25">
      <c r="A67" s="45" t="s">
        <v>141</v>
      </c>
      <c r="B67" s="45">
        <v>0</v>
      </c>
      <c r="C67" s="45" t="s">
        <v>72</v>
      </c>
      <c r="D67" s="45">
        <v>1</v>
      </c>
      <c r="E67" s="45" t="s">
        <v>71</v>
      </c>
      <c r="F67" s="52">
        <v>0</v>
      </c>
      <c r="G67" s="46" t="s">
        <v>79</v>
      </c>
      <c r="H67" s="45">
        <f ca="1">--TRIM(RIGHT(SUBSTITUTE(LEFT(C66,_xlfn.AGGREGATE(16,6,FIND({0,1,2,3,4,5,6,7,8,9},C66,ROW(INDIRECT("1:"&amp;LEN(C66)))),1))," ",REPT(" ",LEN(C66))),LEN(C66)))</f>
        <v>27</v>
      </c>
      <c r="I67" s="5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8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.35" customHeight="1" x14ac:dyDescent="0.25">
      <c r="A68" s="175" t="s">
        <v>89</v>
      </c>
      <c r="B68" s="175"/>
      <c r="C68" s="177" t="str">
        <f ca="1">I66</f>
        <v>Excavation, Plinth, RCC Slab, Brickwork Completed, Internal Plaster upto 25 Floor, External Plaster upto 22 Floor, Flooring upto 12 Floor Completed</v>
      </c>
      <c r="D68" s="177"/>
      <c r="E68" s="177"/>
      <c r="F68" s="177"/>
      <c r="G68" s="177"/>
      <c r="H68" s="177"/>
      <c r="I68" s="58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25">
      <c r="A69" s="86" t="s">
        <v>49</v>
      </c>
      <c r="B69" s="87"/>
      <c r="C69" s="41" t="s">
        <v>138</v>
      </c>
      <c r="D69" s="41" t="s">
        <v>82</v>
      </c>
      <c r="E69" s="87" t="s">
        <v>84</v>
      </c>
      <c r="F69" s="87"/>
      <c r="G69" s="87" t="s">
        <v>83</v>
      </c>
      <c r="H69" s="187"/>
      <c r="I69" s="14" t="s">
        <v>140</v>
      </c>
      <c r="J69" s="26">
        <f ca="1">H67*25%</f>
        <v>6.75</v>
      </c>
    </row>
    <row r="70" spans="1:10" x14ac:dyDescent="0.25">
      <c r="A70" s="86" t="s">
        <v>127</v>
      </c>
      <c r="B70" s="87"/>
      <c r="C70" s="41">
        <f ca="1">J71</f>
        <v>27</v>
      </c>
      <c r="D70" s="17">
        <f ca="1">((100/H67)*C70)/100</f>
        <v>1</v>
      </c>
      <c r="E70" s="164">
        <f ca="1">(((C71/H67*10)+(40/(D67+F67+H67)*C72)+(7.5/(H67)*C73)+(7.5/(H67)*C74)+(10/H67*C75)+(10/H67*C76)+(5/H67*C77)+(5/H67*C78)+(5/H67*C79))/100)</f>
        <v>0.77037037037037037</v>
      </c>
      <c r="F70" s="165"/>
      <c r="G70" s="164">
        <f ca="1">((((C70/H67)*20)+((C71/H67)*25)+(30/(H67+F67+D67)*C72)+(5/H67*C73)+(5/H67*C74)+(5/H67*C75)+(5/H67*C76)+(0/H67*C77)+(0/H67*C78)+(5/H67*C79))/100)</f>
        <v>0.90925925925925943</v>
      </c>
      <c r="H70" s="170"/>
      <c r="I70" s="14" t="s">
        <v>100</v>
      </c>
      <c r="J70" s="27">
        <f ca="1">H67*50%</f>
        <v>13.5</v>
      </c>
    </row>
    <row r="71" spans="1:10" x14ac:dyDescent="0.25">
      <c r="A71" s="86" t="s">
        <v>50</v>
      </c>
      <c r="B71" s="87"/>
      <c r="C71" s="41">
        <f ca="1">J79</f>
        <v>27</v>
      </c>
      <c r="D71" s="17">
        <f ca="1">((100/H67)*C71)/100</f>
        <v>1</v>
      </c>
      <c r="E71" s="166"/>
      <c r="F71" s="167"/>
      <c r="G71" s="166"/>
      <c r="H71" s="171"/>
      <c r="I71" s="14" t="s">
        <v>101</v>
      </c>
      <c r="J71" s="27">
        <f ca="1">H67</f>
        <v>27</v>
      </c>
    </row>
    <row r="72" spans="1:10" ht="15.75" customHeight="1" x14ac:dyDescent="0.25">
      <c r="A72" s="86" t="s">
        <v>128</v>
      </c>
      <c r="B72" s="87"/>
      <c r="C72" s="41">
        <v>28</v>
      </c>
      <c r="D72" s="17">
        <f ca="1">((100/(D67+F67+H67))*C72)/100</f>
        <v>1</v>
      </c>
      <c r="E72" s="166"/>
      <c r="F72" s="167"/>
      <c r="G72" s="166"/>
      <c r="H72" s="171"/>
      <c r="I72" s="14" t="s">
        <v>102</v>
      </c>
      <c r="J72" s="28">
        <f ca="1">(IF(B67&gt;1,(H67/(B67+2)),H67/4))</f>
        <v>6.75</v>
      </c>
    </row>
    <row r="73" spans="1:10" ht="15.75" customHeight="1" x14ac:dyDescent="0.25">
      <c r="A73" s="86" t="s">
        <v>135</v>
      </c>
      <c r="B73" s="87" t="s">
        <v>129</v>
      </c>
      <c r="C73" s="41">
        <v>27</v>
      </c>
      <c r="D73" s="17">
        <f ca="1">((100/H67)*C73)/100</f>
        <v>1</v>
      </c>
      <c r="E73" s="166"/>
      <c r="F73" s="167"/>
      <c r="G73" s="166"/>
      <c r="H73" s="171"/>
      <c r="I73" s="14" t="s">
        <v>103</v>
      </c>
      <c r="J73" s="28">
        <f ca="1">(IF(B67&gt;1,(H67/(B67+2)+J72),H67/4+J72))</f>
        <v>13.5</v>
      </c>
    </row>
    <row r="74" spans="1:10" ht="15.75" customHeight="1" x14ac:dyDescent="0.25">
      <c r="A74" s="86" t="s">
        <v>136</v>
      </c>
      <c r="B74" s="87" t="s">
        <v>129</v>
      </c>
      <c r="C74" s="41">
        <v>25</v>
      </c>
      <c r="D74" s="17">
        <f ca="1">((100/H67)*C74)/100</f>
        <v>0.92592592592592593</v>
      </c>
      <c r="E74" s="166"/>
      <c r="F74" s="167"/>
      <c r="G74" s="166"/>
      <c r="H74" s="171"/>
      <c r="I74" s="14" t="s">
        <v>145</v>
      </c>
      <c r="J74" s="28">
        <f>(IF(B67&gt;1,(H67/(B67+2)+J73),0))</f>
        <v>0</v>
      </c>
    </row>
    <row r="75" spans="1:10" ht="15" customHeight="1" x14ac:dyDescent="0.25">
      <c r="A75" s="86" t="s">
        <v>134</v>
      </c>
      <c r="B75" s="87" t="s">
        <v>131</v>
      </c>
      <c r="C75" s="41">
        <v>22</v>
      </c>
      <c r="D75" s="17">
        <f ca="1">((100/(H67))*C75)/100</f>
        <v>0.81481481481481477</v>
      </c>
      <c r="E75" s="166"/>
      <c r="F75" s="167"/>
      <c r="G75" s="166"/>
      <c r="H75" s="171"/>
      <c r="I75" s="14" t="s">
        <v>142</v>
      </c>
      <c r="J75" s="28">
        <f>(IF(B67&gt;2,(H67/(B67+2)+J74),0))</f>
        <v>0</v>
      </c>
    </row>
    <row r="76" spans="1:10" ht="15.75" customHeight="1" x14ac:dyDescent="0.25">
      <c r="A76" s="86" t="s">
        <v>130</v>
      </c>
      <c r="B76" s="87" t="s">
        <v>130</v>
      </c>
      <c r="C76" s="41">
        <v>12</v>
      </c>
      <c r="D76" s="17">
        <f ca="1">((100/H67)*C76)/100</f>
        <v>0.44444444444444442</v>
      </c>
      <c r="E76" s="166"/>
      <c r="F76" s="167"/>
      <c r="G76" s="166"/>
      <c r="H76" s="171"/>
      <c r="I76" s="14" t="s">
        <v>143</v>
      </c>
      <c r="J76" s="29">
        <f>(IF(B67&gt;3,(H67/(B67+2)+J75),0))</f>
        <v>0</v>
      </c>
    </row>
    <row r="77" spans="1:10" ht="15.75" customHeight="1" x14ac:dyDescent="0.25">
      <c r="A77" s="86" t="s">
        <v>137</v>
      </c>
      <c r="B77" s="87"/>
      <c r="C77" s="41">
        <v>0</v>
      </c>
      <c r="D77" s="17">
        <f ca="1">((100/H67)*C77)/100</f>
        <v>0</v>
      </c>
      <c r="E77" s="166"/>
      <c r="F77" s="167"/>
      <c r="G77" s="166"/>
      <c r="H77" s="171"/>
      <c r="I77" s="14" t="s">
        <v>144</v>
      </c>
      <c r="J77" s="28">
        <f>(IF(B67&gt;4,(H67/(B67+2)+J76),0))</f>
        <v>0</v>
      </c>
    </row>
    <row r="78" spans="1:10" ht="15.75" customHeight="1" x14ac:dyDescent="0.25">
      <c r="A78" s="86" t="s">
        <v>132</v>
      </c>
      <c r="B78" s="87" t="s">
        <v>132</v>
      </c>
      <c r="C78" s="41">
        <v>0</v>
      </c>
      <c r="D78" s="17">
        <f ca="1">((100/(H67))*C78)/100</f>
        <v>0</v>
      </c>
      <c r="E78" s="166"/>
      <c r="F78" s="167"/>
      <c r="G78" s="166"/>
      <c r="H78" s="171"/>
      <c r="I78" s="14" t="s">
        <v>146</v>
      </c>
      <c r="J78" s="28">
        <f ca="1">(IF(B67=1,(H67/(B67+3)+J73),IF(B67=0,(H67/4+J73),IF(B67&gt;1,0))))</f>
        <v>20.25</v>
      </c>
    </row>
    <row r="79" spans="1:10" ht="16.5" thickBot="1" x14ac:dyDescent="0.3">
      <c r="A79" s="173" t="s">
        <v>133</v>
      </c>
      <c r="B79" s="174"/>
      <c r="C79" s="42">
        <v>0</v>
      </c>
      <c r="D79" s="18">
        <f ca="1">((100/(H67))*C79)/100</f>
        <v>0</v>
      </c>
      <c r="E79" s="168"/>
      <c r="F79" s="169"/>
      <c r="G79" s="168"/>
      <c r="H79" s="172"/>
      <c r="I79" s="15" t="s">
        <v>104</v>
      </c>
      <c r="J79" s="30">
        <f ca="1">(IF(B67&gt;1.5,(H67/(B67+2)+J73+MAX(0,J74-J73)+MAX(0,J75-J74)+MAX(0,J76-J75)+MAX(0,J77-J76)+MAX(0,J78-J77)),IF(B67=1,(H67/(B67+3)+J78),IF(B67=0,H67/4+J78))))</f>
        <v>27</v>
      </c>
    </row>
    <row r="80" spans="1:10" x14ac:dyDescent="0.25">
      <c r="A80" s="182" t="s">
        <v>155</v>
      </c>
      <c r="B80" s="182"/>
      <c r="C80" s="182"/>
      <c r="D80" s="182"/>
      <c r="E80" s="182"/>
      <c r="F80" s="106" t="s">
        <v>159</v>
      </c>
      <c r="G80" s="106"/>
      <c r="H80" s="106"/>
    </row>
    <row r="81" spans="1:12" x14ac:dyDescent="0.25">
      <c r="A81" s="68" t="s">
        <v>157</v>
      </c>
      <c r="B81" s="68"/>
      <c r="C81" s="68"/>
      <c r="D81" s="68"/>
      <c r="E81" s="68"/>
      <c r="F81" s="109">
        <v>16000</v>
      </c>
      <c r="G81" s="109"/>
      <c r="H81" s="109"/>
      <c r="J81" s="20">
        <v>16000</v>
      </c>
      <c r="K81" s="20" t="s">
        <v>281</v>
      </c>
      <c r="L81" s="55">
        <v>45467</v>
      </c>
    </row>
    <row r="82" spans="1:12" hidden="1" x14ac:dyDescent="0.25">
      <c r="A82" s="68" t="s">
        <v>156</v>
      </c>
      <c r="B82" s="68"/>
      <c r="C82" s="68"/>
      <c r="D82" s="68"/>
      <c r="E82" s="68"/>
      <c r="F82" s="64"/>
      <c r="G82" s="64"/>
      <c r="H82" s="64"/>
    </row>
    <row r="83" spans="1:12" hidden="1" x14ac:dyDescent="0.25">
      <c r="A83" s="68" t="s">
        <v>158</v>
      </c>
      <c r="B83" s="68"/>
      <c r="C83" s="68"/>
      <c r="D83" s="68"/>
      <c r="E83" s="68"/>
      <c r="F83" s="64"/>
      <c r="G83" s="64"/>
      <c r="H83" s="64"/>
    </row>
    <row r="84" spans="1:12" s="31" customFormat="1" x14ac:dyDescent="0.25">
      <c r="A84" s="68" t="s">
        <v>279</v>
      </c>
      <c r="B84" s="68"/>
      <c r="C84" s="68"/>
      <c r="D84" s="68"/>
      <c r="E84" s="68"/>
      <c r="F84" s="183" t="s">
        <v>280</v>
      </c>
      <c r="G84" s="183"/>
      <c r="H84" s="183"/>
    </row>
    <row r="85" spans="1:12" s="31" customFormat="1" hidden="1" x14ac:dyDescent="0.25">
      <c r="A85" s="68" t="s">
        <v>94</v>
      </c>
      <c r="B85" s="68"/>
      <c r="C85" s="68"/>
      <c r="D85" s="68"/>
      <c r="E85" s="68"/>
      <c r="F85" s="64"/>
      <c r="G85" s="64"/>
      <c r="H85" s="64"/>
    </row>
    <row r="86" spans="1:12" s="31" customFormat="1" hidden="1" x14ac:dyDescent="0.25">
      <c r="A86" s="68" t="s">
        <v>95</v>
      </c>
      <c r="B86" s="68"/>
      <c r="C86" s="68"/>
      <c r="D86" s="68"/>
      <c r="E86" s="68"/>
      <c r="F86" s="64"/>
      <c r="G86" s="64"/>
      <c r="H86" s="64"/>
    </row>
    <row r="87" spans="1:12" s="31" customFormat="1" hidden="1" x14ac:dyDescent="0.25">
      <c r="A87" s="68" t="s">
        <v>160</v>
      </c>
      <c r="B87" s="68"/>
      <c r="C87" s="68"/>
      <c r="D87" s="68"/>
      <c r="E87" s="68"/>
      <c r="F87" s="64"/>
      <c r="G87" s="64"/>
      <c r="H87" s="64"/>
    </row>
    <row r="88" spans="1:12" s="31" customFormat="1" hidden="1" x14ac:dyDescent="0.25">
      <c r="A88" s="68" t="s">
        <v>96</v>
      </c>
      <c r="B88" s="68"/>
      <c r="C88" s="68"/>
      <c r="D88" s="68"/>
      <c r="E88" s="68"/>
      <c r="F88" s="64"/>
      <c r="G88" s="64"/>
      <c r="H88" s="64"/>
    </row>
    <row r="89" spans="1:12" s="31" customFormat="1" hidden="1" x14ac:dyDescent="0.25">
      <c r="A89" s="68" t="s">
        <v>97</v>
      </c>
      <c r="B89" s="68"/>
      <c r="C89" s="68"/>
      <c r="D89" s="68"/>
      <c r="E89" s="68"/>
      <c r="F89" s="64"/>
      <c r="G89" s="64"/>
      <c r="H89" s="64"/>
    </row>
    <row r="90" spans="1:12" s="31" customFormat="1" hidden="1" x14ac:dyDescent="0.25">
      <c r="A90" s="68" t="s">
        <v>98</v>
      </c>
      <c r="B90" s="68"/>
      <c r="C90" s="68"/>
      <c r="D90" s="68"/>
      <c r="E90" s="68"/>
      <c r="F90" s="64"/>
      <c r="G90" s="64"/>
      <c r="H90" s="64"/>
    </row>
    <row r="91" spans="1:12" s="31" customFormat="1" hidden="1" x14ac:dyDescent="0.25">
      <c r="A91" s="68" t="s">
        <v>99</v>
      </c>
      <c r="B91" s="68"/>
      <c r="C91" s="68"/>
      <c r="D91" s="68"/>
      <c r="E91" s="68"/>
      <c r="F91" s="64"/>
      <c r="G91" s="64"/>
      <c r="H91" s="64"/>
    </row>
    <row r="92" spans="1:12" x14ac:dyDescent="0.25">
      <c r="A92" s="68" t="s">
        <v>51</v>
      </c>
      <c r="B92" s="68"/>
      <c r="C92" s="68"/>
      <c r="D92" s="68"/>
      <c r="E92" s="68"/>
      <c r="F92" s="64">
        <v>600000</v>
      </c>
      <c r="G92" s="64"/>
      <c r="H92" s="64"/>
    </row>
    <row r="93" spans="1:12" s="32" customFormat="1" x14ac:dyDescent="0.25">
      <c r="A93" s="132" t="s">
        <v>52</v>
      </c>
      <c r="B93" s="132"/>
      <c r="C93" s="132"/>
      <c r="D93" s="132"/>
      <c r="E93" s="132"/>
      <c r="F93" s="64">
        <f>F81*0.8</f>
        <v>12800</v>
      </c>
      <c r="G93" s="64"/>
      <c r="H93" s="64"/>
    </row>
    <row r="94" spans="1:12" s="33" customFormat="1" x14ac:dyDescent="0.25">
      <c r="A94" s="134" t="s">
        <v>70</v>
      </c>
      <c r="B94" s="134"/>
      <c r="C94" s="134"/>
      <c r="D94" s="134"/>
      <c r="E94" s="134"/>
      <c r="F94" s="134"/>
      <c r="G94" s="134"/>
      <c r="H94" s="134"/>
    </row>
    <row r="95" spans="1:12" s="33" customFormat="1" ht="15.75" customHeight="1" x14ac:dyDescent="0.25">
      <c r="A95" s="108" t="s">
        <v>53</v>
      </c>
      <c r="B95" s="108"/>
      <c r="C95" s="72" t="s">
        <v>77</v>
      </c>
      <c r="D95" s="72"/>
      <c r="E95" s="107" t="s">
        <v>54</v>
      </c>
      <c r="F95" s="107"/>
      <c r="G95" s="108" t="s">
        <v>55</v>
      </c>
      <c r="H95" s="108"/>
    </row>
    <row r="96" spans="1:12" s="33" customFormat="1" ht="16.5" thickBot="1" x14ac:dyDescent="0.3">
      <c r="A96" s="133" t="s">
        <v>255</v>
      </c>
      <c r="B96" s="133"/>
      <c r="C96" s="162">
        <f>COUNT(D107:D110)*3+COUNT(D112:D115)+COUNT(D117:D120)*10+COUNT(D122:D125)*2+COUNT(D128:D131)+COUNT(D133:D136)+COUNT(D138:D139)</f>
        <v>74</v>
      </c>
      <c r="D96" s="162"/>
      <c r="E96" s="163">
        <f>SUM(D107:D110)*3+SUM(D112:D115)+SUM(D117:D120)*10+SUM(D122:D125)*2+SUM(D128:D131)+SUM(D133:D136)+SUM(D138:D139)</f>
        <v>82571.289840000012</v>
      </c>
      <c r="F96" s="163"/>
      <c r="G96" s="163">
        <f>SUM(F107:F110)*3+SUM(F112:F115)+SUM(F117:F120)*10+SUM(F122:F125)*2+SUM(F128:F131)+SUM(F133:F136)+SUM(F138:F139)</f>
        <v>123856.93475999999</v>
      </c>
      <c r="H96" s="163"/>
    </row>
    <row r="97" spans="1:14" s="33" customFormat="1" ht="16.5" thickBot="1" x14ac:dyDescent="0.3">
      <c r="A97" s="77" t="s">
        <v>149</v>
      </c>
      <c r="B97" s="78"/>
      <c r="C97" s="79">
        <f>SUM(C96)</f>
        <v>74</v>
      </c>
      <c r="D97" s="80"/>
      <c r="E97" s="81">
        <f>SUM(E96)</f>
        <v>82571.289840000012</v>
      </c>
      <c r="F97" s="82"/>
      <c r="G97" s="83">
        <f>SUM(G96)</f>
        <v>123856.93475999999</v>
      </c>
      <c r="H97" s="84"/>
    </row>
    <row r="98" spans="1:14" s="33" customFormat="1" ht="16.5" hidden="1" thickBot="1" x14ac:dyDescent="0.3">
      <c r="A98" s="77" t="s">
        <v>165</v>
      </c>
      <c r="B98" s="78"/>
      <c r="C98" s="79">
        <f>SUM(C97)</f>
        <v>74</v>
      </c>
      <c r="D98" s="80"/>
      <c r="E98" s="81">
        <f t="shared" ref="E98" si="0">SUM(E97)</f>
        <v>82571.289840000012</v>
      </c>
      <c r="F98" s="82"/>
      <c r="G98" s="83">
        <f>SUM(G97)</f>
        <v>123856.93475999999</v>
      </c>
      <c r="H98" s="84"/>
    </row>
    <row r="99" spans="1:14" s="32" customFormat="1" x14ac:dyDescent="0.25">
      <c r="A99" s="106" t="s">
        <v>56</v>
      </c>
      <c r="B99" s="106"/>
      <c r="C99" s="106"/>
      <c r="D99" s="106"/>
      <c r="E99" s="106"/>
      <c r="F99" s="106"/>
      <c r="G99" s="106"/>
      <c r="H99" s="106"/>
    </row>
    <row r="100" spans="1:14" x14ac:dyDescent="0.25">
      <c r="A100" s="67" t="s">
        <v>254</v>
      </c>
      <c r="B100" s="67"/>
      <c r="C100" s="67"/>
      <c r="D100" s="67"/>
      <c r="E100" s="67"/>
      <c r="F100" s="67"/>
      <c r="G100" s="67"/>
      <c r="H100" s="67"/>
    </row>
    <row r="101" spans="1:14" ht="47.25" customHeight="1" x14ac:dyDescent="0.25">
      <c r="A101" s="104" t="s">
        <v>119</v>
      </c>
      <c r="B101" s="118" t="s">
        <v>172</v>
      </c>
      <c r="C101" s="118" t="s">
        <v>57</v>
      </c>
      <c r="D101" s="118" t="s">
        <v>58</v>
      </c>
      <c r="E101" s="120" t="s">
        <v>59</v>
      </c>
      <c r="F101" s="49" t="s">
        <v>148</v>
      </c>
      <c r="G101" s="104" t="s">
        <v>60</v>
      </c>
      <c r="H101" s="122"/>
      <c r="I101" s="34"/>
    </row>
    <row r="102" spans="1:14" s="35" customFormat="1" x14ac:dyDescent="0.25">
      <c r="A102" s="105"/>
      <c r="B102" s="119"/>
      <c r="C102" s="119"/>
      <c r="D102" s="119"/>
      <c r="E102" s="121"/>
      <c r="F102" s="13">
        <v>0.5</v>
      </c>
      <c r="G102" s="105"/>
      <c r="H102" s="123"/>
      <c r="I102" s="34"/>
    </row>
    <row r="103" spans="1:14" s="35" customFormat="1" ht="36" customHeight="1" x14ac:dyDescent="0.25">
      <c r="A103" s="124" t="s">
        <v>268</v>
      </c>
      <c r="B103" s="125"/>
      <c r="C103" s="125"/>
      <c r="D103" s="125"/>
      <c r="E103" s="125"/>
      <c r="F103" s="125"/>
      <c r="G103" s="125"/>
      <c r="H103" s="126"/>
      <c r="J103" s="34"/>
    </row>
    <row r="104" spans="1:14" s="35" customFormat="1" ht="17.25" customHeight="1" x14ac:dyDescent="0.25">
      <c r="A104" s="124" t="s">
        <v>269</v>
      </c>
      <c r="B104" s="125"/>
      <c r="C104" s="125"/>
      <c r="D104" s="125"/>
      <c r="E104" s="125"/>
      <c r="F104" s="125"/>
      <c r="G104" s="125"/>
      <c r="H104" s="126"/>
      <c r="I104" s="34"/>
      <c r="L104" s="186"/>
      <c r="M104" s="186"/>
      <c r="N104" s="34"/>
    </row>
    <row r="105" spans="1:14" s="35" customFormat="1" ht="34.5" customHeight="1" x14ac:dyDescent="0.25">
      <c r="A105" s="127" t="s">
        <v>270</v>
      </c>
      <c r="B105" s="127"/>
      <c r="C105" s="127"/>
      <c r="D105" s="127"/>
      <c r="E105" s="127"/>
      <c r="F105" s="127"/>
      <c r="G105" s="127"/>
      <c r="H105" s="127"/>
      <c r="I105" s="53">
        <v>10.763999999999999</v>
      </c>
      <c r="N105" s="34"/>
    </row>
    <row r="106" spans="1:14" s="35" customFormat="1" x14ac:dyDescent="0.25">
      <c r="A106" s="127" t="s">
        <v>248</v>
      </c>
      <c r="B106" s="127"/>
      <c r="C106" s="127"/>
      <c r="D106" s="127"/>
      <c r="E106" s="127"/>
      <c r="F106" s="127"/>
      <c r="G106" s="127"/>
      <c r="H106" s="127"/>
      <c r="I106" s="34"/>
      <c r="J106" s="35" t="s">
        <v>251</v>
      </c>
      <c r="N106" s="34"/>
    </row>
    <row r="107" spans="1:14" s="35" customFormat="1" ht="15.75" customHeight="1" x14ac:dyDescent="0.25">
      <c r="A107" s="110">
        <v>1</v>
      </c>
      <c r="B107" s="110"/>
      <c r="C107" s="56" t="s">
        <v>249</v>
      </c>
      <c r="D107" s="53">
        <f>(120.46+13.82)*10.764</f>
        <v>1445.3899199999998</v>
      </c>
      <c r="E107" s="53">
        <v>0</v>
      </c>
      <c r="F107" s="56">
        <f>D107*(($F$102)+1)+(IF(E107&lt;101,E107,IF(E107&lt;201,E107/2,IF(E107&lt;=301,E107/3,E107/4))))</f>
        <v>2168.0848799999999</v>
      </c>
      <c r="G107" s="110" t="str">
        <f>A106</f>
        <v>8th to 10th Floor For Residenial</v>
      </c>
      <c r="H107" s="110"/>
      <c r="I107" s="34">
        <f>5.5*6.62+2.77*3.66+4.22*2.95+4.22*3.5+4.59*3.88+3.53*1.45+1.45*2.57+2.46*1.29+0.83*2.57+0.9*4.4+2.92*1.56</f>
        <v>114.2431</v>
      </c>
      <c r="J107" s="35">
        <f>2.1*6.58</f>
        <v>13.818000000000001</v>
      </c>
      <c r="K107" s="34">
        <f>I107*5%+114</f>
        <v>119.712155</v>
      </c>
      <c r="L107" s="186"/>
      <c r="M107" s="186"/>
      <c r="N107" s="34"/>
    </row>
    <row r="108" spans="1:14" s="35" customFormat="1" ht="15.75" customHeight="1" x14ac:dyDescent="0.25">
      <c r="A108" s="110">
        <f t="shared" ref="A108:A109" si="1">A107+1</f>
        <v>2</v>
      </c>
      <c r="B108" s="110"/>
      <c r="C108" s="56" t="s">
        <v>249</v>
      </c>
      <c r="D108" s="53">
        <f>(120.46+13.82)*10.764</f>
        <v>1445.3899199999998</v>
      </c>
      <c r="E108" s="53">
        <v>0</v>
      </c>
      <c r="F108" s="56">
        <f>D108*(($F$102)+1)+(IF(E108&lt;101,E108,IF(E108&lt;201,E108/2,IF(E108&lt;=301,E108/3,E108/4))))</f>
        <v>2168.0848799999999</v>
      </c>
      <c r="G108" s="110"/>
      <c r="H108" s="110"/>
      <c r="I108" s="34"/>
      <c r="K108" s="34"/>
      <c r="L108" s="186"/>
      <c r="M108" s="186"/>
      <c r="N108" s="34"/>
    </row>
    <row r="109" spans="1:14" s="35" customFormat="1" ht="15.75" customHeight="1" x14ac:dyDescent="0.25">
      <c r="A109" s="110">
        <f t="shared" si="1"/>
        <v>3</v>
      </c>
      <c r="B109" s="110"/>
      <c r="C109" s="56" t="s">
        <v>250</v>
      </c>
      <c r="D109" s="53">
        <f>(65.37+4.55)*10.764</f>
        <v>752.61887999999999</v>
      </c>
      <c r="E109" s="53">
        <v>0</v>
      </c>
      <c r="F109" s="56">
        <f>D109*(($F$102)+1)+(IF(E109&lt;101,E109,IF(E109&lt;201,E109/2,IF(E109&lt;=301,E109/3,E109/4))))</f>
        <v>1128.92832</v>
      </c>
      <c r="G109" s="110"/>
      <c r="H109" s="110"/>
      <c r="I109" s="54">
        <f>6.04*3.49+3.2*2.13+3.2*3.35+3.35*4+1.5*0.5+2.25*1.3+1.34*2.29+0.91*1.39+1.1*0.8+0.9*4</f>
        <v>64.504099999999994</v>
      </c>
      <c r="J109" s="35">
        <f>1.25*3.64</f>
        <v>4.55</v>
      </c>
      <c r="K109" s="34">
        <f>I109*5%+64</f>
        <v>67.225205000000003</v>
      </c>
      <c r="L109" s="186">
        <f>2.2*1</f>
        <v>2.2000000000000002</v>
      </c>
      <c r="M109" s="186"/>
      <c r="N109" s="34"/>
    </row>
    <row r="110" spans="1:14" s="35" customFormat="1" x14ac:dyDescent="0.25">
      <c r="A110" s="110">
        <v>4</v>
      </c>
      <c r="B110" s="110"/>
      <c r="C110" s="56" t="s">
        <v>250</v>
      </c>
      <c r="D110" s="53">
        <f>(68.22+4.55)*10.764</f>
        <v>783.29627999999991</v>
      </c>
      <c r="E110" s="53">
        <v>0</v>
      </c>
      <c r="F110" s="56">
        <f>D110*(($F$102)+1)+(IF(E110&lt;101,E110,IF(E110&lt;201,E110/2,IF(E110&lt;=301,E110/3,E110/4))))</f>
        <v>1174.9444199999998</v>
      </c>
      <c r="G110" s="110"/>
      <c r="H110" s="110"/>
      <c r="I110" s="34">
        <f>6.04*3.49+3.2*2.13+3.2*3.35+3.35*3.95+2.25*1.3+1.34*2.29+0.91*1.39+1.1*0.8+0.9*4</f>
        <v>63.586600000000004</v>
      </c>
      <c r="N110" s="34"/>
    </row>
    <row r="111" spans="1:14" s="35" customFormat="1" x14ac:dyDescent="0.25">
      <c r="A111" s="127" t="s">
        <v>271</v>
      </c>
      <c r="B111" s="127"/>
      <c r="C111" s="127"/>
      <c r="D111" s="127"/>
      <c r="E111" s="127"/>
      <c r="F111" s="127"/>
      <c r="G111" s="127"/>
      <c r="H111" s="127"/>
      <c r="I111" s="34"/>
      <c r="L111" s="35">
        <f>65.37+2.85</f>
        <v>68.22</v>
      </c>
      <c r="N111" s="34"/>
    </row>
    <row r="112" spans="1:14" s="35" customFormat="1" ht="15.75" customHeight="1" x14ac:dyDescent="0.25">
      <c r="A112" s="110">
        <v>1</v>
      </c>
      <c r="B112" s="110"/>
      <c r="C112" s="56" t="s">
        <v>249</v>
      </c>
      <c r="D112" s="53">
        <f>(120.46+13.82)*10.764</f>
        <v>1445.3899199999998</v>
      </c>
      <c r="E112" s="53">
        <v>0</v>
      </c>
      <c r="F112" s="56">
        <f t="shared" ref="F112:F113" si="2">D112*(($F$102)+1)+(IF(E112&lt;101,E112,IF(E112&lt;201,E112/2,IF(E112&lt;=301,E112/3,E112/4))))</f>
        <v>2168.0848799999999</v>
      </c>
      <c r="G112" s="110" t="str">
        <f>A111</f>
        <v>11th Floor ( Part Refuge Area )</v>
      </c>
      <c r="H112" s="110"/>
      <c r="I112" s="34"/>
      <c r="N112" s="34"/>
    </row>
    <row r="113" spans="1:14" s="35" customFormat="1" ht="15.75" customHeight="1" x14ac:dyDescent="0.25">
      <c r="A113" s="110">
        <f>A112+1</f>
        <v>2</v>
      </c>
      <c r="B113" s="110"/>
      <c r="C113" s="56" t="s">
        <v>249</v>
      </c>
      <c r="D113" s="53">
        <f>(120.46+13.82)*10.764</f>
        <v>1445.3899199999998</v>
      </c>
      <c r="E113" s="53">
        <v>0</v>
      </c>
      <c r="F113" s="56">
        <f t="shared" si="2"/>
        <v>2168.0848799999999</v>
      </c>
      <c r="G113" s="110"/>
      <c r="H113" s="110"/>
      <c r="I113" s="34"/>
      <c r="N113" s="34"/>
    </row>
    <row r="114" spans="1:14" s="35" customFormat="1" ht="15.75" customHeight="1" x14ac:dyDescent="0.25">
      <c r="A114" s="110">
        <f>A113+1</f>
        <v>3</v>
      </c>
      <c r="B114" s="110"/>
      <c r="C114" s="56" t="s">
        <v>250</v>
      </c>
      <c r="D114" s="53">
        <f>(65.37+4.55)*10.764</f>
        <v>752.61887999999999</v>
      </c>
      <c r="E114" s="53">
        <v>0</v>
      </c>
      <c r="F114" s="56">
        <f>D114*(($F$102)+1)+(IF(E114&lt;101,E114,IF(E114&lt;201,E114/2,IF(E114&lt;=301,E114/3,E114/4))))</f>
        <v>1128.92832</v>
      </c>
      <c r="G114" s="110"/>
      <c r="H114" s="110"/>
      <c r="I114" s="34"/>
      <c r="N114" s="34"/>
    </row>
    <row r="115" spans="1:14" s="35" customFormat="1" ht="15.75" customHeight="1" x14ac:dyDescent="0.25">
      <c r="A115" s="110">
        <f>A114+1</f>
        <v>4</v>
      </c>
      <c r="B115" s="110"/>
      <c r="C115" s="56" t="s">
        <v>250</v>
      </c>
      <c r="D115" s="53">
        <f>(68.22+4.55)*10.764</f>
        <v>783.29627999999991</v>
      </c>
      <c r="E115" s="53">
        <v>0</v>
      </c>
      <c r="F115" s="56">
        <f>D115*(($F$102)+1)+(IF(E115&lt;101,E115,IF(E115&lt;201,E115/2,IF(E115&lt;=301,E115/3,E115/4))))</f>
        <v>1174.9444199999998</v>
      </c>
      <c r="G115" s="110"/>
      <c r="H115" s="110"/>
      <c r="I115" s="34"/>
      <c r="N115" s="34"/>
    </row>
    <row r="116" spans="1:14" s="35" customFormat="1" x14ac:dyDescent="0.25">
      <c r="A116" s="127" t="s">
        <v>272</v>
      </c>
      <c r="B116" s="127"/>
      <c r="C116" s="127"/>
      <c r="D116" s="127"/>
      <c r="E116" s="127"/>
      <c r="F116" s="127"/>
      <c r="G116" s="127"/>
      <c r="H116" s="127"/>
      <c r="I116" s="34"/>
    </row>
    <row r="117" spans="1:14" s="35" customFormat="1" ht="15.75" customHeight="1" x14ac:dyDescent="0.25">
      <c r="A117" s="65">
        <v>1</v>
      </c>
      <c r="B117" s="66"/>
      <c r="C117" s="40" t="s">
        <v>249</v>
      </c>
      <c r="D117" s="53">
        <f>(120.46+13.82)*10.764</f>
        <v>1445.3899199999998</v>
      </c>
      <c r="E117" s="53">
        <v>0</v>
      </c>
      <c r="F117" s="40">
        <f>D117*(($F$102)+1)+(IF(E117&lt;101,E117,IF(E117&lt;201,E117/2,IF(E117&lt;=301,E117/3,E117/4))))</f>
        <v>2168.0848799999999</v>
      </c>
      <c r="G117" s="111" t="str">
        <f>A116</f>
        <v>12th to 15th, 17th to 20th, 22nd &amp; 24th  Floor</v>
      </c>
      <c r="H117" s="113"/>
      <c r="I117" s="34"/>
    </row>
    <row r="118" spans="1:14" s="35" customFormat="1" ht="15.75" customHeight="1" x14ac:dyDescent="0.25">
      <c r="A118" s="65">
        <v>2</v>
      </c>
      <c r="B118" s="66"/>
      <c r="C118" s="40" t="s">
        <v>249</v>
      </c>
      <c r="D118" s="53">
        <f>(120.46+13.82)*10.764</f>
        <v>1445.3899199999998</v>
      </c>
      <c r="E118" s="53">
        <v>0</v>
      </c>
      <c r="F118" s="40">
        <f>D118*(($F$102)+1)+(IF(E118&lt;101,E118,IF(E118&lt;201,E118/2,IF(E118&lt;=301,E118/3,E118/4))))</f>
        <v>2168.0848799999999</v>
      </c>
      <c r="G118" s="128"/>
      <c r="H118" s="129"/>
      <c r="I118" s="34"/>
    </row>
    <row r="119" spans="1:14" s="35" customFormat="1" ht="15.75" customHeight="1" x14ac:dyDescent="0.25">
      <c r="A119" s="65">
        <v>3</v>
      </c>
      <c r="B119" s="66"/>
      <c r="C119" s="40" t="s">
        <v>250</v>
      </c>
      <c r="D119" s="53">
        <f>(65.37+4.55)*10.764</f>
        <v>752.61887999999999</v>
      </c>
      <c r="E119" s="53">
        <v>0</v>
      </c>
      <c r="F119" s="40">
        <f>D119*(($F$102)+1)+(IF(E119&lt;101,E119,IF(E119&lt;201,E119/2,IF(E119&lt;=301,E119/3,E119/4))))</f>
        <v>1128.92832</v>
      </c>
      <c r="G119" s="128"/>
      <c r="H119" s="129"/>
      <c r="I119" s="34"/>
    </row>
    <row r="120" spans="1:14" s="35" customFormat="1" ht="15.75" customHeight="1" x14ac:dyDescent="0.25">
      <c r="A120" s="65">
        <v>4</v>
      </c>
      <c r="B120" s="66"/>
      <c r="C120" s="40" t="s">
        <v>250</v>
      </c>
      <c r="D120" s="53">
        <f>(68.22+4.55)*10.764</f>
        <v>783.29627999999991</v>
      </c>
      <c r="E120" s="53">
        <v>0</v>
      </c>
      <c r="F120" s="40">
        <f>D120*(($F$102)+1)+(IF(E120&lt;101,E120,IF(E120&lt;201,E120/2,IF(E120&lt;=301,E120/3,E120/4))))</f>
        <v>1174.9444199999998</v>
      </c>
      <c r="G120" s="114"/>
      <c r="H120" s="116"/>
      <c r="I120" s="34"/>
    </row>
    <row r="121" spans="1:14" s="35" customFormat="1" x14ac:dyDescent="0.25">
      <c r="A121" s="127" t="s">
        <v>276</v>
      </c>
      <c r="B121" s="127"/>
      <c r="C121" s="127"/>
      <c r="D121" s="127"/>
      <c r="E121" s="127"/>
      <c r="F121" s="127"/>
      <c r="G121" s="127"/>
      <c r="H121" s="127"/>
      <c r="I121" s="34"/>
      <c r="L121" s="35">
        <f>65.37+2.85</f>
        <v>68.22</v>
      </c>
      <c r="N121" s="34"/>
    </row>
    <row r="122" spans="1:14" s="35" customFormat="1" ht="15.75" customHeight="1" x14ac:dyDescent="0.25">
      <c r="A122" s="110">
        <v>1</v>
      </c>
      <c r="B122" s="110"/>
      <c r="C122" s="40" t="s">
        <v>249</v>
      </c>
      <c r="D122" s="53">
        <f>(120.46+13.82)*10.764</f>
        <v>1445.3899199999998</v>
      </c>
      <c r="E122" s="53">
        <v>0</v>
      </c>
      <c r="F122" s="40">
        <f t="shared" ref="F122:F123" si="3">D122*(($F$102)+1)+(IF(E122&lt;101,E122,IF(E122&lt;201,E122/2,IF(E122&lt;=301,E122/3,E122/4))))</f>
        <v>2168.0848799999999</v>
      </c>
      <c r="G122" s="111" t="str">
        <f>A121</f>
        <v>16th &amp; 21st Floor ( Part Refuge Area )</v>
      </c>
      <c r="H122" s="113"/>
      <c r="I122" s="34"/>
      <c r="N122" s="34"/>
    </row>
    <row r="123" spans="1:14" s="35" customFormat="1" ht="15.75" customHeight="1" x14ac:dyDescent="0.25">
      <c r="A123" s="110">
        <f>A122+1</f>
        <v>2</v>
      </c>
      <c r="B123" s="110"/>
      <c r="C123" s="40" t="s">
        <v>249</v>
      </c>
      <c r="D123" s="53">
        <f>(120.46+13.82)*10.764</f>
        <v>1445.3899199999998</v>
      </c>
      <c r="E123" s="53">
        <v>0</v>
      </c>
      <c r="F123" s="40">
        <f t="shared" si="3"/>
        <v>2168.0848799999999</v>
      </c>
      <c r="G123" s="128"/>
      <c r="H123" s="129"/>
      <c r="I123" s="34"/>
      <c r="N123" s="34"/>
    </row>
    <row r="124" spans="1:14" s="35" customFormat="1" ht="15.75" customHeight="1" x14ac:dyDescent="0.25">
      <c r="A124" s="110">
        <f>A123+1</f>
        <v>3</v>
      </c>
      <c r="B124" s="110"/>
      <c r="C124" s="40" t="s">
        <v>250</v>
      </c>
      <c r="D124" s="53">
        <f>(65.37+4.55)*10.764</f>
        <v>752.61887999999999</v>
      </c>
      <c r="E124" s="53">
        <v>0</v>
      </c>
      <c r="F124" s="40">
        <f>D124*(($F$102)+1)+(IF(E124&lt;101,E124,IF(E124&lt;201,E124/2,IF(E124&lt;=301,E124/3,E124/4))))</f>
        <v>1128.92832</v>
      </c>
      <c r="G124" s="128"/>
      <c r="H124" s="129"/>
      <c r="I124" s="34"/>
      <c r="N124" s="34"/>
    </row>
    <row r="125" spans="1:14" s="35" customFormat="1" ht="15.75" customHeight="1" x14ac:dyDescent="0.25">
      <c r="A125" s="110">
        <f>A124+1</f>
        <v>4</v>
      </c>
      <c r="B125" s="110"/>
      <c r="C125" s="40" t="s">
        <v>250</v>
      </c>
      <c r="D125" s="53">
        <f>(68.22+4.55)*10.764</f>
        <v>783.29627999999991</v>
      </c>
      <c r="E125" s="53">
        <v>0</v>
      </c>
      <c r="F125" s="40">
        <f>D125*(($F$102)+1)+(IF(E125&lt;101,E125,IF(E125&lt;201,E125/2,IF(E125&lt;=301,E125/3,E125/4))))</f>
        <v>1174.9444199999998</v>
      </c>
      <c r="G125" s="114"/>
      <c r="H125" s="116"/>
      <c r="I125" s="34"/>
      <c r="N125" s="34"/>
    </row>
    <row r="126" spans="1:14" s="35" customFormat="1" x14ac:dyDescent="0.25">
      <c r="A126" s="124" t="s">
        <v>274</v>
      </c>
      <c r="B126" s="125"/>
      <c r="C126" s="125"/>
      <c r="D126" s="125"/>
      <c r="E126" s="125"/>
      <c r="F126" s="125"/>
      <c r="G126" s="125"/>
      <c r="H126" s="126"/>
      <c r="I126" s="34"/>
    </row>
    <row r="127" spans="1:14" s="35" customFormat="1" x14ac:dyDescent="0.25">
      <c r="A127" s="124" t="s">
        <v>273</v>
      </c>
      <c r="B127" s="125"/>
      <c r="C127" s="125"/>
      <c r="D127" s="125"/>
      <c r="E127" s="125"/>
      <c r="F127" s="125"/>
      <c r="G127" s="125"/>
      <c r="H127" s="126"/>
      <c r="I127" s="34"/>
    </row>
    <row r="128" spans="1:14" s="35" customFormat="1" ht="15.75" customHeight="1" x14ac:dyDescent="0.25">
      <c r="A128" s="65">
        <v>1</v>
      </c>
      <c r="B128" s="66"/>
      <c r="C128" s="40" t="s">
        <v>249</v>
      </c>
      <c r="D128" s="53">
        <f>(120.46+13.82)*10.764</f>
        <v>1445.3899199999998</v>
      </c>
      <c r="E128" s="53">
        <v>0</v>
      </c>
      <c r="F128" s="40">
        <f>D128*(($F$102)+1)+(IF(E128&lt;101,E128,IF(E128&lt;201,E128/2,IF(E128&lt;=301,E128/3,E128/4))))</f>
        <v>2168.0848799999999</v>
      </c>
      <c r="G128" s="111" t="str">
        <f>A127</f>
        <v>25th Floor</v>
      </c>
      <c r="H128" s="113"/>
      <c r="I128" s="34"/>
    </row>
    <row r="129" spans="1:14" s="35" customFormat="1" ht="15.75" customHeight="1" x14ac:dyDescent="0.25">
      <c r="A129" s="65">
        <v>2</v>
      </c>
      <c r="B129" s="66"/>
      <c r="C129" s="40" t="s">
        <v>249</v>
      </c>
      <c r="D129" s="53">
        <f>(120.46+13.82)*10.764</f>
        <v>1445.3899199999998</v>
      </c>
      <c r="E129" s="53">
        <v>0</v>
      </c>
      <c r="F129" s="40">
        <f>D129*(($F$102)+1)+(IF(E129&lt;101,E129,IF(E129&lt;201,E129/2,IF(E129&lt;=301,E129/3,E129/4))))</f>
        <v>2168.0848799999999</v>
      </c>
      <c r="G129" s="128"/>
      <c r="H129" s="129"/>
      <c r="I129" s="34"/>
    </row>
    <row r="130" spans="1:14" s="35" customFormat="1" ht="15.75" customHeight="1" x14ac:dyDescent="0.25">
      <c r="A130" s="65">
        <v>3</v>
      </c>
      <c r="B130" s="66"/>
      <c r="C130" s="40" t="s">
        <v>250</v>
      </c>
      <c r="D130" s="53">
        <f>(65.37+4.55)*10.764</f>
        <v>752.61887999999999</v>
      </c>
      <c r="E130" s="53">
        <v>0</v>
      </c>
      <c r="F130" s="40">
        <f>D130*(($F$102)+1)+(IF(E130&lt;101,E130,IF(E130&lt;201,E130/2,IF(E130&lt;=301,E130/3,E130/4))))</f>
        <v>1128.92832</v>
      </c>
      <c r="G130" s="128"/>
      <c r="H130" s="129"/>
      <c r="I130" s="34"/>
    </row>
    <row r="131" spans="1:14" s="35" customFormat="1" ht="15.75" customHeight="1" x14ac:dyDescent="0.25">
      <c r="A131" s="65">
        <v>4</v>
      </c>
      <c r="B131" s="66"/>
      <c r="C131" s="40" t="s">
        <v>250</v>
      </c>
      <c r="D131" s="53">
        <f>(68.22+4.55)*10.764</f>
        <v>783.29627999999991</v>
      </c>
      <c r="E131" s="53">
        <v>0</v>
      </c>
      <c r="F131" s="40">
        <f>D131*(($F$102)+1)+(IF(E131&lt;101,E131,IF(E131&lt;201,E131/2,IF(E131&lt;=301,E131/3,E131/4))))</f>
        <v>1174.9444199999998</v>
      </c>
      <c r="G131" s="114"/>
      <c r="H131" s="116"/>
      <c r="I131" s="34"/>
    </row>
    <row r="132" spans="1:14" s="35" customFormat="1" x14ac:dyDescent="0.25">
      <c r="A132" s="127" t="s">
        <v>275</v>
      </c>
      <c r="B132" s="127"/>
      <c r="C132" s="127"/>
      <c r="D132" s="127"/>
      <c r="E132" s="127"/>
      <c r="F132" s="127"/>
      <c r="G132" s="127"/>
      <c r="H132" s="127"/>
      <c r="I132" s="34"/>
      <c r="L132" s="35">
        <f>65.37+2.85</f>
        <v>68.22</v>
      </c>
      <c r="N132" s="34"/>
    </row>
    <row r="133" spans="1:14" s="35" customFormat="1" ht="15.75" customHeight="1" x14ac:dyDescent="0.25">
      <c r="A133" s="110">
        <v>1</v>
      </c>
      <c r="B133" s="110"/>
      <c r="C133" s="40" t="s">
        <v>249</v>
      </c>
      <c r="D133" s="53">
        <f>(120.46+13.82)*10.764</f>
        <v>1445.3899199999998</v>
      </c>
      <c r="E133" s="53">
        <v>0</v>
      </c>
      <c r="F133" s="40">
        <f t="shared" ref="F133:F134" si="4">D133*(($F$102)+1)+(IF(E133&lt;101,E133,IF(E133&lt;201,E133/2,IF(E133&lt;=301,E133/3,E133/4))))</f>
        <v>2168.0848799999999</v>
      </c>
      <c r="G133" s="111" t="str">
        <f>A132</f>
        <v>26th Floor ( Part Refuge Area )</v>
      </c>
      <c r="H133" s="113"/>
      <c r="I133" s="34"/>
      <c r="N133" s="34"/>
    </row>
    <row r="134" spans="1:14" s="35" customFormat="1" ht="15.75" customHeight="1" x14ac:dyDescent="0.25">
      <c r="A134" s="110">
        <f>A133+1</f>
        <v>2</v>
      </c>
      <c r="B134" s="110"/>
      <c r="C134" s="40" t="s">
        <v>249</v>
      </c>
      <c r="D134" s="53">
        <f>(120.46+13.82)*10.764</f>
        <v>1445.3899199999998</v>
      </c>
      <c r="E134" s="53">
        <v>0</v>
      </c>
      <c r="F134" s="40">
        <f t="shared" si="4"/>
        <v>2168.0848799999999</v>
      </c>
      <c r="G134" s="128"/>
      <c r="H134" s="129"/>
      <c r="I134" s="34"/>
      <c r="N134" s="34"/>
    </row>
    <row r="135" spans="1:14" s="35" customFormat="1" ht="15.75" customHeight="1" x14ac:dyDescent="0.25">
      <c r="A135" s="110">
        <f>A134+1</f>
        <v>3</v>
      </c>
      <c r="B135" s="110"/>
      <c r="C135" s="40" t="s">
        <v>250</v>
      </c>
      <c r="D135" s="53">
        <f>(65.37+4.55)*10.764</f>
        <v>752.61887999999999</v>
      </c>
      <c r="E135" s="53">
        <v>0</v>
      </c>
      <c r="F135" s="40">
        <f>D135*(($F$102)+1)+(IF(E135&lt;101,E135,IF(E135&lt;201,E135/2,IF(E135&lt;=301,E135/3,E135/4))))</f>
        <v>1128.92832</v>
      </c>
      <c r="G135" s="128"/>
      <c r="H135" s="129"/>
      <c r="I135" s="34"/>
      <c r="N135" s="34"/>
    </row>
    <row r="136" spans="1:14" s="35" customFormat="1" ht="15.75" customHeight="1" x14ac:dyDescent="0.25">
      <c r="A136" s="110">
        <f>A135+1</f>
        <v>4</v>
      </c>
      <c r="B136" s="110"/>
      <c r="C136" s="40" t="s">
        <v>250</v>
      </c>
      <c r="D136" s="53">
        <f>(68.22+4.55)*10.764</f>
        <v>783.29627999999991</v>
      </c>
      <c r="E136" s="53">
        <v>0</v>
      </c>
      <c r="F136" s="40">
        <f>D136*(($F$102)+1)+(IF(E136&lt;101,E136,IF(E136&lt;201,E136/2,IF(E136&lt;=301,E136/3,E136/4))))</f>
        <v>1174.9444199999998</v>
      </c>
      <c r="G136" s="114"/>
      <c r="H136" s="116"/>
      <c r="I136" s="34"/>
      <c r="N136" s="34"/>
    </row>
    <row r="137" spans="1:14" s="35" customFormat="1" x14ac:dyDescent="0.25">
      <c r="A137" s="124" t="s">
        <v>252</v>
      </c>
      <c r="B137" s="125"/>
      <c r="C137" s="125"/>
      <c r="D137" s="125"/>
      <c r="E137" s="125"/>
      <c r="F137" s="125"/>
      <c r="G137" s="125"/>
      <c r="H137" s="126"/>
      <c r="I137" s="34"/>
    </row>
    <row r="138" spans="1:14" s="35" customFormat="1" ht="15.75" customHeight="1" x14ac:dyDescent="0.25">
      <c r="A138" s="65">
        <v>1</v>
      </c>
      <c r="B138" s="66"/>
      <c r="C138" s="40" t="s">
        <v>249</v>
      </c>
      <c r="D138" s="53">
        <f>(120.46+13.82)*10.764</f>
        <v>1445.3899199999998</v>
      </c>
      <c r="E138" s="53">
        <v>0</v>
      </c>
      <c r="F138" s="40">
        <f>D138*(($F$102)+1)+(IF(E138&lt;101,E138,IF(E138&lt;201,E138/2,IF(E138&lt;=301,E138/3,E138/4))))</f>
        <v>2168.0848799999999</v>
      </c>
      <c r="G138" s="111" t="str">
        <f>A137</f>
        <v>27th Floor ( Part Terrace Area )</v>
      </c>
      <c r="H138" s="113"/>
      <c r="I138" s="34"/>
    </row>
    <row r="139" spans="1:14" s="35" customFormat="1" ht="15.75" customHeight="1" x14ac:dyDescent="0.25">
      <c r="A139" s="65">
        <v>2</v>
      </c>
      <c r="B139" s="66"/>
      <c r="C139" s="40" t="s">
        <v>249</v>
      </c>
      <c r="D139" s="53">
        <f>(120.46+13.82)*10.764</f>
        <v>1445.3899199999998</v>
      </c>
      <c r="E139" s="53">
        <v>0</v>
      </c>
      <c r="F139" s="40">
        <f>D139*(($F$102)+1)+(IF(E139&lt;101,E139,IF(E139&lt;201,E139/2,IF(E139&lt;=301,E139/3,E139/4))))</f>
        <v>2168.0848799999999</v>
      </c>
      <c r="G139" s="128"/>
      <c r="H139" s="129"/>
      <c r="I139" s="34"/>
    </row>
    <row r="140" spans="1:14" s="35" customFormat="1" ht="15.75" customHeight="1" x14ac:dyDescent="0.25">
      <c r="A140" s="65">
        <v>3</v>
      </c>
      <c r="B140" s="66"/>
      <c r="C140" s="111" t="s">
        <v>253</v>
      </c>
      <c r="D140" s="112"/>
      <c r="E140" s="112"/>
      <c r="F140" s="113"/>
      <c r="G140" s="128"/>
      <c r="H140" s="129"/>
      <c r="I140" s="34"/>
    </row>
    <row r="141" spans="1:14" s="35" customFormat="1" ht="15.75" customHeight="1" x14ac:dyDescent="0.25">
      <c r="A141" s="65">
        <v>4</v>
      </c>
      <c r="B141" s="66"/>
      <c r="C141" s="114"/>
      <c r="D141" s="115"/>
      <c r="E141" s="115"/>
      <c r="F141" s="116"/>
      <c r="G141" s="114"/>
      <c r="H141" s="116"/>
      <c r="I141" s="34"/>
    </row>
    <row r="142" spans="1:14" s="33" customFormat="1" x14ac:dyDescent="0.25">
      <c r="A142" s="184" t="s">
        <v>68</v>
      </c>
      <c r="B142" s="184"/>
      <c r="C142" s="184"/>
      <c r="D142" s="184"/>
      <c r="E142" s="184"/>
      <c r="F142" s="184"/>
      <c r="G142" s="184"/>
      <c r="H142" s="184"/>
      <c r="I142" s="19"/>
    </row>
    <row r="143" spans="1:14" s="33" customFormat="1" x14ac:dyDescent="0.25">
      <c r="A143" s="44" t="s">
        <v>152</v>
      </c>
      <c r="B143" s="98" t="s">
        <v>278</v>
      </c>
      <c r="C143" s="99"/>
      <c r="D143" s="99"/>
      <c r="E143" s="99"/>
      <c r="F143" s="99"/>
      <c r="G143" s="99"/>
      <c r="H143" s="100"/>
      <c r="I143" s="19"/>
    </row>
    <row r="144" spans="1:14" s="33" customFormat="1" x14ac:dyDescent="0.25">
      <c r="A144" s="44" t="s">
        <v>152</v>
      </c>
      <c r="B144" s="101" t="str">
        <f>(IF(F101="Saleable area Loading :","We have considered Saleable area of Flats as per our Calculation.","We considered Saleable area of Flat as per Builder area Sheet."))</f>
        <v>We have considered Saleable area of Flats as per our Calculation.</v>
      </c>
      <c r="C144" s="102"/>
      <c r="D144" s="102"/>
      <c r="E144" s="102"/>
      <c r="F144" s="102"/>
      <c r="G144" s="102"/>
      <c r="H144" s="103"/>
      <c r="I144" s="19"/>
    </row>
    <row r="145" spans="1:9" s="33" customFormat="1" x14ac:dyDescent="0.25">
      <c r="A145" s="44" t="s">
        <v>152</v>
      </c>
      <c r="B145" s="59" t="s">
        <v>122</v>
      </c>
      <c r="C145" s="60"/>
      <c r="D145" s="60"/>
      <c r="E145" s="60"/>
      <c r="F145" s="60"/>
      <c r="G145" s="60"/>
      <c r="H145" s="61"/>
      <c r="I145" s="19"/>
    </row>
    <row r="146" spans="1:9" s="33" customFormat="1" x14ac:dyDescent="0.25">
      <c r="A146" s="44" t="s">
        <v>152</v>
      </c>
      <c r="B146" s="59" t="s">
        <v>257</v>
      </c>
      <c r="C146" s="60"/>
      <c r="D146" s="60"/>
      <c r="E146" s="60"/>
      <c r="F146" s="60"/>
      <c r="G146" s="60"/>
      <c r="H146" s="61"/>
      <c r="I146" s="19"/>
    </row>
    <row r="147" spans="1:9" s="33" customFormat="1" x14ac:dyDescent="0.25">
      <c r="A147" s="44" t="s">
        <v>152</v>
      </c>
      <c r="B147" s="59" t="s">
        <v>151</v>
      </c>
      <c r="C147" s="60"/>
      <c r="D147" s="60"/>
      <c r="E147" s="60"/>
      <c r="F147" s="60"/>
      <c r="G147" s="60"/>
      <c r="H147" s="61"/>
      <c r="I147" s="19"/>
    </row>
    <row r="148" spans="1:9" s="33" customFormat="1" x14ac:dyDescent="0.25">
      <c r="A148" s="44" t="s">
        <v>152</v>
      </c>
      <c r="B148" s="59" t="s">
        <v>123</v>
      </c>
      <c r="C148" s="60"/>
      <c r="D148" s="60"/>
      <c r="E148" s="60"/>
      <c r="F148" s="60"/>
      <c r="G148" s="60"/>
      <c r="H148" s="61"/>
      <c r="I148" s="19"/>
    </row>
    <row r="149" spans="1:9" s="33" customFormat="1" ht="35.25" customHeight="1" x14ac:dyDescent="0.25">
      <c r="A149" s="44" t="s">
        <v>152</v>
      </c>
      <c r="B149" s="59" t="s">
        <v>153</v>
      </c>
      <c r="C149" s="60"/>
      <c r="D149" s="60"/>
      <c r="E149" s="60"/>
      <c r="F149" s="60"/>
      <c r="G149" s="60"/>
      <c r="H149" s="61"/>
      <c r="I149" s="19"/>
    </row>
    <row r="150" spans="1:9" s="33" customFormat="1" x14ac:dyDescent="0.25">
      <c r="A150" s="44" t="s">
        <v>152</v>
      </c>
      <c r="B150" s="59" t="s">
        <v>124</v>
      </c>
      <c r="C150" s="60"/>
      <c r="D150" s="60"/>
      <c r="E150" s="60"/>
      <c r="F150" s="60"/>
      <c r="G150" s="60"/>
      <c r="H150" s="61"/>
      <c r="I150" s="19"/>
    </row>
    <row r="151" spans="1:9" s="33" customFormat="1" x14ac:dyDescent="0.25">
      <c r="A151" s="44" t="s">
        <v>152</v>
      </c>
      <c r="B151" s="59" t="s">
        <v>282</v>
      </c>
      <c r="C151" s="60"/>
      <c r="D151" s="60"/>
      <c r="E151" s="60"/>
      <c r="F151" s="60"/>
      <c r="G151" s="60"/>
      <c r="H151" s="61"/>
      <c r="I151" s="19"/>
    </row>
    <row r="152" spans="1:9" x14ac:dyDescent="0.25">
      <c r="A152" s="92" t="s">
        <v>61</v>
      </c>
      <c r="B152" s="92"/>
      <c r="C152" s="92"/>
      <c r="D152" s="92"/>
      <c r="E152" s="92"/>
      <c r="F152" s="92"/>
      <c r="G152" s="92"/>
      <c r="H152" s="92"/>
    </row>
    <row r="153" spans="1:9" ht="15.75" customHeight="1" x14ac:dyDescent="0.25">
      <c r="A153" s="68" t="s">
        <v>62</v>
      </c>
      <c r="B153" s="68"/>
      <c r="C153" s="68"/>
      <c r="D153" s="68"/>
      <c r="E153" s="68"/>
      <c r="F153" s="68"/>
      <c r="G153" s="68"/>
      <c r="H153" s="68"/>
    </row>
    <row r="154" spans="1:9" x14ac:dyDescent="0.25">
      <c r="A154" s="117" t="s">
        <v>63</v>
      </c>
      <c r="B154" s="117"/>
      <c r="C154" s="117"/>
      <c r="D154" s="117"/>
      <c r="E154" s="117"/>
      <c r="F154" s="117"/>
      <c r="G154" s="117"/>
      <c r="H154" s="117"/>
    </row>
    <row r="155" spans="1:9" x14ac:dyDescent="0.25">
      <c r="A155" s="68" t="s">
        <v>64</v>
      </c>
      <c r="B155" s="68"/>
      <c r="C155" s="68"/>
      <c r="D155" s="68"/>
      <c r="E155" s="68"/>
      <c r="F155" s="68"/>
      <c r="G155" s="68"/>
      <c r="H155" s="68"/>
    </row>
    <row r="156" spans="1:9" x14ac:dyDescent="0.25">
      <c r="A156" s="68" t="s">
        <v>65</v>
      </c>
      <c r="B156" s="68"/>
      <c r="C156" s="68"/>
      <c r="D156" s="68"/>
      <c r="E156" s="68"/>
      <c r="F156" s="68"/>
      <c r="G156" s="68"/>
      <c r="H156" s="68"/>
    </row>
    <row r="157" spans="1:9" x14ac:dyDescent="0.25">
      <c r="A157" s="68" t="s">
        <v>125</v>
      </c>
      <c r="B157" s="68"/>
      <c r="C157" s="68"/>
      <c r="D157" s="68"/>
      <c r="E157" s="68"/>
      <c r="F157" s="68"/>
      <c r="G157" s="68"/>
      <c r="H157" s="68"/>
    </row>
    <row r="158" spans="1:9" ht="31.5" customHeight="1" x14ac:dyDescent="0.25">
      <c r="A158" s="73" t="s">
        <v>126</v>
      </c>
      <c r="B158" s="73"/>
      <c r="C158" s="73"/>
      <c r="D158" s="73"/>
      <c r="E158" s="73"/>
      <c r="F158" s="73"/>
      <c r="G158" s="73"/>
      <c r="H158" s="73"/>
    </row>
    <row r="159" spans="1:9" x14ac:dyDescent="0.25">
      <c r="A159" s="131" t="s">
        <v>76</v>
      </c>
      <c r="B159" s="131"/>
      <c r="C159" s="131" t="s">
        <v>285</v>
      </c>
      <c r="D159" s="131"/>
      <c r="E159" s="131" t="s">
        <v>106</v>
      </c>
      <c r="F159" s="131"/>
      <c r="G159" s="131" t="s">
        <v>287</v>
      </c>
      <c r="H159" s="131"/>
    </row>
    <row r="160" spans="1:9" x14ac:dyDescent="0.25">
      <c r="A160" s="130" t="s">
        <v>78</v>
      </c>
      <c r="B160" s="130"/>
      <c r="C160" s="130"/>
      <c r="D160" s="130"/>
      <c r="E160" s="130"/>
      <c r="F160" s="130"/>
      <c r="G160" s="130"/>
      <c r="H160" s="130"/>
    </row>
    <row r="161" spans="1:8" x14ac:dyDescent="0.25">
      <c r="A161" s="130"/>
      <c r="B161" s="130"/>
      <c r="C161" s="130"/>
      <c r="D161" s="130"/>
      <c r="E161" s="130"/>
      <c r="F161" s="130"/>
      <c r="G161" s="130"/>
      <c r="H161" s="130"/>
    </row>
    <row r="162" spans="1:8" x14ac:dyDescent="0.25">
      <c r="A162" s="130"/>
      <c r="B162" s="130"/>
      <c r="C162" s="130"/>
      <c r="D162" s="130"/>
      <c r="E162" s="130"/>
      <c r="F162" s="130"/>
      <c r="G162" s="130"/>
      <c r="H162" s="130"/>
    </row>
    <row r="163" spans="1:8" x14ac:dyDescent="0.25">
      <c r="A163" s="130"/>
      <c r="B163" s="130"/>
      <c r="C163" s="130"/>
      <c r="D163" s="130"/>
      <c r="E163" s="130"/>
      <c r="F163" s="130"/>
      <c r="G163" s="130"/>
      <c r="H163" s="130"/>
    </row>
    <row r="164" spans="1:8" x14ac:dyDescent="0.25">
      <c r="A164" s="36" t="s">
        <v>66</v>
      </c>
      <c r="B164" s="37"/>
      <c r="C164" s="37"/>
      <c r="D164" s="36" t="str">
        <f>E8</f>
        <v>Satyam Altura</v>
      </c>
      <c r="F164" s="37"/>
      <c r="G164" s="37"/>
      <c r="H164" s="37"/>
    </row>
    <row r="165" spans="1:8" x14ac:dyDescent="0.25">
      <c r="A165" s="37"/>
      <c r="B165" s="37"/>
      <c r="C165" s="37"/>
      <c r="D165" s="37"/>
      <c r="E165" s="37"/>
      <c r="F165" s="37"/>
      <c r="G165" s="37"/>
      <c r="H165" s="37"/>
    </row>
    <row r="166" spans="1:8" ht="15" customHeight="1" x14ac:dyDescent="0.25">
      <c r="A166" s="37"/>
      <c r="B166" s="37"/>
      <c r="C166" s="37"/>
      <c r="D166" s="37"/>
      <c r="E166" s="37"/>
      <c r="F166" s="37"/>
      <c r="G166" s="37"/>
      <c r="H166" s="37"/>
    </row>
    <row r="192" spans="9:9" x14ac:dyDescent="0.25">
      <c r="I192" s="19" t="s">
        <v>284</v>
      </c>
    </row>
    <row r="206" spans="1:1" x14ac:dyDescent="0.25">
      <c r="A206" s="39" t="s">
        <v>163</v>
      </c>
    </row>
    <row r="248" spans="1:1" x14ac:dyDescent="0.25">
      <c r="A248" s="39" t="s">
        <v>67</v>
      </c>
    </row>
  </sheetData>
  <mergeCells count="285">
    <mergeCell ref="A131:B131"/>
    <mergeCell ref="G138:H141"/>
    <mergeCell ref="A58:C58"/>
    <mergeCell ref="D58:H58"/>
    <mergeCell ref="A121:H121"/>
    <mergeCell ref="A122:B122"/>
    <mergeCell ref="G122:H125"/>
    <mergeCell ref="A123:B123"/>
    <mergeCell ref="A124:B124"/>
    <mergeCell ref="A125:B125"/>
    <mergeCell ref="A138:B138"/>
    <mergeCell ref="A139:B139"/>
    <mergeCell ref="A141:B141"/>
    <mergeCell ref="I62:M62"/>
    <mergeCell ref="G107:H110"/>
    <mergeCell ref="G117:H120"/>
    <mergeCell ref="L107:M107"/>
    <mergeCell ref="L108:M108"/>
    <mergeCell ref="A91:E91"/>
    <mergeCell ref="G97:H97"/>
    <mergeCell ref="C101:C102"/>
    <mergeCell ref="L109:M109"/>
    <mergeCell ref="L104:M104"/>
    <mergeCell ref="D62:H62"/>
    <mergeCell ref="A63:C63"/>
    <mergeCell ref="D64:H64"/>
    <mergeCell ref="A70:B70"/>
    <mergeCell ref="G69:H69"/>
    <mergeCell ref="A99:H99"/>
    <mergeCell ref="C39:H39"/>
    <mergeCell ref="B149:H149"/>
    <mergeCell ref="A48:B48"/>
    <mergeCell ref="C48:H48"/>
    <mergeCell ref="B147:H147"/>
    <mergeCell ref="F82:H82"/>
    <mergeCell ref="A82:E82"/>
    <mergeCell ref="A84:E84"/>
    <mergeCell ref="A83:E83"/>
    <mergeCell ref="A80:E80"/>
    <mergeCell ref="F84:H84"/>
    <mergeCell ref="A108:B108"/>
    <mergeCell ref="B145:H145"/>
    <mergeCell ref="B146:H146"/>
    <mergeCell ref="A142:H142"/>
    <mergeCell ref="A126:H126"/>
    <mergeCell ref="A116:H116"/>
    <mergeCell ref="A109:B109"/>
    <mergeCell ref="A107:B107"/>
    <mergeCell ref="A73:B73"/>
    <mergeCell ref="E69:F69"/>
    <mergeCell ref="A62:C62"/>
    <mergeCell ref="A65:C65"/>
    <mergeCell ref="D65:H65"/>
    <mergeCell ref="A38:B38"/>
    <mergeCell ref="C38:H38"/>
    <mergeCell ref="A45:D45"/>
    <mergeCell ref="A77:B77"/>
    <mergeCell ref="C96:D96"/>
    <mergeCell ref="E96:F96"/>
    <mergeCell ref="G96:H96"/>
    <mergeCell ref="F87:H87"/>
    <mergeCell ref="A81:E81"/>
    <mergeCell ref="E70:F79"/>
    <mergeCell ref="G70:H79"/>
    <mergeCell ref="A78:B78"/>
    <mergeCell ref="A79:B79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39:B39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60:H163"/>
    <mergeCell ref="A159:B159"/>
    <mergeCell ref="E159:F159"/>
    <mergeCell ref="C159:D159"/>
    <mergeCell ref="G159:H159"/>
    <mergeCell ref="A92:E92"/>
    <mergeCell ref="F92:H92"/>
    <mergeCell ref="A93:E93"/>
    <mergeCell ref="F93:H93"/>
    <mergeCell ref="A96:B96"/>
    <mergeCell ref="A119:B119"/>
    <mergeCell ref="A155:H155"/>
    <mergeCell ref="A94:H94"/>
    <mergeCell ref="A158:H158"/>
    <mergeCell ref="A156:H156"/>
    <mergeCell ref="A152:H152"/>
    <mergeCell ref="G95:H95"/>
    <mergeCell ref="B101:B102"/>
    <mergeCell ref="A153:H153"/>
    <mergeCell ref="B150:H150"/>
    <mergeCell ref="B148:H148"/>
    <mergeCell ref="A140:B140"/>
    <mergeCell ref="A137:H137"/>
    <mergeCell ref="A157:H157"/>
    <mergeCell ref="A154:H154"/>
    <mergeCell ref="D101:D102"/>
    <mergeCell ref="E101:E102"/>
    <mergeCell ref="G101:H102"/>
    <mergeCell ref="A103:H103"/>
    <mergeCell ref="A120:B120"/>
    <mergeCell ref="A117:B117"/>
    <mergeCell ref="A111:H111"/>
    <mergeCell ref="A112:B112"/>
    <mergeCell ref="G112:H115"/>
    <mergeCell ref="A113:B113"/>
    <mergeCell ref="A114:B114"/>
    <mergeCell ref="A115:B115"/>
    <mergeCell ref="A127:H127"/>
    <mergeCell ref="A128:B128"/>
    <mergeCell ref="G128:H131"/>
    <mergeCell ref="A104:H104"/>
    <mergeCell ref="A105:H105"/>
    <mergeCell ref="A106:H106"/>
    <mergeCell ref="A110:B110"/>
    <mergeCell ref="A132:H132"/>
    <mergeCell ref="A133:B133"/>
    <mergeCell ref="G133:H136"/>
    <mergeCell ref="A134:B134"/>
    <mergeCell ref="B143:H143"/>
    <mergeCell ref="B144:H144"/>
    <mergeCell ref="A101:A102"/>
    <mergeCell ref="F80:H80"/>
    <mergeCell ref="F85:H85"/>
    <mergeCell ref="A86:E86"/>
    <mergeCell ref="F86:H86"/>
    <mergeCell ref="A87:E87"/>
    <mergeCell ref="A89:E89"/>
    <mergeCell ref="F83:H83"/>
    <mergeCell ref="A88:E88"/>
    <mergeCell ref="E95:F95"/>
    <mergeCell ref="A95:B95"/>
    <mergeCell ref="F81:H81"/>
    <mergeCell ref="F88:H88"/>
    <mergeCell ref="C97:D97"/>
    <mergeCell ref="A85:E85"/>
    <mergeCell ref="A97:B97"/>
    <mergeCell ref="E97:F97"/>
    <mergeCell ref="A135:B135"/>
    <mergeCell ref="A136:B136"/>
    <mergeCell ref="C140:F141"/>
    <mergeCell ref="A129:B129"/>
    <mergeCell ref="A130:B130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C52:H52"/>
    <mergeCell ref="C50:E50"/>
    <mergeCell ref="B151:H151"/>
    <mergeCell ref="I14:P14"/>
    <mergeCell ref="F91:H91"/>
    <mergeCell ref="F89:H89"/>
    <mergeCell ref="A118:B118"/>
    <mergeCell ref="A100:H100"/>
    <mergeCell ref="A90:E90"/>
    <mergeCell ref="A53:B53"/>
    <mergeCell ref="C53:E53"/>
    <mergeCell ref="D55:H55"/>
    <mergeCell ref="F90:H90"/>
    <mergeCell ref="C95:D95"/>
    <mergeCell ref="D63:H63"/>
    <mergeCell ref="A64:C64"/>
    <mergeCell ref="F34:H34"/>
    <mergeCell ref="A98:B98"/>
    <mergeCell ref="C98:D98"/>
    <mergeCell ref="E98:F98"/>
    <mergeCell ref="G98:H98"/>
    <mergeCell ref="E42:H42"/>
    <mergeCell ref="A42:D42"/>
    <mergeCell ref="A75:B75"/>
    <mergeCell ref="A49:B49"/>
    <mergeCell ref="C49:E49"/>
  </mergeCells>
  <dataValidations count="11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F102">
      <formula1>"45%,50%,55%,60%"</formula1>
    </dataValidation>
    <dataValidation type="list" allowBlank="1" showInputMessage="1" showErrorMessage="1" sqref="G159:H159">
      <formula1>"Shruti Tathare, 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1">
      <formula1>"Saleable area Loading :,Builder Saleable area"</formula1>
    </dataValidation>
    <dataValidation type="list" allowBlank="1" showInputMessage="1" showErrorMessage="1" sqref="B101:B102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163" max="16383" man="1"/>
    <brk id="205" max="16383" man="1"/>
    <brk id="24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6"/>
  <sheetViews>
    <sheetView zoomScale="85" zoomScaleNormal="85" workbookViewId="0">
      <selection activeCell="G8" sqref="G8"/>
    </sheetView>
  </sheetViews>
  <sheetFormatPr defaultColWidth="8.85546875" defaultRowHeight="15" x14ac:dyDescent="0.25"/>
  <cols>
    <col min="1" max="1" width="8.855468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85546875" style="1"/>
  </cols>
  <sheetData>
    <row r="1" spans="1:12" ht="15" customHeight="1" x14ac:dyDescent="0.25"/>
    <row r="2" spans="1:12" ht="15" customHeight="1" x14ac:dyDescent="0.25">
      <c r="A2" s="2"/>
      <c r="B2" s="2"/>
      <c r="C2" s="2"/>
      <c r="D2" s="2"/>
      <c r="E2" s="2"/>
      <c r="F2" s="2"/>
      <c r="G2" s="2"/>
      <c r="H2" s="2"/>
    </row>
    <row r="3" spans="1:12" ht="15.75" customHeight="1" x14ac:dyDescent="0.25">
      <c r="A3" s="2"/>
      <c r="B3" s="188" t="s">
        <v>107</v>
      </c>
      <c r="C3" s="188"/>
      <c r="D3" s="188"/>
      <c r="E3" s="188"/>
      <c r="F3" s="188"/>
      <c r="G3" s="188"/>
      <c r="H3" s="188"/>
    </row>
    <row r="4" spans="1:12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12" ht="15" customHeight="1" x14ac:dyDescent="0.25">
      <c r="A5" s="2"/>
      <c r="B5" s="5" t="s">
        <v>113</v>
      </c>
      <c r="C5" s="6"/>
      <c r="D5" s="5"/>
      <c r="E5" s="5">
        <v>703</v>
      </c>
      <c r="F5" s="7">
        <f>E5*1.55</f>
        <v>1089.6500000000001</v>
      </c>
      <c r="G5" s="7">
        <f>H5/F5</f>
        <v>12848.162253934748</v>
      </c>
      <c r="H5" s="8">
        <v>14000000</v>
      </c>
      <c r="L5" s="1">
        <f>20/1.55</f>
        <v>12.903225806451612</v>
      </c>
    </row>
    <row r="6" spans="1:12" x14ac:dyDescent="0.25">
      <c r="A6" s="2"/>
      <c r="B6" s="5" t="s">
        <v>113</v>
      </c>
      <c r="C6" s="9"/>
      <c r="D6" s="5"/>
      <c r="E6" s="5">
        <v>1297</v>
      </c>
      <c r="F6" s="7">
        <f t="shared" ref="F6:F8" si="0">E6*1.55</f>
        <v>2010.3500000000001</v>
      </c>
      <c r="G6" s="7">
        <f t="shared" ref="G6:G8" si="1">H6/F6</f>
        <v>12933.071355734075</v>
      </c>
      <c r="H6" s="8">
        <v>26000000</v>
      </c>
    </row>
    <row r="7" spans="1:12" ht="15" customHeight="1" x14ac:dyDescent="0.25">
      <c r="A7" s="2"/>
      <c r="B7" s="5" t="s">
        <v>113</v>
      </c>
      <c r="C7" s="6"/>
      <c r="D7" s="5"/>
      <c r="E7" s="5">
        <v>734</v>
      </c>
      <c r="F7" s="7">
        <f t="shared" si="0"/>
        <v>1137.7</v>
      </c>
      <c r="G7" s="7">
        <f t="shared" si="1"/>
        <v>12745.01186604553</v>
      </c>
      <c r="H7" s="8">
        <v>14500000</v>
      </c>
    </row>
    <row r="8" spans="1:12" x14ac:dyDescent="0.25">
      <c r="A8" s="2"/>
      <c r="B8" s="5" t="s">
        <v>112</v>
      </c>
      <c r="C8" s="9"/>
      <c r="D8" s="5"/>
      <c r="E8" s="5">
        <v>1297</v>
      </c>
      <c r="F8" s="7">
        <f t="shared" si="0"/>
        <v>2010.3500000000001</v>
      </c>
      <c r="G8" s="7">
        <f t="shared" si="1"/>
        <v>12933.071355734075</v>
      </c>
      <c r="H8" s="8">
        <v>26000000</v>
      </c>
    </row>
    <row r="9" spans="1:12" ht="15" customHeight="1" x14ac:dyDescent="0.25">
      <c r="A9" s="2"/>
      <c r="B9" s="5" t="s">
        <v>112</v>
      </c>
      <c r="C9" s="9"/>
      <c r="D9" s="5"/>
      <c r="E9" s="5"/>
      <c r="F9" s="7">
        <f t="shared" ref="F9:F11" si="2">E9*1.55</f>
        <v>0</v>
      </c>
      <c r="G9" s="7" t="e">
        <f t="shared" ref="G9:G11" si="3">H9/F9</f>
        <v>#DIV/0!</v>
      </c>
      <c r="H9" s="8"/>
      <c r="L9" s="1">
        <f>26/1.55</f>
        <v>16.774193548387096</v>
      </c>
    </row>
    <row r="10" spans="1:12" ht="15" customHeight="1" x14ac:dyDescent="0.25">
      <c r="A10" s="2"/>
      <c r="B10" s="5" t="s">
        <v>113</v>
      </c>
      <c r="C10" s="6"/>
      <c r="D10" s="5"/>
      <c r="E10" s="5"/>
      <c r="F10" s="7">
        <f t="shared" si="2"/>
        <v>0</v>
      </c>
      <c r="G10" s="7" t="e">
        <f t="shared" si="3"/>
        <v>#DIV/0!</v>
      </c>
      <c r="H10" s="8"/>
    </row>
    <row r="11" spans="1:12" ht="15" customHeight="1" x14ac:dyDescent="0.25">
      <c r="A11" s="2"/>
      <c r="B11" s="5" t="s">
        <v>113</v>
      </c>
      <c r="C11" s="6"/>
      <c r="D11" s="5"/>
      <c r="E11" s="5"/>
      <c r="F11" s="7">
        <f t="shared" si="2"/>
        <v>0</v>
      </c>
      <c r="G11" s="7" t="e">
        <f t="shared" si="3"/>
        <v>#DIV/0!</v>
      </c>
      <c r="H11" s="8"/>
    </row>
    <row r="12" spans="1:12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12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12" ht="15" customHeight="1" x14ac:dyDescent="0.25"/>
    <row r="15" spans="1:12" ht="15" customHeight="1" x14ac:dyDescent="0.25"/>
    <row r="16" spans="1:12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0"/>
      <c r="C4" s="50" t="s">
        <v>12</v>
      </c>
      <c r="D4" s="51" t="s">
        <v>173</v>
      </c>
      <c r="E4" s="51" t="s">
        <v>183</v>
      </c>
      <c r="F4" s="51" t="s">
        <v>170</v>
      </c>
      <c r="G4" s="51" t="s">
        <v>188</v>
      </c>
      <c r="H4" s="51" t="s">
        <v>206</v>
      </c>
      <c r="J4" t="s">
        <v>188</v>
      </c>
      <c r="K4" t="s">
        <v>204</v>
      </c>
    </row>
    <row r="5" spans="2:11" x14ac:dyDescent="0.25">
      <c r="B5" s="50"/>
      <c r="C5" s="50"/>
      <c r="D5" s="51" t="s">
        <v>174</v>
      </c>
      <c r="E5" s="51" t="s">
        <v>181</v>
      </c>
      <c r="F5" s="51" t="s">
        <v>203</v>
      </c>
      <c r="G5" s="51" t="s">
        <v>189</v>
      </c>
      <c r="H5" s="51" t="s">
        <v>207</v>
      </c>
    </row>
    <row r="6" spans="2:11" x14ac:dyDescent="0.25">
      <c r="B6" s="50"/>
      <c r="C6" s="50"/>
      <c r="D6" s="51" t="s">
        <v>175</v>
      </c>
      <c r="E6" s="51" t="s">
        <v>182</v>
      </c>
      <c r="F6" s="51" t="s">
        <v>204</v>
      </c>
      <c r="G6" s="51" t="s">
        <v>190</v>
      </c>
      <c r="H6" s="51" t="s">
        <v>220</v>
      </c>
    </row>
    <row r="7" spans="2:11" x14ac:dyDescent="0.25">
      <c r="B7" s="50"/>
      <c r="C7" s="50"/>
      <c r="D7" s="51" t="s">
        <v>176</v>
      </c>
      <c r="E7" s="51" t="s">
        <v>184</v>
      </c>
      <c r="F7" s="51" t="s">
        <v>205</v>
      </c>
      <c r="G7" s="51" t="s">
        <v>191</v>
      </c>
      <c r="H7" s="51" t="s">
        <v>208</v>
      </c>
    </row>
    <row r="8" spans="2:11" x14ac:dyDescent="0.25">
      <c r="B8" s="50"/>
      <c r="C8" s="50"/>
      <c r="D8" s="51" t="s">
        <v>177</v>
      </c>
      <c r="E8" s="51" t="s">
        <v>185</v>
      </c>
      <c r="F8" s="51"/>
      <c r="G8" s="51" t="s">
        <v>192</v>
      </c>
      <c r="H8" s="51" t="s">
        <v>209</v>
      </c>
    </row>
    <row r="9" spans="2:11" x14ac:dyDescent="0.25">
      <c r="B9" s="50"/>
      <c r="C9" s="50"/>
      <c r="D9" s="51" t="s">
        <v>178</v>
      </c>
      <c r="E9" s="51" t="s">
        <v>183</v>
      </c>
      <c r="F9" s="51"/>
      <c r="G9" s="51" t="s">
        <v>193</v>
      </c>
      <c r="H9" s="51" t="s">
        <v>210</v>
      </c>
    </row>
    <row r="10" spans="2:11" x14ac:dyDescent="0.25">
      <c r="B10" s="50"/>
      <c r="C10" s="50"/>
      <c r="D10" s="51" t="s">
        <v>179</v>
      </c>
      <c r="E10" s="51" t="s">
        <v>186</v>
      </c>
      <c r="F10" s="51"/>
      <c r="G10" s="51" t="s">
        <v>194</v>
      </c>
      <c r="H10" s="51" t="s">
        <v>211</v>
      </c>
    </row>
    <row r="11" spans="2:11" x14ac:dyDescent="0.25">
      <c r="B11" s="50"/>
      <c r="C11" s="50"/>
      <c r="D11" s="51" t="s">
        <v>180</v>
      </c>
      <c r="E11" s="51" t="s">
        <v>187</v>
      </c>
      <c r="F11" s="51"/>
      <c r="G11" s="51" t="s">
        <v>195</v>
      </c>
      <c r="H11" s="51" t="s">
        <v>212</v>
      </c>
    </row>
    <row r="12" spans="2:11" x14ac:dyDescent="0.25">
      <c r="B12" s="50"/>
      <c r="C12" s="50"/>
      <c r="D12" s="51"/>
      <c r="E12" s="51"/>
      <c r="F12" s="51"/>
      <c r="G12" s="51" t="s">
        <v>196</v>
      </c>
      <c r="H12" s="51" t="s">
        <v>213</v>
      </c>
    </row>
    <row r="13" spans="2:11" x14ac:dyDescent="0.25">
      <c r="B13" s="50"/>
      <c r="C13" s="50"/>
      <c r="D13" s="51"/>
      <c r="E13" s="51"/>
      <c r="F13" s="51"/>
      <c r="G13" s="51" t="s">
        <v>197</v>
      </c>
      <c r="H13" s="51" t="s">
        <v>214</v>
      </c>
    </row>
    <row r="14" spans="2:11" x14ac:dyDescent="0.25">
      <c r="B14" s="50"/>
      <c r="C14" s="50"/>
      <c r="D14" s="51"/>
      <c r="E14" s="51"/>
      <c r="F14" s="51"/>
      <c r="G14" s="51" t="s">
        <v>198</v>
      </c>
      <c r="H14" s="51" t="s">
        <v>215</v>
      </c>
    </row>
    <row r="15" spans="2:11" x14ac:dyDescent="0.25">
      <c r="B15" s="50"/>
      <c r="C15" s="50"/>
      <c r="D15" s="51"/>
      <c r="E15" s="51"/>
      <c r="F15" s="51"/>
      <c r="G15" s="51" t="s">
        <v>199</v>
      </c>
      <c r="H15" s="51" t="s">
        <v>216</v>
      </c>
    </row>
    <row r="16" spans="2:11" x14ac:dyDescent="0.25">
      <c r="B16" s="50"/>
      <c r="C16" s="50"/>
      <c r="D16" s="51"/>
      <c r="E16" s="51"/>
      <c r="F16" s="51"/>
      <c r="G16" s="51" t="s">
        <v>200</v>
      </c>
      <c r="H16" s="51" t="s">
        <v>217</v>
      </c>
    </row>
    <row r="17" spans="2:8" x14ac:dyDescent="0.25">
      <c r="B17" s="50"/>
      <c r="C17" s="50"/>
      <c r="D17" s="51"/>
      <c r="E17" s="51"/>
      <c r="F17" s="51"/>
      <c r="G17" s="51" t="s">
        <v>201</v>
      </c>
      <c r="H17" s="51" t="s">
        <v>218</v>
      </c>
    </row>
    <row r="18" spans="2:8" x14ac:dyDescent="0.25">
      <c r="B18" s="50"/>
      <c r="C18" s="50"/>
      <c r="D18" s="51"/>
      <c r="E18" s="51"/>
      <c r="F18" s="51"/>
      <c r="G18" s="51" t="s">
        <v>202</v>
      </c>
      <c r="H18" s="51" t="s">
        <v>219</v>
      </c>
    </row>
    <row r="24" spans="2:8" x14ac:dyDescent="0.25">
      <c r="C24" t="s">
        <v>168</v>
      </c>
    </row>
    <row r="25" spans="2:8" x14ac:dyDescent="0.25">
      <c r="C25" t="s">
        <v>221</v>
      </c>
    </row>
    <row r="26" spans="2:8" x14ac:dyDescent="0.25">
      <c r="C26" t="s">
        <v>222</v>
      </c>
    </row>
    <row r="27" spans="2:8" x14ac:dyDescent="0.25">
      <c r="C27" t="s">
        <v>223</v>
      </c>
    </row>
    <row r="28" spans="2:8" x14ac:dyDescent="0.25">
      <c r="C28" t="s">
        <v>224</v>
      </c>
    </row>
    <row r="29" spans="2:8" x14ac:dyDescent="0.25">
      <c r="C29" t="s">
        <v>225</v>
      </c>
    </row>
    <row r="30" spans="2:8" x14ac:dyDescent="0.25">
      <c r="C30" t="s">
        <v>168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2025-02-12T11:49:44Z</cp:lastPrinted>
  <dcterms:created xsi:type="dcterms:W3CDTF">2019-07-16T09:29:46Z</dcterms:created>
  <dcterms:modified xsi:type="dcterms:W3CDTF">2025-08-19T13:55:28Z</dcterms:modified>
</cp:coreProperties>
</file>