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0" i="1" l="1"/>
  <c r="E189" i="1" l="1"/>
  <c r="E188" i="1"/>
  <c r="E173" i="1"/>
  <c r="E174" i="1"/>
  <c r="E187" i="1"/>
  <c r="E172" i="1"/>
  <c r="G151" i="1"/>
  <c r="D198" i="1" l="1"/>
  <c r="F198" i="1" s="1"/>
  <c r="L198" i="1" s="1"/>
  <c r="D197" i="1"/>
  <c r="F197" i="1" s="1"/>
  <c r="D196" i="1"/>
  <c r="F196" i="1" s="1"/>
  <c r="D195" i="1"/>
  <c r="F195" i="1" s="1"/>
  <c r="D194" i="1"/>
  <c r="F194" i="1" s="1"/>
  <c r="L194" i="1" s="1"/>
  <c r="D193" i="1"/>
  <c r="F193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2" i="1"/>
  <c r="F182" i="1" s="1"/>
  <c r="L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4" i="1"/>
  <c r="F174" i="1" s="1"/>
  <c r="D173" i="1"/>
  <c r="D172" i="1"/>
  <c r="D171" i="1"/>
  <c r="D170" i="1"/>
  <c r="D169" i="1"/>
  <c r="D168" i="1"/>
  <c r="D161" i="1"/>
  <c r="F161" i="1" s="1"/>
  <c r="D160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D148" i="1"/>
  <c r="F148" i="1" s="1"/>
  <c r="D147" i="1"/>
  <c r="F147" i="1" s="1"/>
  <c r="D146" i="1"/>
  <c r="F146" i="1" s="1"/>
  <c r="D145" i="1"/>
  <c r="D144" i="1"/>
  <c r="D143" i="1"/>
  <c r="D142" i="1"/>
  <c r="I191" i="1"/>
  <c r="J169" i="1"/>
  <c r="I169" i="1"/>
  <c r="I142" i="1"/>
  <c r="G193" i="1"/>
  <c r="G186" i="1"/>
  <c r="A186" i="1"/>
  <c r="A187" i="1" s="1"/>
  <c r="A188" i="1" s="1"/>
  <c r="A189" i="1" s="1"/>
  <c r="A190" i="1" s="1"/>
  <c r="A191" i="1" s="1"/>
  <c r="G176" i="1"/>
  <c r="F160" i="1"/>
  <c r="A176" i="1"/>
  <c r="A193" i="1"/>
  <c r="C132" i="1" l="1"/>
  <c r="C133" i="1"/>
  <c r="E132" i="1"/>
  <c r="E133" i="1"/>
  <c r="F151" i="1"/>
  <c r="G128" i="1" s="1"/>
  <c r="C128" i="1"/>
  <c r="E128" i="1"/>
  <c r="E127" i="1"/>
  <c r="C127" i="1"/>
  <c r="G133" i="1"/>
  <c r="K187" i="1"/>
  <c r="F173" i="1"/>
  <c r="F142" i="1"/>
  <c r="A177" i="1"/>
  <c r="A194" i="1"/>
  <c r="C134" i="1" l="1"/>
  <c r="C129" i="1"/>
  <c r="C135" i="1"/>
  <c r="E129" i="1"/>
  <c r="E134" i="1"/>
  <c r="A178" i="1"/>
  <c r="A195" i="1"/>
  <c r="E135" i="1" l="1"/>
  <c r="E43" i="1"/>
  <c r="E44" i="1" s="1"/>
  <c r="A179" i="1"/>
  <c r="A196" i="1"/>
  <c r="C15" i="1" l="1"/>
  <c r="A180" i="1"/>
  <c r="A197" i="1"/>
  <c r="E30" i="1" l="1"/>
  <c r="A181" i="1"/>
  <c r="A198" i="1"/>
  <c r="F124" i="1" l="1"/>
  <c r="A182" i="1"/>
  <c r="F143" i="1" l="1"/>
  <c r="F144" i="1"/>
  <c r="F145" i="1"/>
  <c r="G127" i="1" l="1"/>
  <c r="G129" i="1" s="1"/>
  <c r="B201" i="1"/>
  <c r="F172" i="1" l="1"/>
  <c r="F171" i="1"/>
  <c r="K171" i="1" s="1"/>
  <c r="F169" i="1"/>
  <c r="F168" i="1"/>
  <c r="F170" i="1"/>
  <c r="K168" i="1" l="1"/>
  <c r="J112" i="1" s="1"/>
  <c r="L168" i="1"/>
  <c r="K112" i="1" s="1"/>
  <c r="G132" i="1"/>
  <c r="G134" i="1" s="1"/>
  <c r="G135" i="1" s="1"/>
  <c r="B202" i="1"/>
  <c r="I112" i="1" l="1"/>
  <c r="I110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2" i="1"/>
  <c r="G168" i="1"/>
  <c r="A168" i="1"/>
  <c r="A169" i="1" s="1"/>
  <c r="A170" i="1" s="1"/>
  <c r="A171" i="1" s="1"/>
  <c r="A172" i="1" s="1"/>
  <c r="A173" i="1" s="1"/>
  <c r="A174" i="1" s="1"/>
  <c r="A143" i="1"/>
  <c r="A144" i="1" s="1"/>
  <c r="A145" i="1" s="1"/>
  <c r="G142" i="1"/>
  <c r="B82" i="1"/>
  <c r="C67" i="1"/>
  <c r="B68" i="1" s="1"/>
  <c r="D55" i="1"/>
  <c r="G50" i="1"/>
  <c r="G51" i="1" s="1"/>
  <c r="C50" i="1"/>
  <c r="E27" i="1"/>
  <c r="E25" i="1"/>
  <c r="E7" i="1"/>
  <c r="E3" i="1"/>
  <c r="A146" i="1" l="1"/>
  <c r="A147" i="1" s="1"/>
  <c r="A148" i="1" s="1"/>
  <c r="A151" i="1" s="1"/>
  <c r="D61" i="1"/>
  <c r="H68" i="1"/>
  <c r="H82" i="1"/>
  <c r="A152" i="1" l="1"/>
  <c r="A153" i="1" s="1"/>
  <c r="A154" i="1" s="1"/>
  <c r="A155" i="1" s="1"/>
  <c r="J86" i="1"/>
  <c r="J84" i="1"/>
  <c r="J87" i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D79" i="1"/>
  <c r="J67" i="1"/>
  <c r="J69" i="1" s="1"/>
  <c r="D75" i="1"/>
  <c r="J71" i="1"/>
  <c r="J72" i="1"/>
  <c r="C71" i="1" s="1"/>
  <c r="D71" i="1" s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B97" i="1" l="1"/>
  <c r="J74" i="1"/>
  <c r="J79" i="1" s="1"/>
  <c r="J80" i="1" s="1"/>
  <c r="C72" i="1" s="1"/>
  <c r="A156" i="1"/>
  <c r="A157" i="1" s="1"/>
  <c r="A158" i="1" s="1"/>
  <c r="A159" i="1" s="1"/>
  <c r="A160" i="1" s="1"/>
  <c r="A161" i="1" s="1"/>
  <c r="J88" i="1"/>
  <c r="J93" i="1" s="1"/>
  <c r="J94" i="1" s="1"/>
  <c r="C85" i="1"/>
  <c r="D85" i="1" s="1"/>
  <c r="H97" i="1"/>
  <c r="C86" i="1" l="1"/>
  <c r="G85" i="1" s="1"/>
  <c r="G95" i="1" s="1"/>
  <c r="J95" i="1"/>
  <c r="J101" i="1"/>
  <c r="C100" i="1" s="1"/>
  <c r="J99" i="1"/>
  <c r="J96" i="1"/>
  <c r="J98" i="1" s="1"/>
  <c r="D108" i="1"/>
  <c r="D104" i="1"/>
  <c r="J100" i="1"/>
  <c r="D109" i="1"/>
  <c r="D107" i="1"/>
  <c r="D105" i="1"/>
  <c r="D103" i="1"/>
  <c r="D106" i="1"/>
  <c r="D102" i="1"/>
  <c r="J107" i="1"/>
  <c r="J105" i="1"/>
  <c r="J104" i="1"/>
  <c r="J106" i="1"/>
  <c r="J102" i="1"/>
  <c r="J103" i="1" s="1"/>
  <c r="J108" i="1" s="1"/>
  <c r="J109" i="1" s="1"/>
  <c r="C101" i="1" s="1"/>
  <c r="G71" i="1"/>
  <c r="D65" i="1" s="1"/>
  <c r="D66" i="1" s="1"/>
  <c r="J68" i="1"/>
  <c r="D72" i="1"/>
  <c r="I68" i="1" s="1"/>
  <c r="I69" i="1" s="1"/>
  <c r="E71" i="1"/>
  <c r="E85" i="1" l="1"/>
  <c r="C95" i="1" s="1"/>
  <c r="J82" i="1"/>
  <c r="D86" i="1"/>
  <c r="I82" i="1" s="1"/>
  <c r="I83" i="1" s="1"/>
  <c r="E100" i="1"/>
  <c r="D101" i="1"/>
  <c r="G100" i="1"/>
  <c r="G110" i="1" s="1"/>
  <c r="D100" i="1"/>
  <c r="F66" i="1"/>
  <c r="I67" i="1"/>
  <c r="C69" i="1" s="1"/>
  <c r="I81" i="1"/>
  <c r="C83" i="1" s="1"/>
  <c r="C110" i="1" l="1"/>
  <c r="I97" i="1"/>
  <c r="I98" i="1" s="1"/>
  <c r="J97" i="1"/>
  <c r="I96" i="1" l="1"/>
  <c r="C9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<sst xmlns="http://schemas.openxmlformats.org/spreadsheetml/2006/main" count="405" uniqueCount="234">
  <si>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</si>
  <si>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</si>
  <si>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</si>
  <si>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</si>
  <si>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</si>
  <si>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</si>
  <si>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</si>
  <si>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</si>
  <si>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</si>
  <si>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</si>
  <si>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</si>
  <si>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</si>
  <si>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</si>
  <si>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</si>
  <si>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</si>
  <si>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</si>
  <si>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</si>
  <si>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</si>
  <si>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</si>
  <si>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</si>
  <si>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</si>
  <si>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</si>
  <si>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</si>
  <si>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</si>
  <si>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</si>
  <si>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</si>
  <si>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</si>
  <si>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</si>
  <si>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</si>
  <si>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</si>
  <si>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</si>
  <si>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</si>
  <si>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</si>
  <si>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</si>
  <si>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</si>
  <si>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</si>
  <si>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</si>
  <si>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</si>
  <si>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</si>
  <si>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</si>
  <si>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</si>
  <si>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</si>
  <si>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</si>
  <si>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</si>
  <si>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</si>
  <si>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</si>
  <si>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</si>
  <si>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</si>
  <si>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</si>
  <si>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</si>
  <si>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</si>
  <si>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</si>
  <si>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</si>
  <si>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</si>
  <si>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</si>
  <si>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</si>
  <si>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</si>
  <si>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</si>
  <si>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</si>
  <si>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</si>
  <si>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</si>
  <si>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</si>
  <si>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</si>
  <si>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</si>
  <si>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</si>
  <si>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</si>
  <si>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</si>
  <si>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</si>
  <si>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</si>
  <si>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</si>
  <si>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</si>
  <si>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</si>
  <si>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</si>
  <si>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</si>
  <si>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</si>
  <si>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</si>
  <si>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</si>
  <si>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</si>
  <si>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</si>
  <si>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</si>
  <si>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</si>
  <si>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</si>
  <si>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</si>
  <si>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</si>
  <si>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</si>
  <si>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</si>
  <si>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</si>
  <si>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</si>
  <si>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</si>
  <si>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</si>
  <si>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</si>
  <si>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</si>
  <si>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</si>
  <si>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</si>
  <si>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</si>
  <si>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</si>
  <si>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</si>
  <si>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</si>
  <si>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</si>
  <si>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</si>
  <si>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</si>
  <si>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</si>
  <si>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</si>
  <si>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</si>
  <si>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</si>
  <si>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</si>
  <si>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</si>
  <si>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</si>
  <si>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</si>
  <si>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</si>
  <si>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</si>
  <si>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</si>
  <si>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</si>
  <si>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</si>
  <si>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</si>
  <si>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</si>
  <si>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</si>
  <si>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</si>
  <si>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</si>
  <si>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</si>
  <si>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</si>
  <si>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</si>
  <si>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</si>
  <si>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</si>
  <si>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</si>
  <si>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</si>
  <si>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</si>
  <si>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</si>
  <si>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</si>
  <si>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</si>
  <si>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</si>
  <si>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</si>
  <si>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</si>
  <si>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</si>
  <si>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</si>
  <si>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</si>
  <si>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</si>
  <si>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</si>
  <si>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</si>
  <si>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</si>
  <si>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</si>
  <si>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</si>
  <si>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</si>
  <si>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</si>
  <si>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</si>
  <si>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</si>
  <si>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</si>
  <si>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</si>
  <si>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</si>
  <si>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</si>
  <si>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</si>
  <si>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</si>
  <si>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</si>
  <si>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</si>
  <si>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</si>
  <si>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</si>
  <si>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</si>
  <si>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</si>
  <si>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</si>
  <si>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</si>
  <si>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</si>
  <si>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</si>
  <si>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</si>
  <si>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</si>
  <si>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</si>
  <si>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</si>
  <si>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</si>
  <si>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</si>
  <si>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</si>
  <si>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</si>
  <si>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</si>
  <si>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</si>
  <si>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</si>
  <si>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</si>
  <si>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</si>
  <si>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Axis Badlapur</t>
  </si>
  <si>
    <t>Annapurna Buildcon</t>
  </si>
  <si>
    <t>Sai Omkar Square</t>
  </si>
  <si>
    <t>Wing A &amp; B</t>
  </si>
  <si>
    <t>P51700046230</t>
  </si>
  <si>
    <t>Survey No.</t>
  </si>
  <si>
    <t>105A, H.No.3, P.No.17,18,19 &amp; 20</t>
  </si>
  <si>
    <t>Belavali</t>
  </si>
  <si>
    <t>Thane</t>
  </si>
  <si>
    <t>Ambernath</t>
  </si>
  <si>
    <t>02 Wings</t>
  </si>
  <si>
    <t>Kulgaon Badlapur Municipal Council</t>
  </si>
  <si>
    <t>KBNP/NRV/BP/2344-223</t>
  </si>
  <si>
    <t>KBNP/NRV/BP/2344/2021-2022/Unique No.223</t>
  </si>
  <si>
    <t>Wing A &amp; B = Gr/Stilt + 1st to 7th Floor</t>
  </si>
  <si>
    <t>Wing A = Gr/Stilt + 1st to 7th Floor</t>
  </si>
  <si>
    <t>Wing B = Gr/Stilt + 1st to 7th Floor</t>
  </si>
  <si>
    <t>As per RERA - 30/06/2027</t>
  </si>
  <si>
    <t>Ground Floor for Commercial &amp; Parking</t>
  </si>
  <si>
    <t>Shop</t>
  </si>
  <si>
    <t>Wing A</t>
  </si>
  <si>
    <t>1st Floor for Residential</t>
  </si>
  <si>
    <t>2nd to 7th Floor</t>
  </si>
  <si>
    <t>Wing B</t>
  </si>
  <si>
    <t>1RK</t>
  </si>
  <si>
    <t>1BHK</t>
  </si>
  <si>
    <t>2BHK</t>
  </si>
  <si>
    <t>Flats - 91, Shops - 18</t>
  </si>
  <si>
    <t>We considered Gross carpet area = Net carpet + E.P. Area.</t>
  </si>
  <si>
    <t>Sudhir Bhosale</t>
  </si>
  <si>
    <t>24X7 Water Supply, Closed Car Parking, Power back up for lifts, Fire fighting system</t>
  </si>
  <si>
    <t>Online</t>
  </si>
  <si>
    <t>MIS</t>
  </si>
  <si>
    <t>Cost sheet</t>
  </si>
  <si>
    <t>Approved Plans, CC, Cost Sheet</t>
  </si>
  <si>
    <t>https://goo.gl/maps/wJmfvMHdMTSLRAXB6</t>
  </si>
  <si>
    <t>19.1802155, 73.2310724</t>
  </si>
  <si>
    <t>Badlapur</t>
  </si>
  <si>
    <t>Internal Road</t>
  </si>
  <si>
    <t>Shubharambh apartment</t>
  </si>
  <si>
    <t>2.1 KM from Badlapur Railway Station</t>
  </si>
  <si>
    <t>Open Plot</t>
  </si>
  <si>
    <t>Buildings</t>
  </si>
  <si>
    <t>9.0 M wide D.P. Road</t>
  </si>
  <si>
    <t>6.0 M wide D.P. Road</t>
  </si>
  <si>
    <t>Adj. H.No. 4/2</t>
  </si>
  <si>
    <t>Ground Floor for Commercial, Society Office, Driver Room &amp; Parking</t>
  </si>
  <si>
    <t>Commercial Area Details : Shops</t>
  </si>
  <si>
    <t>Residential Area Details : Flats</t>
  </si>
  <si>
    <t>Part II = Wing B = Gr/Stilt + 1st to 7th Floor</t>
  </si>
  <si>
    <t>Average Progress %</t>
  </si>
  <si>
    <t>Average Disbursement %</t>
  </si>
  <si>
    <t>by rushikesh  On 26/4/2024</t>
  </si>
  <si>
    <t>Recommended Rates / Other charges of the Property have been revised on 26/04/2024.</t>
  </si>
  <si>
    <t>Kunal Kadam</t>
  </si>
  <si>
    <t>Vikesh 7057445140</t>
  </si>
  <si>
    <t>Shruti Tathare</t>
  </si>
  <si>
    <t>Office No. 1031, Wing J, Akshar Business Park, Plot No. 03 Sector 25, Near APMC Market,
Vashi, Navi Mumbai, Maharashtra 400703 TEL: 022-46090378/79/80
Email : vsjcapf@gmail.com. Web site : www.vsjadon.com</t>
  </si>
  <si>
    <t>Wing A = Lift &amp; Finishing work is in process.
Wing B = All work Completed. Please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</si>
</sst>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1" applyNumberFormat="1" applyFont="1" applyAlignment="1">
      <alignment horizontal="right"/>
    </xf>
    <xf numFmtId="0" fontId="15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8" fillId="3" borderId="21" xfId="1" applyFont="1" applyFill="1" applyBorder="1" applyAlignment="1" applyProtection="1">
      <alignment horizontal="center" vertical="center" wrapText="1"/>
      <protection locked="0"/>
    </xf>
    <xf numFmtId="0" fontId="8" fillId="3" borderId="14" xfId="1" applyFont="1" applyFill="1" applyBorder="1" applyAlignment="1" applyProtection="1">
      <alignment horizontal="center" vertical="center" wrapText="1"/>
      <protection locked="0"/>
    </xf>
    <xf numFmtId="9" fontId="13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13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7" xfId="1" applyFont="1" applyBorder="1" applyAlignment="1" applyProtection="1">
      <alignment horizontal="center" vertical="center" wrapText="1"/>
      <protection locked="0"/>
    </xf>
    <xf numFmtId="0" fontId="10" fillId="0" borderId="38" xfId="1" applyFont="1" applyBorder="1" applyAlignment="1" applyProtection="1">
      <alignment horizontal="center" vertical="center" wrapText="1"/>
      <protection locked="0"/>
    </xf>
    <xf numFmtId="9" fontId="10" fillId="0" borderId="34" xfId="8" applyFont="1" applyFill="1" applyBorder="1" applyAlignment="1" applyProtection="1">
      <alignment horizontal="center" vertical="center" wrapText="1"/>
      <protection locked="0"/>
    </xf>
    <xf numFmtId="9" fontId="10" fillId="0" borderId="35" xfId="8" applyFont="1" applyFill="1" applyBorder="1" applyAlignment="1" applyProtection="1">
      <alignment horizontal="center" vertical="center" wrapText="1"/>
      <protection locked="0"/>
    </xf>
    <xf numFmtId="9" fontId="10" fillId="0" borderId="36" xfId="8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493563</xdr:colOff>
      <xdr:row>264</xdr:row>
      <xdr:rowOff>138544</xdr:rowOff>
    </xdr:from>
    <xdr:to>
      <xdr:col>7</xdr:col>
      <xdr:colOff>221858</xdr:colOff>
      <xdr:row>285</xdr:row>
      <xdr:rowOff>27860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3563" y="52707885"/>
          <a:ext cx="5400000" cy="40716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14927</xdr:colOff>
      <xdr:row>286</xdr:row>
      <xdr:rowOff>125845</xdr:rowOff>
    </xdr:from>
    <xdr:to>
      <xdr:col>5</xdr:col>
      <xdr:colOff>683177</xdr:colOff>
      <xdr:row>303</xdr:row>
      <xdr:rowOff>86563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3563" y="57076686"/>
          <a:ext cx="3240000" cy="33464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762001</xdr:colOff>
      <xdr:row>271</xdr:row>
      <xdr:rowOff>86589</xdr:rowOff>
    </xdr:from>
    <xdr:to>
      <xdr:col>3</xdr:col>
      <xdr:colOff>484910</xdr:colOff>
      <xdr:row>280</xdr:row>
      <xdr:rowOff>173181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524001" y="54050044"/>
          <a:ext cx="1368136" cy="187902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493563</xdr:colOff>
      <xdr:row>271</xdr:row>
      <xdr:rowOff>129886</xdr:rowOff>
    </xdr:from>
    <xdr:to>
      <xdr:col>5</xdr:col>
      <xdr:colOff>329045</xdr:colOff>
      <xdr:row>281</xdr:row>
      <xdr:rowOff>43296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900790" y="54093341"/>
          <a:ext cx="1558641" cy="19050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216472</xdr:colOff>
      <xdr:row>267</xdr:row>
      <xdr:rowOff>190499</xdr:rowOff>
    </xdr:from>
    <xdr:ext cx="708912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978472" y="53357317"/>
          <a:ext cx="708912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oneCellAnchor>
  <xdr:oneCellAnchor>
    <xdr:from>
      <xdr:col>5</xdr:col>
      <xdr:colOff>103904</xdr:colOff>
      <xdr:row>268</xdr:row>
      <xdr:rowOff>112569</xdr:rowOff>
    </xdr:from>
    <xdr:ext cx="702693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4234290" y="53478546"/>
          <a:ext cx="702693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twoCellAnchor>
    <xdr:from>
      <xdr:col>1</xdr:col>
      <xdr:colOff>570928</xdr:colOff>
      <xdr:row>269</xdr:row>
      <xdr:rowOff>103677</xdr:rowOff>
    </xdr:from>
    <xdr:to>
      <xdr:col>2</xdr:col>
      <xdr:colOff>34637</xdr:colOff>
      <xdr:row>272</xdr:row>
      <xdr:rowOff>8659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CxnSpPr>
          <a:stCxn id="7" idx="2"/>
        </xdr:cNvCxnSpPr>
      </xdr:nvCxnSpPr>
      <xdr:spPr>
        <a:xfrm>
          <a:off x="1332928" y="53668813"/>
          <a:ext cx="260345" cy="5024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311728</xdr:colOff>
      <xdr:row>270</xdr:row>
      <xdr:rowOff>25747</xdr:rowOff>
    </xdr:from>
    <xdr:to>
      <xdr:col>5</xdr:col>
      <xdr:colOff>455251</xdr:colOff>
      <xdr:row>272</xdr:row>
      <xdr:rowOff>8659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CxnSpPr>
          <a:stCxn id="8" idx="2"/>
        </xdr:cNvCxnSpPr>
      </xdr:nvCxnSpPr>
      <xdr:spPr>
        <a:xfrm flipH="1">
          <a:off x="4442114" y="53790042"/>
          <a:ext cx="143523" cy="38123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58300</xdr:colOff>
      <xdr:row>327</xdr:row>
      <xdr:rowOff>95827</xdr:rowOff>
    </xdr:from>
    <xdr:to>
      <xdr:col>6</xdr:col>
      <xdr:colOff>543339</xdr:colOff>
      <xdr:row>346</xdr:row>
      <xdr:rowOff>100007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0178" y="63752644"/>
          <a:ext cx="4745613" cy="37810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337701</xdr:colOff>
      <xdr:row>306</xdr:row>
      <xdr:rowOff>112567</xdr:rowOff>
    </xdr:from>
    <xdr:to>
      <xdr:col>7</xdr:col>
      <xdr:colOff>321729</xdr:colOff>
      <xdr:row>326</xdr:row>
      <xdr:rowOff>57918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7701" y="59816999"/>
          <a:ext cx="5655733" cy="39285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464293</xdr:colOff>
      <xdr:row>333</xdr:row>
      <xdr:rowOff>71199</xdr:rowOff>
    </xdr:from>
    <xdr:to>
      <xdr:col>5</xdr:col>
      <xdr:colOff>397514</xdr:colOff>
      <xdr:row>342</xdr:row>
      <xdr:rowOff>27631</xdr:rowOff>
    </xdr:to>
    <xdr:sp macro="" textlink="">
      <xdr:nvSpPr>
        <xdr:cNvPr id="29" name="Rounded Rectangl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 rot="1097262">
          <a:off x="2022929" y="65152926"/>
          <a:ext cx="2504971" cy="1748864"/>
        </a:xfrm>
        <a:prstGeom prst="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110255</xdr:colOff>
      <xdr:row>331</xdr:row>
      <xdr:rowOff>35213</xdr:rowOff>
    </xdr:from>
    <xdr:ext cx="702693" cy="31149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4240641" y="64718622"/>
          <a:ext cx="702693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twoCellAnchor>
    <xdr:from>
      <xdr:col>4</xdr:col>
      <xdr:colOff>623456</xdr:colOff>
      <xdr:row>332</xdr:row>
      <xdr:rowOff>147550</xdr:rowOff>
    </xdr:from>
    <xdr:to>
      <xdr:col>5</xdr:col>
      <xdr:colOff>461602</xdr:colOff>
      <xdr:row>335</xdr:row>
      <xdr:rowOff>181841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CxnSpPr>
          <a:stCxn id="30" idx="2"/>
        </xdr:cNvCxnSpPr>
      </xdr:nvCxnSpPr>
      <xdr:spPr>
        <a:xfrm flipH="1">
          <a:off x="3974524" y="65030118"/>
          <a:ext cx="617464" cy="631768"/>
        </a:xfrm>
        <a:prstGeom prst="straightConnector1">
          <a:avLst/>
        </a:prstGeom>
        <a:ln w="38100">
          <a:solidFill>
            <a:schemeClr val="bg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168553</xdr:colOff>
      <xdr:row>329</xdr:row>
      <xdr:rowOff>95826</xdr:rowOff>
    </xdr:from>
    <xdr:ext cx="702693" cy="31149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727189" y="64380917"/>
          <a:ext cx="702693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oneCellAnchor>
  <xdr:twoCellAnchor>
    <xdr:from>
      <xdr:col>2</xdr:col>
      <xdr:colOff>519900</xdr:colOff>
      <xdr:row>331</xdr:row>
      <xdr:rowOff>9004</xdr:rowOff>
    </xdr:from>
    <xdr:to>
      <xdr:col>3</xdr:col>
      <xdr:colOff>398318</xdr:colOff>
      <xdr:row>336</xdr:row>
      <xdr:rowOff>95250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CxnSpPr>
          <a:stCxn id="33" idx="2"/>
        </xdr:cNvCxnSpPr>
      </xdr:nvCxnSpPr>
      <xdr:spPr>
        <a:xfrm>
          <a:off x="2078536" y="64692413"/>
          <a:ext cx="727009" cy="1082042"/>
        </a:xfrm>
        <a:prstGeom prst="straightConnector1">
          <a:avLst/>
        </a:prstGeom>
        <a:ln w="38100">
          <a:solidFill>
            <a:schemeClr val="bg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233794</xdr:colOff>
      <xdr:row>219</xdr:row>
      <xdr:rowOff>164522</xdr:rowOff>
    </xdr:from>
    <xdr:ext cx="1219116" cy="31149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6606885" y="45313022"/>
          <a:ext cx="1219116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Part I : Wing B</a:t>
          </a:r>
        </a:p>
      </xdr:txBody>
    </xdr:sp>
    <xdr:clientData/>
  </xdr:oneCellAnchor>
  <xdr:oneCellAnchor>
    <xdr:from>
      <xdr:col>12</xdr:col>
      <xdr:colOff>57300</xdr:colOff>
      <xdr:row>220</xdr:row>
      <xdr:rowOff>17317</xdr:rowOff>
    </xdr:from>
    <xdr:ext cx="1264320" cy="311496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9755482" y="45364976"/>
          <a:ext cx="1264320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Part II</a:t>
          </a:r>
          <a:r>
            <a:rPr lang="en-IN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: Wing B</a:t>
          </a:r>
        </a:p>
      </xdr:txBody>
    </xdr:sp>
    <xdr:clientData/>
  </xdr:oneCellAnchor>
  <xdr:twoCellAnchor>
    <xdr:from>
      <xdr:col>11</xdr:col>
      <xdr:colOff>666750</xdr:colOff>
      <xdr:row>221</xdr:row>
      <xdr:rowOff>129654</xdr:rowOff>
    </xdr:from>
    <xdr:to>
      <xdr:col>12</xdr:col>
      <xdr:colOff>689460</xdr:colOff>
      <xdr:row>224</xdr:row>
      <xdr:rowOff>86591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CxnSpPr>
          <a:stCxn id="49" idx="2"/>
        </xdr:cNvCxnSpPr>
      </xdr:nvCxnSpPr>
      <xdr:spPr>
        <a:xfrm flipH="1">
          <a:off x="9663545" y="45676472"/>
          <a:ext cx="724097" cy="554414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484909</xdr:colOff>
      <xdr:row>221</xdr:row>
      <xdr:rowOff>77700</xdr:rowOff>
    </xdr:from>
    <xdr:to>
      <xdr:col>8</xdr:col>
      <xdr:colOff>843352</xdr:colOff>
      <xdr:row>225</xdr:row>
      <xdr:rowOff>60614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CxnSpPr>
          <a:stCxn id="48" idx="2"/>
        </xdr:cNvCxnSpPr>
      </xdr:nvCxnSpPr>
      <xdr:spPr>
        <a:xfrm flipH="1">
          <a:off x="6858000" y="45624518"/>
          <a:ext cx="358443" cy="77089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390525</xdr:colOff>
      <xdr:row>222</xdr:row>
      <xdr:rowOff>71438</xdr:rowOff>
    </xdr:from>
    <xdr:to>
      <xdr:col>16</xdr:col>
      <xdr:colOff>281494</xdr:colOff>
      <xdr:row>262</xdr:row>
      <xdr:rowOff>91488</xdr:rowOff>
    </xdr:to>
    <xdr:grpSp>
      <xdr:nvGrpSpPr>
        <xdr:cNvPr id="6" name="Group 5"/>
        <xdr:cNvGrpSpPr/>
      </xdr:nvGrpSpPr>
      <xdr:grpSpPr>
        <a:xfrm>
          <a:off x="6810375" y="41286113"/>
          <a:ext cx="6282244" cy="8011525"/>
          <a:chOff x="57150" y="41343263"/>
          <a:chExt cx="6282244" cy="8011525"/>
        </a:xfrm>
      </xdr:grpSpPr>
      <xdr:pic>
        <xdr:nvPicPr>
          <xdr:cNvPr id="68" name="Picture 67" descr="https://vsjcllp.vsjadon.com/upload/insp-23401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3626" y="47948850"/>
            <a:ext cx="1865072" cy="14059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78" descr="https://vsjcllp.vsjadon.com/upload/insp-234017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14875" y="4395311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Picture 79" descr="https://vsjcllp.vsjadon.com/upload/insp-23401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33600" y="46186963"/>
            <a:ext cx="2243823" cy="1691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Picture 80" descr="https://vsjcllp.vsjadon.com/upload/insp-234017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09900" y="4395311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81" descr="https://vsjcllp.vsjadon.com/upload/insp-234017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5" y="43937238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3" name="Picture 82" descr="https://vsjcllp.vsjadon.com/upload/insp-234017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71526" y="46183788"/>
            <a:ext cx="1272126" cy="1691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4" name="Picture 83" descr="https://vsjcllp.vsjadon.com/upload/insp-234017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7150" y="41348025"/>
            <a:ext cx="2039609" cy="25336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Picture 84" descr="https://vsjcllp.vsjadon.com/upload/insp-234017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50" y="41348025"/>
            <a:ext cx="2039609" cy="25336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6" name="Picture 85" descr="https://vsjcllp.vsjadon.com/upload/insp-234017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62175" y="41348025"/>
            <a:ext cx="2039609" cy="25336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7" name="Picture 86" descr="https://vsjcllp.vsjadon.com/upload/insp-234017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29125" y="46179025"/>
            <a:ext cx="1266825" cy="16914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8" name="TextBox 87">
            <a:extLst>
              <a:ext uri="{FF2B5EF4-FFF2-40B4-BE49-F238E27FC236}">
                <a16:creationId xmlns:a16="http://schemas.microsoft.com/office/drawing/2014/main" xmlns="" id="{00000000-0008-0000-0000-000030000000}"/>
              </a:ext>
            </a:extLst>
          </xdr:cNvPr>
          <xdr:cNvSpPr txBox="1"/>
        </xdr:nvSpPr>
        <xdr:spPr>
          <a:xfrm>
            <a:off x="4362450" y="41371838"/>
            <a:ext cx="702693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B</a:t>
            </a:r>
          </a:p>
        </xdr:txBody>
      </xdr:sp>
      <xdr:sp macro="" textlink="">
        <xdr:nvSpPr>
          <xdr:cNvPr id="89" name="TextBox 88">
            <a:extLst>
              <a:ext uri="{FF2B5EF4-FFF2-40B4-BE49-F238E27FC236}">
                <a16:creationId xmlns:a16="http://schemas.microsoft.com/office/drawing/2014/main" xmlns="" id="{00000000-0008-0000-0000-000030000000}"/>
              </a:ext>
            </a:extLst>
          </xdr:cNvPr>
          <xdr:cNvSpPr txBox="1"/>
        </xdr:nvSpPr>
        <xdr:spPr>
          <a:xfrm>
            <a:off x="2295525" y="41343263"/>
            <a:ext cx="702693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90" name="TextBox 89">
            <a:extLst>
              <a:ext uri="{FF2B5EF4-FFF2-40B4-BE49-F238E27FC236}">
                <a16:creationId xmlns:a16="http://schemas.microsoft.com/office/drawing/2014/main" xmlns="" id="{00000000-0008-0000-0000-000030000000}"/>
              </a:ext>
            </a:extLst>
          </xdr:cNvPr>
          <xdr:cNvSpPr txBox="1"/>
        </xdr:nvSpPr>
        <xdr:spPr>
          <a:xfrm>
            <a:off x="933450" y="41381363"/>
            <a:ext cx="70891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A</a:t>
            </a:r>
          </a:p>
        </xdr:txBody>
      </xdr:sp>
    </xdr:grpSp>
    <xdr:clientData/>
  </xdr:twoCellAnchor>
  <xdr:twoCellAnchor>
    <xdr:from>
      <xdr:col>8</xdr:col>
      <xdr:colOff>390525</xdr:colOff>
      <xdr:row>222</xdr:row>
      <xdr:rowOff>71438</xdr:rowOff>
    </xdr:from>
    <xdr:to>
      <xdr:col>8</xdr:col>
      <xdr:colOff>1099437</xdr:colOff>
      <xdr:row>223</xdr:row>
      <xdr:rowOff>182909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6810375" y="41286113"/>
          <a:ext cx="708912" cy="31149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twoCellAnchor>
  <xdr:twoCellAnchor>
    <xdr:from>
      <xdr:col>0</xdr:col>
      <xdr:colOff>76200</xdr:colOff>
      <xdr:row>222</xdr:row>
      <xdr:rowOff>33337</xdr:rowOff>
    </xdr:from>
    <xdr:to>
      <xdr:col>7</xdr:col>
      <xdr:colOff>712737</xdr:colOff>
      <xdr:row>262</xdr:row>
      <xdr:rowOff>139113</xdr:rowOff>
    </xdr:to>
    <xdr:grpSp>
      <xdr:nvGrpSpPr>
        <xdr:cNvPr id="9" name="Group 8"/>
        <xdr:cNvGrpSpPr/>
      </xdr:nvGrpSpPr>
      <xdr:grpSpPr>
        <a:xfrm>
          <a:off x="76200" y="41248012"/>
          <a:ext cx="6284862" cy="8097251"/>
          <a:chOff x="76200" y="41248012"/>
          <a:chExt cx="6284862" cy="8097251"/>
        </a:xfrm>
      </xdr:grpSpPr>
      <xdr:pic>
        <xdr:nvPicPr>
          <xdr:cNvPr id="45" name="Picture 44" descr="https://vsjcllp.vsjadon.com/upload/insp-24376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95675" y="47185263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43766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57550" y="41248012"/>
            <a:ext cx="2833234" cy="37671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4376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33550" y="45148500"/>
            <a:ext cx="1463337" cy="19456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43766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900" y="41248012"/>
            <a:ext cx="2833234" cy="37671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43766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29175" y="45129450"/>
            <a:ext cx="1463337" cy="19456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https://vsjcllp.vsjadon.com/upload/insp-243766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6600" y="45138975"/>
            <a:ext cx="1463337" cy="19456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https://vsjcllp.vsjadon.com/upload/insp-243766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0500" y="45138975"/>
            <a:ext cx="1463337" cy="19456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43766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6200" y="47182088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43766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00225" y="47177325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xmlns="" id="{00000000-0008-0000-0000-000030000000}"/>
              </a:ext>
            </a:extLst>
          </xdr:cNvPr>
          <xdr:cNvSpPr txBox="1"/>
        </xdr:nvSpPr>
        <xdr:spPr>
          <a:xfrm>
            <a:off x="342900" y="41248012"/>
            <a:ext cx="70891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xmlns="" id="{00000000-0008-0000-0000-000030000000}"/>
              </a:ext>
            </a:extLst>
          </xdr:cNvPr>
          <xdr:cNvSpPr txBox="1"/>
        </xdr:nvSpPr>
        <xdr:spPr>
          <a:xfrm>
            <a:off x="5324475" y="41257537"/>
            <a:ext cx="702693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B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801441</xdr:colOff>
      <xdr:row>35</xdr:row>
      <xdr:rowOff>47523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1136774</xdr:colOff>
      <xdr:row>14</xdr:row>
      <xdr:rowOff>0</xdr:rowOff>
    </xdr:from>
    <xdr:to>
      <xdr:col>18</xdr:col>
      <xdr:colOff>78039</xdr:colOff>
      <xdr:row>35</xdr:row>
      <xdr:rowOff>47523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8039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JmfvMHdMTSLRAXB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306"/>
  <sheetViews>
    <sheetView tabSelected="1" view="pageBreakPreview" zoomScaleNormal="100" zoomScaleSheetLayoutView="100" workbookViewId="0">
      <selection activeCell="J14" sqref="J14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140625" style="40" customWidth="1"/>
    <col min="5" max="6" width="11.5703125" style="40" customWidth="1"/>
    <col min="7" max="7" width="11.42578125" style="40" customWidth="1"/>
    <col min="8" max="8" width="11.5703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5703125" style="21" customWidth="1"/>
    <col min="17" max="247" width="9.140625" style="21"/>
    <col min="248" max="248" width="8.5703125" style="21" customWidth="1"/>
    <col min="249" max="249" width="9.85546875" style="21" customWidth="1"/>
    <col min="250" max="250" width="14.42578125" style="21" customWidth="1"/>
    <col min="251" max="251" width="7.425781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5703125" style="21" customWidth="1"/>
    <col min="505" max="505" width="9.85546875" style="21" customWidth="1"/>
    <col min="506" max="506" width="14.42578125" style="21" customWidth="1"/>
    <col min="507" max="507" width="7.425781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5703125" style="21" customWidth="1"/>
    <col min="761" max="761" width="9.85546875" style="21" customWidth="1"/>
    <col min="762" max="762" width="14.42578125" style="21" customWidth="1"/>
    <col min="763" max="763" width="7.425781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5703125" style="21" customWidth="1"/>
    <col min="1017" max="1017" width="9.85546875" style="21" customWidth="1"/>
    <col min="1018" max="1018" width="14.42578125" style="21" customWidth="1"/>
    <col min="1019" max="1019" width="7.425781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5703125" style="21" customWidth="1"/>
    <col min="1273" max="1273" width="9.85546875" style="21" customWidth="1"/>
    <col min="1274" max="1274" width="14.42578125" style="21" customWidth="1"/>
    <col min="1275" max="1275" width="7.425781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5703125" style="21" customWidth="1"/>
    <col min="1529" max="1529" width="9.85546875" style="21" customWidth="1"/>
    <col min="1530" max="1530" width="14.42578125" style="21" customWidth="1"/>
    <col min="1531" max="1531" width="7.425781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5703125" style="21" customWidth="1"/>
    <col min="1785" max="1785" width="9.85546875" style="21" customWidth="1"/>
    <col min="1786" max="1786" width="14.42578125" style="21" customWidth="1"/>
    <col min="1787" max="1787" width="7.425781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5703125" style="21" customWidth="1"/>
    <col min="2041" max="2041" width="9.85546875" style="21" customWidth="1"/>
    <col min="2042" max="2042" width="14.42578125" style="21" customWidth="1"/>
    <col min="2043" max="2043" width="7.425781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5703125" style="21" customWidth="1"/>
    <col min="2297" max="2297" width="9.85546875" style="21" customWidth="1"/>
    <col min="2298" max="2298" width="14.42578125" style="21" customWidth="1"/>
    <col min="2299" max="2299" width="7.425781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5703125" style="21" customWidth="1"/>
    <col min="2553" max="2553" width="9.85546875" style="21" customWidth="1"/>
    <col min="2554" max="2554" width="14.42578125" style="21" customWidth="1"/>
    <col min="2555" max="2555" width="7.425781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5703125" style="21" customWidth="1"/>
    <col min="2809" max="2809" width="9.85546875" style="21" customWidth="1"/>
    <col min="2810" max="2810" width="14.42578125" style="21" customWidth="1"/>
    <col min="2811" max="2811" width="7.425781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5703125" style="21" customWidth="1"/>
    <col min="3065" max="3065" width="9.85546875" style="21" customWidth="1"/>
    <col min="3066" max="3066" width="14.42578125" style="21" customWidth="1"/>
    <col min="3067" max="3067" width="7.425781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5703125" style="21" customWidth="1"/>
    <col min="3321" max="3321" width="9.85546875" style="21" customWidth="1"/>
    <col min="3322" max="3322" width="14.42578125" style="21" customWidth="1"/>
    <col min="3323" max="3323" width="7.425781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5703125" style="21" customWidth="1"/>
    <col min="3577" max="3577" width="9.85546875" style="21" customWidth="1"/>
    <col min="3578" max="3578" width="14.42578125" style="21" customWidth="1"/>
    <col min="3579" max="3579" width="7.425781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5703125" style="21" customWidth="1"/>
    <col min="3833" max="3833" width="9.85546875" style="21" customWidth="1"/>
    <col min="3834" max="3834" width="14.42578125" style="21" customWidth="1"/>
    <col min="3835" max="3835" width="7.425781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5703125" style="21" customWidth="1"/>
    <col min="4089" max="4089" width="9.85546875" style="21" customWidth="1"/>
    <col min="4090" max="4090" width="14.42578125" style="21" customWidth="1"/>
    <col min="4091" max="4091" width="7.425781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5703125" style="21" customWidth="1"/>
    <col min="4345" max="4345" width="9.85546875" style="21" customWidth="1"/>
    <col min="4346" max="4346" width="14.42578125" style="21" customWidth="1"/>
    <col min="4347" max="4347" width="7.425781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5703125" style="21" customWidth="1"/>
    <col min="4601" max="4601" width="9.85546875" style="21" customWidth="1"/>
    <col min="4602" max="4602" width="14.42578125" style="21" customWidth="1"/>
    <col min="4603" max="4603" width="7.425781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5703125" style="21" customWidth="1"/>
    <col min="4857" max="4857" width="9.85546875" style="21" customWidth="1"/>
    <col min="4858" max="4858" width="14.42578125" style="21" customWidth="1"/>
    <col min="4859" max="4859" width="7.425781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5703125" style="21" customWidth="1"/>
    <col min="5113" max="5113" width="9.85546875" style="21" customWidth="1"/>
    <col min="5114" max="5114" width="14.42578125" style="21" customWidth="1"/>
    <col min="5115" max="5115" width="7.425781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5703125" style="21" customWidth="1"/>
    <col min="5369" max="5369" width="9.85546875" style="21" customWidth="1"/>
    <col min="5370" max="5370" width="14.42578125" style="21" customWidth="1"/>
    <col min="5371" max="5371" width="7.425781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5703125" style="21" customWidth="1"/>
    <col min="5625" max="5625" width="9.85546875" style="21" customWidth="1"/>
    <col min="5626" max="5626" width="14.42578125" style="21" customWidth="1"/>
    <col min="5627" max="5627" width="7.425781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5703125" style="21" customWidth="1"/>
    <col min="5881" max="5881" width="9.85546875" style="21" customWidth="1"/>
    <col min="5882" max="5882" width="14.42578125" style="21" customWidth="1"/>
    <col min="5883" max="5883" width="7.425781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5703125" style="21" customWidth="1"/>
    <col min="6137" max="6137" width="9.85546875" style="21" customWidth="1"/>
    <col min="6138" max="6138" width="14.42578125" style="21" customWidth="1"/>
    <col min="6139" max="6139" width="7.425781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5703125" style="21" customWidth="1"/>
    <col min="6393" max="6393" width="9.85546875" style="21" customWidth="1"/>
    <col min="6394" max="6394" width="14.42578125" style="21" customWidth="1"/>
    <col min="6395" max="6395" width="7.425781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5703125" style="21" customWidth="1"/>
    <col min="6649" max="6649" width="9.85546875" style="21" customWidth="1"/>
    <col min="6650" max="6650" width="14.42578125" style="21" customWidth="1"/>
    <col min="6651" max="6651" width="7.425781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5703125" style="21" customWidth="1"/>
    <col min="6905" max="6905" width="9.85546875" style="21" customWidth="1"/>
    <col min="6906" max="6906" width="14.42578125" style="21" customWidth="1"/>
    <col min="6907" max="6907" width="7.425781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5703125" style="21" customWidth="1"/>
    <col min="7161" max="7161" width="9.85546875" style="21" customWidth="1"/>
    <col min="7162" max="7162" width="14.42578125" style="21" customWidth="1"/>
    <col min="7163" max="7163" width="7.425781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5703125" style="21" customWidth="1"/>
    <col min="7417" max="7417" width="9.85546875" style="21" customWidth="1"/>
    <col min="7418" max="7418" width="14.42578125" style="21" customWidth="1"/>
    <col min="7419" max="7419" width="7.425781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5703125" style="21" customWidth="1"/>
    <col min="7673" max="7673" width="9.85546875" style="21" customWidth="1"/>
    <col min="7674" max="7674" width="14.42578125" style="21" customWidth="1"/>
    <col min="7675" max="7675" width="7.425781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5703125" style="21" customWidth="1"/>
    <col min="7929" max="7929" width="9.85546875" style="21" customWidth="1"/>
    <col min="7930" max="7930" width="14.42578125" style="21" customWidth="1"/>
    <col min="7931" max="7931" width="7.425781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5703125" style="21" customWidth="1"/>
    <col min="8185" max="8185" width="9.85546875" style="21" customWidth="1"/>
    <col min="8186" max="8186" width="14.42578125" style="21" customWidth="1"/>
    <col min="8187" max="8187" width="7.425781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5703125" style="21" customWidth="1"/>
    <col min="8441" max="8441" width="9.85546875" style="21" customWidth="1"/>
    <col min="8442" max="8442" width="14.42578125" style="21" customWidth="1"/>
    <col min="8443" max="8443" width="7.425781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5703125" style="21" customWidth="1"/>
    <col min="8697" max="8697" width="9.85546875" style="21" customWidth="1"/>
    <col min="8698" max="8698" width="14.42578125" style="21" customWidth="1"/>
    <col min="8699" max="8699" width="7.425781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5703125" style="21" customWidth="1"/>
    <col min="8953" max="8953" width="9.85546875" style="21" customWidth="1"/>
    <col min="8954" max="8954" width="14.42578125" style="21" customWidth="1"/>
    <col min="8955" max="8955" width="7.425781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5703125" style="21" customWidth="1"/>
    <col min="9209" max="9209" width="9.85546875" style="21" customWidth="1"/>
    <col min="9210" max="9210" width="14.42578125" style="21" customWidth="1"/>
    <col min="9211" max="9211" width="7.425781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5703125" style="21" customWidth="1"/>
    <col min="9465" max="9465" width="9.85546875" style="21" customWidth="1"/>
    <col min="9466" max="9466" width="14.42578125" style="21" customWidth="1"/>
    <col min="9467" max="9467" width="7.425781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5703125" style="21" customWidth="1"/>
    <col min="9721" max="9721" width="9.85546875" style="21" customWidth="1"/>
    <col min="9722" max="9722" width="14.42578125" style="21" customWidth="1"/>
    <col min="9723" max="9723" width="7.425781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5703125" style="21" customWidth="1"/>
    <col min="9977" max="9977" width="9.85546875" style="21" customWidth="1"/>
    <col min="9978" max="9978" width="14.42578125" style="21" customWidth="1"/>
    <col min="9979" max="9979" width="7.425781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5703125" style="21" customWidth="1"/>
    <col min="10233" max="10233" width="9.85546875" style="21" customWidth="1"/>
    <col min="10234" max="10234" width="14.42578125" style="21" customWidth="1"/>
    <col min="10235" max="10235" width="7.425781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5703125" style="21" customWidth="1"/>
    <col min="10489" max="10489" width="9.85546875" style="21" customWidth="1"/>
    <col min="10490" max="10490" width="14.42578125" style="21" customWidth="1"/>
    <col min="10491" max="10491" width="7.425781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5703125" style="21" customWidth="1"/>
    <col min="10745" max="10745" width="9.85546875" style="21" customWidth="1"/>
    <col min="10746" max="10746" width="14.42578125" style="21" customWidth="1"/>
    <col min="10747" max="10747" width="7.425781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5703125" style="21" customWidth="1"/>
    <col min="11001" max="11001" width="9.85546875" style="21" customWidth="1"/>
    <col min="11002" max="11002" width="14.42578125" style="21" customWidth="1"/>
    <col min="11003" max="11003" width="7.425781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5703125" style="21" customWidth="1"/>
    <col min="11257" max="11257" width="9.85546875" style="21" customWidth="1"/>
    <col min="11258" max="11258" width="14.42578125" style="21" customWidth="1"/>
    <col min="11259" max="11259" width="7.425781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5703125" style="21" customWidth="1"/>
    <col min="11513" max="11513" width="9.85546875" style="21" customWidth="1"/>
    <col min="11514" max="11514" width="14.42578125" style="21" customWidth="1"/>
    <col min="11515" max="11515" width="7.425781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5703125" style="21" customWidth="1"/>
    <col min="11769" max="11769" width="9.85546875" style="21" customWidth="1"/>
    <col min="11770" max="11770" width="14.42578125" style="21" customWidth="1"/>
    <col min="11771" max="11771" width="7.425781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5703125" style="21" customWidth="1"/>
    <col min="12025" max="12025" width="9.85546875" style="21" customWidth="1"/>
    <col min="12026" max="12026" width="14.42578125" style="21" customWidth="1"/>
    <col min="12027" max="12027" width="7.425781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5703125" style="21" customWidth="1"/>
    <col min="12281" max="12281" width="9.85546875" style="21" customWidth="1"/>
    <col min="12282" max="12282" width="14.42578125" style="21" customWidth="1"/>
    <col min="12283" max="12283" width="7.425781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5703125" style="21" customWidth="1"/>
    <col min="12537" max="12537" width="9.85546875" style="21" customWidth="1"/>
    <col min="12538" max="12538" width="14.42578125" style="21" customWidth="1"/>
    <col min="12539" max="12539" width="7.425781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5703125" style="21" customWidth="1"/>
    <col min="12793" max="12793" width="9.85546875" style="21" customWidth="1"/>
    <col min="12794" max="12794" width="14.42578125" style="21" customWidth="1"/>
    <col min="12795" max="12795" width="7.425781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5703125" style="21" customWidth="1"/>
    <col min="13049" max="13049" width="9.85546875" style="21" customWidth="1"/>
    <col min="13050" max="13050" width="14.42578125" style="21" customWidth="1"/>
    <col min="13051" max="13051" width="7.425781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5703125" style="21" customWidth="1"/>
    <col min="13305" max="13305" width="9.85546875" style="21" customWidth="1"/>
    <col min="13306" max="13306" width="14.42578125" style="21" customWidth="1"/>
    <col min="13307" max="13307" width="7.425781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5703125" style="21" customWidth="1"/>
    <col min="13561" max="13561" width="9.85546875" style="21" customWidth="1"/>
    <col min="13562" max="13562" width="14.42578125" style="21" customWidth="1"/>
    <col min="13563" max="13563" width="7.425781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5703125" style="21" customWidth="1"/>
    <col min="13817" max="13817" width="9.85546875" style="21" customWidth="1"/>
    <col min="13818" max="13818" width="14.42578125" style="21" customWidth="1"/>
    <col min="13819" max="13819" width="7.425781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5703125" style="21" customWidth="1"/>
    <col min="14073" max="14073" width="9.85546875" style="21" customWidth="1"/>
    <col min="14074" max="14074" width="14.42578125" style="21" customWidth="1"/>
    <col min="14075" max="14075" width="7.425781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5703125" style="21" customWidth="1"/>
    <col min="14329" max="14329" width="9.85546875" style="21" customWidth="1"/>
    <col min="14330" max="14330" width="14.42578125" style="21" customWidth="1"/>
    <col min="14331" max="14331" width="7.425781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5703125" style="21" customWidth="1"/>
    <col min="14585" max="14585" width="9.85546875" style="21" customWidth="1"/>
    <col min="14586" max="14586" width="14.42578125" style="21" customWidth="1"/>
    <col min="14587" max="14587" width="7.425781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5703125" style="21" customWidth="1"/>
    <col min="14841" max="14841" width="9.85546875" style="21" customWidth="1"/>
    <col min="14842" max="14842" width="14.42578125" style="21" customWidth="1"/>
    <col min="14843" max="14843" width="7.425781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5703125" style="21" customWidth="1"/>
    <col min="15097" max="15097" width="9.85546875" style="21" customWidth="1"/>
    <col min="15098" max="15098" width="14.42578125" style="21" customWidth="1"/>
    <col min="15099" max="15099" width="7.425781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5703125" style="21" customWidth="1"/>
    <col min="15353" max="15353" width="9.85546875" style="21" customWidth="1"/>
    <col min="15354" max="15354" width="14.42578125" style="21" customWidth="1"/>
    <col min="15355" max="15355" width="7.425781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5703125" style="21" customWidth="1"/>
    <col min="15609" max="15609" width="9.85546875" style="21" customWidth="1"/>
    <col min="15610" max="15610" width="14.42578125" style="21" customWidth="1"/>
    <col min="15611" max="15611" width="7.425781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5703125" style="21" customWidth="1"/>
    <col min="15865" max="15865" width="9.85546875" style="21" customWidth="1"/>
    <col min="15866" max="15866" width="14.42578125" style="21" customWidth="1"/>
    <col min="15867" max="15867" width="7.425781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5703125" style="21" customWidth="1"/>
    <col min="16121" max="16121" width="9.85546875" style="21" customWidth="1"/>
    <col min="16122" max="16122" width="14.42578125" style="21" customWidth="1"/>
    <col min="16123" max="16123" width="7.425781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54" t="s">
        <v>232</v>
      </c>
      <c r="B1" s="154"/>
      <c r="C1" s="154"/>
      <c r="D1" s="154"/>
      <c r="E1" s="154"/>
      <c r="F1" s="154"/>
      <c r="G1" s="154"/>
      <c r="H1" s="154"/>
    </row>
    <row r="2" spans="1:8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25">
      <c r="A3" s="155" t="s">
        <v>1</v>
      </c>
      <c r="B3" s="155"/>
      <c r="C3" s="155"/>
      <c r="D3" s="155"/>
      <c r="E3" s="155" t="str">
        <f ca="1">TEXT(TODAY(),"DD/MM/YYYY")</f>
        <v>19/08/2025</v>
      </c>
      <c r="F3" s="155"/>
      <c r="G3" s="155"/>
      <c r="H3" s="155"/>
    </row>
    <row r="4" spans="1:8" ht="15" customHeight="1" x14ac:dyDescent="0.25">
      <c r="A4" s="155" t="s">
        <v>2</v>
      </c>
      <c r="B4" s="155"/>
      <c r="C4" s="155"/>
      <c r="D4" s="155"/>
      <c r="E4" s="155" t="s">
        <v>175</v>
      </c>
      <c r="F4" s="155"/>
      <c r="G4" s="155"/>
      <c r="H4" s="155"/>
    </row>
    <row r="5" spans="1:8" x14ac:dyDescent="0.25">
      <c r="A5" s="155" t="s">
        <v>3</v>
      </c>
      <c r="B5" s="155"/>
      <c r="C5" s="155"/>
      <c r="D5" s="155"/>
      <c r="E5" s="156">
        <v>45883</v>
      </c>
      <c r="F5" s="155"/>
      <c r="G5" s="155"/>
      <c r="H5" s="155"/>
    </row>
    <row r="6" spans="1:8" ht="16.5" customHeight="1" x14ac:dyDescent="0.25">
      <c r="A6" s="155" t="s">
        <v>4</v>
      </c>
      <c r="B6" s="155"/>
      <c r="C6" s="155"/>
      <c r="D6" s="155"/>
      <c r="E6" s="155" t="s">
        <v>176</v>
      </c>
      <c r="F6" s="155"/>
      <c r="G6" s="155"/>
      <c r="H6" s="155"/>
    </row>
    <row r="7" spans="1:8" ht="15" customHeight="1" x14ac:dyDescent="0.25">
      <c r="A7" s="155" t="s">
        <v>5</v>
      </c>
      <c r="B7" s="155"/>
      <c r="C7" s="155"/>
      <c r="D7" s="155"/>
      <c r="E7" s="155" t="str">
        <f>E6</f>
        <v>Annapurna Buildcon</v>
      </c>
      <c r="F7" s="155"/>
      <c r="G7" s="155"/>
      <c r="H7" s="155"/>
    </row>
    <row r="8" spans="1:8" x14ac:dyDescent="0.25">
      <c r="A8" s="155" t="s">
        <v>6</v>
      </c>
      <c r="B8" s="155"/>
      <c r="C8" s="155"/>
      <c r="D8" s="155"/>
      <c r="E8" s="108" t="s">
        <v>177</v>
      </c>
      <c r="F8" s="108"/>
      <c r="G8" s="108"/>
      <c r="H8" s="108"/>
    </row>
    <row r="9" spans="1:8" x14ac:dyDescent="0.25">
      <c r="A9" s="155" t="s">
        <v>169</v>
      </c>
      <c r="B9" s="155"/>
      <c r="C9" s="155"/>
      <c r="D9" s="155"/>
      <c r="E9" s="155" t="s">
        <v>230</v>
      </c>
      <c r="F9" s="155"/>
      <c r="G9" s="155"/>
      <c r="H9" s="155"/>
    </row>
    <row r="10" spans="1:8" x14ac:dyDescent="0.25">
      <c r="A10" s="155" t="s">
        <v>170</v>
      </c>
      <c r="B10" s="155"/>
      <c r="C10" s="155"/>
      <c r="D10" s="155"/>
      <c r="E10" s="155" t="s">
        <v>29</v>
      </c>
      <c r="F10" s="155"/>
      <c r="G10" s="155"/>
      <c r="H10" s="155"/>
    </row>
    <row r="11" spans="1:8" x14ac:dyDescent="0.25">
      <c r="A11" s="155" t="s">
        <v>7</v>
      </c>
      <c r="B11" s="155"/>
      <c r="C11" s="155"/>
      <c r="D11" s="155"/>
      <c r="E11" s="155" t="s">
        <v>178</v>
      </c>
      <c r="F11" s="155"/>
      <c r="G11" s="155"/>
      <c r="H11" s="155"/>
    </row>
    <row r="12" spans="1:8" hidden="1" x14ac:dyDescent="0.25">
      <c r="A12" s="155" t="s">
        <v>171</v>
      </c>
      <c r="B12" s="155"/>
      <c r="C12" s="155"/>
      <c r="D12" s="155"/>
      <c r="E12" s="155"/>
      <c r="F12" s="155"/>
      <c r="G12" s="155"/>
      <c r="H12" s="155"/>
    </row>
    <row r="13" spans="1:8" s="23" customFormat="1" x14ac:dyDescent="0.25">
      <c r="A13" s="155" t="s">
        <v>8</v>
      </c>
      <c r="B13" s="155"/>
      <c r="C13" s="155"/>
      <c r="D13" s="155"/>
      <c r="E13" s="157" t="s">
        <v>209</v>
      </c>
      <c r="F13" s="157"/>
      <c r="G13" s="157"/>
      <c r="H13" s="157"/>
    </row>
    <row r="14" spans="1:8" x14ac:dyDescent="0.25">
      <c r="A14" s="78" t="s">
        <v>9</v>
      </c>
      <c r="B14" s="78"/>
      <c r="C14" s="78"/>
      <c r="D14" s="78"/>
      <c r="E14" s="157" t="s">
        <v>179</v>
      </c>
      <c r="F14" s="155"/>
      <c r="G14" s="155"/>
      <c r="H14" s="155"/>
    </row>
    <row r="15" spans="1:8" ht="48.75" customHeight="1" x14ac:dyDescent="0.25">
      <c r="A15" s="157" t="s">
        <v>10</v>
      </c>
      <c r="B15" s="157"/>
      <c r="C15" s="15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Sai Omkar Square, Survey No..105A, H.No.3, P.No.17,18,19 &amp; 20, near Shubharambh apartment, Internal Road, , Belavali, Badlapur, Ambernath, Thane - 421503.</v>
      </c>
      <c r="D15" s="157"/>
      <c r="E15" s="157"/>
      <c r="F15" s="157"/>
      <c r="G15" s="157"/>
      <c r="H15" s="157"/>
    </row>
    <row r="16" spans="1:8" x14ac:dyDescent="0.25">
      <c r="A16" s="157" t="s">
        <v>180</v>
      </c>
      <c r="B16" s="157"/>
      <c r="C16" s="157" t="s">
        <v>181</v>
      </c>
      <c r="D16" s="157"/>
      <c r="E16" s="157"/>
      <c r="F16" s="157"/>
      <c r="G16" s="157"/>
      <c r="H16" s="157"/>
    </row>
    <row r="17" spans="1:8" ht="15.75" customHeight="1" x14ac:dyDescent="0.25">
      <c r="A17" s="157" t="s">
        <v>165</v>
      </c>
      <c r="B17" s="157"/>
      <c r="C17" s="157" t="s">
        <v>29</v>
      </c>
      <c r="D17" s="157"/>
      <c r="E17" s="157"/>
      <c r="F17" s="157"/>
      <c r="G17" s="157"/>
      <c r="H17" s="157"/>
    </row>
    <row r="18" spans="1:8" ht="15.75" customHeight="1" x14ac:dyDescent="0.25">
      <c r="A18" s="157" t="s">
        <v>11</v>
      </c>
      <c r="B18" s="157"/>
      <c r="C18" s="155" t="s">
        <v>213</v>
      </c>
      <c r="D18" s="155"/>
      <c r="E18" s="157" t="s">
        <v>72</v>
      </c>
      <c r="F18" s="157"/>
      <c r="G18" s="157" t="s">
        <v>182</v>
      </c>
      <c r="H18" s="157"/>
    </row>
    <row r="19" spans="1:8" x14ac:dyDescent="0.25">
      <c r="A19" s="78" t="s">
        <v>13</v>
      </c>
      <c r="B19" s="78"/>
      <c r="C19" s="157" t="s">
        <v>212</v>
      </c>
      <c r="D19" s="157"/>
      <c r="E19" s="151" t="s">
        <v>12</v>
      </c>
      <c r="F19" s="151"/>
      <c r="G19" s="158" t="s">
        <v>183</v>
      </c>
      <c r="H19" s="158"/>
    </row>
    <row r="20" spans="1:8" x14ac:dyDescent="0.25">
      <c r="A20" s="78" t="s">
        <v>73</v>
      </c>
      <c r="B20" s="78"/>
      <c r="C20" s="157" t="s">
        <v>184</v>
      </c>
      <c r="D20" s="157"/>
      <c r="E20" s="151" t="s">
        <v>14</v>
      </c>
      <c r="F20" s="151"/>
      <c r="G20" s="157">
        <v>421503</v>
      </c>
      <c r="H20" s="157"/>
    </row>
    <row r="21" spans="1:8" ht="33.6" customHeight="1" x14ac:dyDescent="0.25">
      <c r="A21" s="78" t="s">
        <v>123</v>
      </c>
      <c r="B21" s="78"/>
      <c r="C21" s="157" t="s">
        <v>214</v>
      </c>
      <c r="D21" s="157"/>
      <c r="E21" s="151" t="s">
        <v>15</v>
      </c>
      <c r="F21" s="151"/>
      <c r="G21" s="157" t="s">
        <v>215</v>
      </c>
      <c r="H21" s="157"/>
    </row>
    <row r="22" spans="1:8" ht="15" customHeight="1" x14ac:dyDescent="0.25">
      <c r="A22" s="151" t="s">
        <v>75</v>
      </c>
      <c r="B22" s="151"/>
      <c r="C22" s="151"/>
      <c r="D22" s="151"/>
      <c r="E22" s="155" t="s">
        <v>16</v>
      </c>
      <c r="F22" s="155"/>
      <c r="G22" s="155"/>
      <c r="H22" s="155"/>
    </row>
    <row r="23" spans="1:8" ht="18.75" customHeight="1" x14ac:dyDescent="0.25">
      <c r="A23" s="151"/>
      <c r="B23" s="151"/>
      <c r="C23" s="151"/>
      <c r="D23" s="151"/>
      <c r="E23" s="155"/>
      <c r="F23" s="155"/>
      <c r="G23" s="155"/>
      <c r="H23" s="155"/>
    </row>
    <row r="24" spans="1:8" ht="15" customHeight="1" x14ac:dyDescent="0.25">
      <c r="A24" s="151" t="s">
        <v>17</v>
      </c>
      <c r="B24" s="151"/>
      <c r="C24" s="151"/>
      <c r="D24" s="151"/>
      <c r="E24" s="157" t="s">
        <v>18</v>
      </c>
      <c r="F24" s="157"/>
      <c r="G24" s="157"/>
      <c r="H24" s="157"/>
    </row>
    <row r="25" spans="1:8" ht="15" customHeight="1" x14ac:dyDescent="0.25">
      <c r="A25" s="78" t="s">
        <v>19</v>
      </c>
      <c r="B25" s="78"/>
      <c r="C25" s="78"/>
      <c r="D25" s="78"/>
      <c r="E25" s="157" t="str">
        <f>IF(AND(G19="Mumbai"),"Upper Class","Middle Class")</f>
        <v>Middle Class</v>
      </c>
      <c r="F25" s="157"/>
      <c r="G25" s="157"/>
      <c r="H25" s="157"/>
    </row>
    <row r="26" spans="1:8" x14ac:dyDescent="0.25">
      <c r="A26" s="78" t="s">
        <v>20</v>
      </c>
      <c r="B26" s="78"/>
      <c r="C26" s="78"/>
      <c r="D26" s="78"/>
      <c r="E26" s="157" t="s">
        <v>21</v>
      </c>
      <c r="F26" s="157"/>
      <c r="G26" s="157"/>
      <c r="H26" s="157"/>
    </row>
    <row r="27" spans="1:8" ht="15.75" customHeight="1" x14ac:dyDescent="0.25">
      <c r="A27" s="78" t="s">
        <v>22</v>
      </c>
      <c r="B27" s="78"/>
      <c r="C27" s="78"/>
      <c r="D27" s="78"/>
      <c r="E27" s="157" t="str">
        <f>IF(AND(G19="Mumbai"),"Developed","Developing")</f>
        <v>Developing</v>
      </c>
      <c r="F27" s="157"/>
      <c r="G27" s="157"/>
      <c r="H27" s="157"/>
    </row>
    <row r="28" spans="1:8" x14ac:dyDescent="0.25">
      <c r="A28" s="78" t="s">
        <v>23</v>
      </c>
      <c r="B28" s="78"/>
      <c r="C28" s="78"/>
      <c r="D28" s="78"/>
      <c r="E28" s="157" t="s">
        <v>24</v>
      </c>
      <c r="F28" s="157"/>
      <c r="G28" s="157"/>
      <c r="H28" s="157"/>
    </row>
    <row r="29" spans="1:8" ht="15.75" customHeight="1" x14ac:dyDescent="0.25">
      <c r="A29" s="78" t="s">
        <v>80</v>
      </c>
      <c r="B29" s="78"/>
      <c r="C29" s="78"/>
      <c r="D29" s="78"/>
      <c r="E29" s="157" t="s">
        <v>81</v>
      </c>
      <c r="F29" s="157"/>
      <c r="G29" s="157"/>
      <c r="H29" s="157"/>
    </row>
    <row r="30" spans="1:8" ht="15" customHeight="1" x14ac:dyDescent="0.25">
      <c r="A30" s="78" t="s">
        <v>32</v>
      </c>
      <c r="B30" s="78"/>
      <c r="C30" s="78"/>
      <c r="D30" s="78"/>
      <c r="E30" s="15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57"/>
      <c r="G30" s="157"/>
      <c r="H30" s="157"/>
    </row>
    <row r="31" spans="1:8" ht="15.75" customHeight="1" x14ac:dyDescent="0.25">
      <c r="A31" s="78" t="s">
        <v>92</v>
      </c>
      <c r="B31" s="78"/>
      <c r="C31" s="78"/>
      <c r="D31" s="78"/>
      <c r="E31" s="157" t="s">
        <v>33</v>
      </c>
      <c r="F31" s="157"/>
      <c r="G31" s="157"/>
      <c r="H31" s="157"/>
    </row>
    <row r="32" spans="1:8" s="22" customFormat="1" x14ac:dyDescent="0.25">
      <c r="A32" s="161" t="s">
        <v>93</v>
      </c>
      <c r="B32" s="161"/>
      <c r="C32" s="160" t="s">
        <v>172</v>
      </c>
      <c r="D32" s="160"/>
      <c r="E32" s="160"/>
      <c r="F32" s="160" t="s">
        <v>30</v>
      </c>
      <c r="G32" s="160"/>
      <c r="H32" s="160"/>
    </row>
    <row r="33" spans="1:8" s="22" customFormat="1" x14ac:dyDescent="0.25">
      <c r="A33" s="159" t="s">
        <v>25</v>
      </c>
      <c r="B33" s="159" t="s">
        <v>29</v>
      </c>
      <c r="C33" s="125" t="s">
        <v>218</v>
      </c>
      <c r="D33" s="125"/>
      <c r="E33" s="125"/>
      <c r="F33" s="125" t="s">
        <v>213</v>
      </c>
      <c r="G33" s="125"/>
      <c r="H33" s="125"/>
    </row>
    <row r="34" spans="1:8" x14ac:dyDescent="0.25">
      <c r="A34" s="159" t="s">
        <v>26</v>
      </c>
      <c r="B34" s="159" t="s">
        <v>29</v>
      </c>
      <c r="C34" s="125" t="s">
        <v>218</v>
      </c>
      <c r="D34" s="125"/>
      <c r="E34" s="125"/>
      <c r="F34" s="125" t="s">
        <v>216</v>
      </c>
      <c r="G34" s="125"/>
      <c r="H34" s="125"/>
    </row>
    <row r="35" spans="1:8" s="22" customFormat="1" x14ac:dyDescent="0.25">
      <c r="A35" s="159" t="s">
        <v>28</v>
      </c>
      <c r="B35" s="159" t="s">
        <v>29</v>
      </c>
      <c r="C35" s="125" t="s">
        <v>219</v>
      </c>
      <c r="D35" s="125"/>
      <c r="E35" s="125"/>
      <c r="F35" s="125" t="s">
        <v>213</v>
      </c>
      <c r="G35" s="125"/>
      <c r="H35" s="125"/>
    </row>
    <row r="36" spans="1:8" x14ac:dyDescent="0.25">
      <c r="A36" s="159" t="s">
        <v>27</v>
      </c>
      <c r="B36" s="159" t="s">
        <v>29</v>
      </c>
      <c r="C36" s="125" t="s">
        <v>220</v>
      </c>
      <c r="D36" s="125"/>
      <c r="E36" s="125"/>
      <c r="F36" s="125" t="s">
        <v>217</v>
      </c>
      <c r="G36" s="125"/>
      <c r="H36" s="125"/>
    </row>
    <row r="37" spans="1:8" x14ac:dyDescent="0.25">
      <c r="A37" s="78" t="s">
        <v>31</v>
      </c>
      <c r="B37" s="78"/>
      <c r="C37" s="78"/>
      <c r="D37" s="78"/>
      <c r="E37" s="78"/>
      <c r="F37" s="78"/>
      <c r="G37" s="78"/>
      <c r="H37" s="78"/>
    </row>
    <row r="38" spans="1:8" ht="15.75" customHeight="1" x14ac:dyDescent="0.25">
      <c r="A38" s="78" t="s">
        <v>167</v>
      </c>
      <c r="B38" s="78"/>
      <c r="C38" s="149" t="s">
        <v>211</v>
      </c>
      <c r="D38" s="149"/>
      <c r="E38" s="149"/>
      <c r="F38" s="149"/>
      <c r="G38" s="149"/>
      <c r="H38" s="149"/>
    </row>
    <row r="39" spans="1:8" x14ac:dyDescent="0.25">
      <c r="A39" s="78" t="s">
        <v>164</v>
      </c>
      <c r="B39" s="78"/>
      <c r="C39" s="202" t="s">
        <v>210</v>
      </c>
      <c r="D39" s="157"/>
      <c r="E39" s="157"/>
      <c r="F39" s="157"/>
      <c r="G39" s="157"/>
      <c r="H39" s="157"/>
    </row>
    <row r="40" spans="1:8" x14ac:dyDescent="0.25">
      <c r="A40" s="149" t="s">
        <v>34</v>
      </c>
      <c r="B40" s="149"/>
      <c r="C40" s="149"/>
      <c r="D40" s="149"/>
      <c r="E40" s="149"/>
      <c r="F40" s="149"/>
      <c r="G40" s="149"/>
      <c r="H40" s="149"/>
    </row>
    <row r="41" spans="1:8" x14ac:dyDescent="0.25">
      <c r="A41" s="78" t="s">
        <v>35</v>
      </c>
      <c r="B41" s="78"/>
      <c r="C41" s="78"/>
      <c r="D41" s="78"/>
      <c r="E41" s="175">
        <v>1482</v>
      </c>
      <c r="F41" s="175"/>
      <c r="G41" s="175"/>
      <c r="H41" s="175"/>
    </row>
    <row r="42" spans="1:8" x14ac:dyDescent="0.25">
      <c r="A42" s="78" t="s">
        <v>36</v>
      </c>
      <c r="B42" s="78"/>
      <c r="C42" s="78"/>
      <c r="D42" s="78"/>
      <c r="E42" s="133">
        <v>1.1000000000000001</v>
      </c>
      <c r="F42" s="133"/>
      <c r="G42" s="133"/>
      <c r="H42" s="133"/>
    </row>
    <row r="43" spans="1:8" x14ac:dyDescent="0.25">
      <c r="A43" s="78" t="s">
        <v>37</v>
      </c>
      <c r="B43" s="78"/>
      <c r="C43" s="78"/>
      <c r="D43" s="78"/>
      <c r="E43" s="133">
        <f>E45/E41-E42</f>
        <v>1.6543117408906882</v>
      </c>
      <c r="F43" s="133"/>
      <c r="G43" s="133"/>
      <c r="H43" s="133"/>
    </row>
    <row r="44" spans="1:8" x14ac:dyDescent="0.25">
      <c r="A44" s="78" t="s">
        <v>38</v>
      </c>
      <c r="B44" s="78"/>
      <c r="C44" s="78"/>
      <c r="D44" s="78"/>
      <c r="E44" s="133">
        <f>E42+E43</f>
        <v>2.7543117408906883</v>
      </c>
      <c r="F44" s="133"/>
      <c r="G44" s="133"/>
      <c r="H44" s="133"/>
    </row>
    <row r="45" spans="1:8" x14ac:dyDescent="0.25">
      <c r="A45" s="78" t="s">
        <v>91</v>
      </c>
      <c r="B45" s="78"/>
      <c r="C45" s="78"/>
      <c r="D45" s="78"/>
      <c r="E45" s="206">
        <v>4081.89</v>
      </c>
      <c r="F45" s="206"/>
      <c r="G45" s="206"/>
      <c r="H45" s="206"/>
    </row>
    <row r="46" spans="1:8" x14ac:dyDescent="0.25">
      <c r="A46" s="155" t="s">
        <v>39</v>
      </c>
      <c r="B46" s="155"/>
      <c r="C46" s="155"/>
      <c r="D46" s="155"/>
      <c r="E46" s="155" t="s">
        <v>185</v>
      </c>
      <c r="F46" s="155"/>
      <c r="G46" s="155"/>
      <c r="H46" s="155"/>
    </row>
    <row r="47" spans="1:8" x14ac:dyDescent="0.25">
      <c r="A47" s="149" t="s">
        <v>40</v>
      </c>
      <c r="B47" s="149"/>
      <c r="C47" s="149"/>
      <c r="D47" s="149"/>
      <c r="E47" s="149"/>
      <c r="F47" s="149"/>
      <c r="G47" s="149"/>
      <c r="H47" s="149"/>
    </row>
    <row r="48" spans="1:8" ht="33.75" customHeight="1" x14ac:dyDescent="0.25">
      <c r="A48" s="177" t="s">
        <v>152</v>
      </c>
      <c r="B48" s="178"/>
      <c r="C48" s="203" t="s">
        <v>186</v>
      </c>
      <c r="D48" s="204"/>
      <c r="E48" s="204"/>
      <c r="F48" s="204"/>
      <c r="G48" s="204"/>
      <c r="H48" s="205"/>
    </row>
    <row r="49" spans="1:14" ht="15.75" customHeight="1" x14ac:dyDescent="0.25">
      <c r="A49" s="177" t="s">
        <v>41</v>
      </c>
      <c r="B49" s="178"/>
      <c r="C49" s="177" t="s">
        <v>187</v>
      </c>
      <c r="D49" s="179"/>
      <c r="E49" s="178"/>
      <c r="F49" s="18" t="s">
        <v>42</v>
      </c>
      <c r="G49" s="166">
        <v>44641</v>
      </c>
      <c r="H49" s="178"/>
    </row>
    <row r="50" spans="1:14" x14ac:dyDescent="0.25">
      <c r="A50" s="177" t="s">
        <v>43</v>
      </c>
      <c r="B50" s="178"/>
      <c r="C50" s="177" t="str">
        <f>C49</f>
        <v>KBNP/NRV/BP/2344-223</v>
      </c>
      <c r="D50" s="179"/>
      <c r="E50" s="178"/>
      <c r="F50" s="18" t="s">
        <v>42</v>
      </c>
      <c r="G50" s="166">
        <f>G49</f>
        <v>44641</v>
      </c>
      <c r="H50" s="167"/>
    </row>
    <row r="51" spans="1:14" s="23" customFormat="1" ht="33.75" customHeight="1" x14ac:dyDescent="0.25">
      <c r="A51" s="168" t="s">
        <v>156</v>
      </c>
      <c r="B51" s="169"/>
      <c r="C51" s="177" t="s">
        <v>188</v>
      </c>
      <c r="D51" s="179"/>
      <c r="E51" s="178"/>
      <c r="F51" s="18" t="s">
        <v>42</v>
      </c>
      <c r="G51" s="166">
        <f>G50</f>
        <v>44641</v>
      </c>
      <c r="H51" s="167"/>
    </row>
    <row r="52" spans="1:14" s="23" customFormat="1" x14ac:dyDescent="0.25">
      <c r="A52" s="170"/>
      <c r="B52" s="171"/>
      <c r="C52" s="177" t="s">
        <v>189</v>
      </c>
      <c r="D52" s="179"/>
      <c r="E52" s="179"/>
      <c r="F52" s="179"/>
      <c r="G52" s="179"/>
      <c r="H52" s="178"/>
    </row>
    <row r="53" spans="1:14" x14ac:dyDescent="0.25">
      <c r="A53" s="188" t="s">
        <v>44</v>
      </c>
      <c r="B53" s="189"/>
      <c r="C53" s="188" t="s">
        <v>105</v>
      </c>
      <c r="D53" s="190"/>
      <c r="E53" s="189"/>
      <c r="F53" s="46" t="s">
        <v>42</v>
      </c>
      <c r="G53" s="123" t="s">
        <v>29</v>
      </c>
      <c r="H53" s="124"/>
    </row>
    <row r="54" spans="1:14" x14ac:dyDescent="0.25">
      <c r="A54" s="93" t="s">
        <v>46</v>
      </c>
      <c r="B54" s="93"/>
      <c r="C54" s="93"/>
      <c r="D54" s="93"/>
      <c r="E54" s="93"/>
      <c r="F54" s="93"/>
      <c r="G54" s="93"/>
      <c r="H54" s="93"/>
    </row>
    <row r="55" spans="1:14" x14ac:dyDescent="0.25">
      <c r="A55" s="151" t="s">
        <v>90</v>
      </c>
      <c r="B55" s="151"/>
      <c r="C55" s="151"/>
      <c r="D55" s="155">
        <f>E45</f>
        <v>4081.89</v>
      </c>
      <c r="E55" s="155"/>
      <c r="F55" s="155"/>
      <c r="G55" s="155"/>
      <c r="H55" s="155"/>
    </row>
    <row r="56" spans="1:14" x14ac:dyDescent="0.25">
      <c r="A56" s="157" t="s">
        <v>47</v>
      </c>
      <c r="B56" s="155"/>
      <c r="C56" s="155"/>
      <c r="D56" s="155" t="s">
        <v>202</v>
      </c>
      <c r="E56" s="155"/>
      <c r="F56" s="155"/>
      <c r="G56" s="155"/>
      <c r="H56" s="155"/>
      <c r="I56" s="24"/>
    </row>
    <row r="57" spans="1:14" x14ac:dyDescent="0.25">
      <c r="A57" s="163" t="s">
        <v>48</v>
      </c>
      <c r="B57" s="164"/>
      <c r="C57" s="165"/>
      <c r="D57" s="120" t="s">
        <v>189</v>
      </c>
      <c r="E57" s="162"/>
      <c r="F57" s="162"/>
      <c r="G57" s="162"/>
      <c r="H57" s="162"/>
    </row>
    <row r="58" spans="1:14" ht="15.75" customHeight="1" x14ac:dyDescent="0.25">
      <c r="A58" s="163" t="s">
        <v>88</v>
      </c>
      <c r="B58" s="164"/>
      <c r="C58" s="164"/>
      <c r="D58" s="182" t="s">
        <v>190</v>
      </c>
      <c r="E58" s="183"/>
      <c r="F58" s="183"/>
      <c r="G58" s="183"/>
      <c r="H58" s="184"/>
    </row>
    <row r="59" spans="1:14" ht="15.75" customHeight="1" x14ac:dyDescent="0.25">
      <c r="A59" s="180"/>
      <c r="B59" s="181"/>
      <c r="C59" s="181"/>
      <c r="D59" s="185" t="s">
        <v>191</v>
      </c>
      <c r="E59" s="186"/>
      <c r="F59" s="186"/>
      <c r="G59" s="186"/>
      <c r="H59" s="187"/>
    </row>
    <row r="60" spans="1:14" ht="15.75" customHeight="1" x14ac:dyDescent="0.25">
      <c r="A60" s="78" t="s">
        <v>45</v>
      </c>
      <c r="B60" s="78"/>
      <c r="C60" s="78"/>
      <c r="D60" s="176" t="s">
        <v>192</v>
      </c>
      <c r="E60" s="176"/>
      <c r="F60" s="176"/>
      <c r="G60" s="176"/>
      <c r="H60" s="176"/>
      <c r="J60" s="25"/>
      <c r="K60" s="24"/>
      <c r="N60" s="24"/>
    </row>
    <row r="61" spans="1:14" ht="15.75" customHeight="1" x14ac:dyDescent="0.25">
      <c r="A61" s="78" t="s">
        <v>86</v>
      </c>
      <c r="B61" s="78"/>
      <c r="C61" s="78"/>
      <c r="D61" s="209" t="str">
        <f>(IF(G53="NA","60 Years After Completion",IF(G53&lt;&gt;"NA",""&amp;60-ROUNDDOWN((E3-G53)/360,0)&amp;" Years"," ")))</f>
        <v>60 Years After Completion</v>
      </c>
      <c r="E61" s="209"/>
      <c r="F61" s="209"/>
      <c r="G61" s="209"/>
      <c r="H61" s="209"/>
      <c r="N61" s="24"/>
    </row>
    <row r="62" spans="1:14" ht="15.75" customHeight="1" x14ac:dyDescent="0.25">
      <c r="A62" s="78" t="s">
        <v>87</v>
      </c>
      <c r="B62" s="78"/>
      <c r="C62" s="78"/>
      <c r="D62" s="151" t="s">
        <v>24</v>
      </c>
      <c r="E62" s="151"/>
      <c r="F62" s="151"/>
      <c r="G62" s="151"/>
      <c r="H62" s="151"/>
      <c r="J62" s="26"/>
      <c r="K62" s="26"/>
    </row>
    <row r="63" spans="1:14" ht="34.5" customHeight="1" x14ac:dyDescent="0.25">
      <c r="A63" s="78" t="s">
        <v>74</v>
      </c>
      <c r="B63" s="78"/>
      <c r="C63" s="78"/>
      <c r="D63" s="157" t="s">
        <v>205</v>
      </c>
      <c r="E63" s="151"/>
      <c r="F63" s="151"/>
      <c r="G63" s="151"/>
      <c r="H63" s="151"/>
    </row>
    <row r="64" spans="1:14" x14ac:dyDescent="0.25">
      <c r="A64" s="151" t="s">
        <v>149</v>
      </c>
      <c r="B64" s="151"/>
      <c r="C64" s="151"/>
      <c r="D64" s="151" t="s">
        <v>29</v>
      </c>
      <c r="E64" s="151"/>
      <c r="F64" s="151"/>
      <c r="G64" s="151"/>
      <c r="H64" s="151"/>
      <c r="I64" s="27"/>
      <c r="J64" s="27"/>
      <c r="K64" s="27"/>
      <c r="L64" s="27"/>
      <c r="M64" s="27"/>
      <c r="N64" s="27"/>
    </row>
    <row r="65" spans="1:10" ht="15.75" customHeight="1" x14ac:dyDescent="0.25">
      <c r="A65" s="119" t="s">
        <v>85</v>
      </c>
      <c r="B65" s="119"/>
      <c r="C65" s="119"/>
      <c r="D65" s="120" t="str">
        <f ca="1">(IF(G71&gt;95%,"Nothing",IF(G71&gt;0%,"Cement, Aggregate, Steel, etc",IF(G71=0%,"Work not yet Started"))))</f>
        <v>Cement, Aggregate, Steel, etc</v>
      </c>
      <c r="E65" s="120"/>
      <c r="F65" s="120"/>
      <c r="G65" s="120"/>
      <c r="H65" s="120"/>
      <c r="J65" s="26"/>
    </row>
    <row r="66" spans="1:10" ht="33.75" customHeight="1" thickBot="1" x14ac:dyDescent="0.3">
      <c r="A66" s="174" t="s">
        <v>118</v>
      </c>
      <c r="B66" s="174"/>
      <c r="C66" s="174"/>
      <c r="D66" s="120" t="str">
        <f ca="1">(IF(D65="Nothing","Yes",IF(D65="Cement, Aggregate, Steel, etc","Under Construction",IF(D65="Work not yet Started","Work not yet Started"))))</f>
        <v>Under Construction</v>
      </c>
      <c r="E66" s="120"/>
      <c r="F66" s="120" t="str">
        <f ca="1">(IF(D65="Nothing","Yes",IF(D65="Cement, Aggregate, Steel, etc","Under Construction",IF(D65="Work not yet Started","Work not yet Started"))))</f>
        <v>Under Construction</v>
      </c>
      <c r="G66" s="120"/>
      <c r="H66" s="120"/>
    </row>
    <row r="67" spans="1:10" ht="15.75" customHeight="1" x14ac:dyDescent="0.25">
      <c r="A67" s="102" t="s">
        <v>141</v>
      </c>
      <c r="B67" s="103"/>
      <c r="C67" s="104" t="str">
        <f>D58</f>
        <v>Wing A = Gr/Stilt + 1st to 7th Floor</v>
      </c>
      <c r="D67" s="105"/>
      <c r="E67" s="105"/>
      <c r="F67" s="105"/>
      <c r="G67" s="105"/>
      <c r="H67" s="106"/>
      <c r="I67" s="48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 Completed, Painting upto 6 Floor, Finishing upto 3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Painting upto 6 Floor, Finishing upto 3 Floor</v>
      </c>
    </row>
    <row r="68" spans="1:10" x14ac:dyDescent="0.25">
      <c r="A68" s="16" t="s">
        <v>143</v>
      </c>
      <c r="B68" s="52">
        <f>IF(AND(ISNUMBER(SEARCH("1B",C67))),1,IF(AND(ISNUMBER(SEARCH("2B",C67))),2,IF(AND(ISNUMBER(SEARCH("3B",C67))),3,IF(AND(ISNUMBER(SEARCH("4B",C67))),4,IF(ISNUMBER(SEARCH("5B",C67)),5,0)))))</f>
        <v>0</v>
      </c>
      <c r="C68" s="52" t="s">
        <v>71</v>
      </c>
      <c r="D68" s="52">
        <v>1</v>
      </c>
      <c r="E68" s="52" t="s">
        <v>70</v>
      </c>
      <c r="F68" s="52">
        <v>0</v>
      </c>
      <c r="G68" s="52" t="s">
        <v>79</v>
      </c>
      <c r="H68" s="17">
        <f ca="1">--TRIM(RIGHT(SUBSTITUTE(LEFT(C67,_xlfn.AGGREGATE(16,6,FIND({0,1,2,3,4,5,6,7,8,9},C67,ROW(INDIRECT("1:"&amp;LEN(C67)))),1))," ",REPT(" ",LEN(C67))),LEN(C67)))</f>
        <v>7</v>
      </c>
      <c r="I68" s="5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0.95" customHeight="1" x14ac:dyDescent="0.25">
      <c r="A69" s="107" t="s">
        <v>89</v>
      </c>
      <c r="B69" s="108"/>
      <c r="C69" s="172" t="str">
        <f ca="1">I67</f>
        <v>Excavation, Plinth, RCC Slab, Brickwork, Internal Plaster, External Plaster, Flooring Completed, Painting upto 6 Floor, Finishing upto 3 Floor Completed</v>
      </c>
      <c r="D69" s="172"/>
      <c r="E69" s="172"/>
      <c r="F69" s="172"/>
      <c r="G69" s="172"/>
      <c r="H69" s="173"/>
      <c r="I69" s="50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25">
      <c r="A70" s="109" t="s">
        <v>49</v>
      </c>
      <c r="B70" s="110"/>
      <c r="C70" s="54" t="s">
        <v>140</v>
      </c>
      <c r="D70" s="54" t="s">
        <v>82</v>
      </c>
      <c r="E70" s="121" t="s">
        <v>84</v>
      </c>
      <c r="F70" s="121"/>
      <c r="G70" s="121" t="s">
        <v>83</v>
      </c>
      <c r="H70" s="122"/>
      <c r="I70" s="14" t="s">
        <v>142</v>
      </c>
      <c r="J70" s="28">
        <f ca="1">H68*25%</f>
        <v>1.75</v>
      </c>
    </row>
    <row r="71" spans="1:10" x14ac:dyDescent="0.25">
      <c r="A71" s="109" t="s">
        <v>129</v>
      </c>
      <c r="B71" s="110"/>
      <c r="C71" s="54">
        <f ca="1">J72</f>
        <v>7</v>
      </c>
      <c r="D71" s="55">
        <f ca="1">((100/H68)*C71)/100</f>
        <v>1</v>
      </c>
      <c r="E71" s="193">
        <f ca="1">(((C72/H68*10)+(40/(D68+F68+H68)*C73)+(7.5/(H68)*C74)+(7.5/(H68)*C75)+(10/H68*C76)+(10/H68*C77)+(5/H68*C78)+(5/H68*C79)+(5/H68*C80))/100)</f>
        <v>0.91428571428571426</v>
      </c>
      <c r="F71" s="194"/>
      <c r="G71" s="193">
        <f ca="1">((((C71/H68)*20)+((C72/H68)*25)+(30/(H68+F68+D68)*C73)+(5/H68*C74)+(5/H68*C75)+(5/H68*C76)+(5/H68*C77)+(0/H68*C78)+(0/H68*C79)+(5/H68*C80))/100)</f>
        <v>0.95</v>
      </c>
      <c r="H71" s="199"/>
      <c r="I71" s="14" t="s">
        <v>100</v>
      </c>
      <c r="J71" s="29">
        <f ca="1">H68*50%</f>
        <v>3.5</v>
      </c>
    </row>
    <row r="72" spans="1:10" x14ac:dyDescent="0.25">
      <c r="A72" s="109" t="s">
        <v>50</v>
      </c>
      <c r="B72" s="110"/>
      <c r="C72" s="68">
        <f ca="1">J80</f>
        <v>7</v>
      </c>
      <c r="D72" s="55">
        <f ca="1">((100/H68)*C72)/100</f>
        <v>1</v>
      </c>
      <c r="E72" s="195"/>
      <c r="F72" s="196"/>
      <c r="G72" s="195"/>
      <c r="H72" s="200"/>
      <c r="I72" s="14" t="s">
        <v>101</v>
      </c>
      <c r="J72" s="29">
        <f ca="1">H68</f>
        <v>7</v>
      </c>
    </row>
    <row r="73" spans="1:10" ht="15.75" customHeight="1" x14ac:dyDescent="0.25">
      <c r="A73" s="109" t="s">
        <v>130</v>
      </c>
      <c r="B73" s="110"/>
      <c r="C73" s="54">
        <v>8</v>
      </c>
      <c r="D73" s="55">
        <f ca="1">((100/(D68+F68+H68))*C73)/100</f>
        <v>1</v>
      </c>
      <c r="E73" s="195"/>
      <c r="F73" s="196"/>
      <c r="G73" s="195"/>
      <c r="H73" s="200"/>
      <c r="I73" s="14" t="s">
        <v>102</v>
      </c>
      <c r="J73" s="30">
        <f ca="1">(IF(B68&gt;1,(H68/(B68+2)),H68/4))</f>
        <v>1.75</v>
      </c>
    </row>
    <row r="74" spans="1:10" ht="15.75" customHeight="1" x14ac:dyDescent="0.25">
      <c r="A74" s="109" t="s">
        <v>137</v>
      </c>
      <c r="B74" s="110" t="s">
        <v>131</v>
      </c>
      <c r="C74" s="54">
        <v>7</v>
      </c>
      <c r="D74" s="55">
        <f ca="1">((100/H68)*C74)/100</f>
        <v>1</v>
      </c>
      <c r="E74" s="195"/>
      <c r="F74" s="196"/>
      <c r="G74" s="195"/>
      <c r="H74" s="200"/>
      <c r="I74" s="14" t="s">
        <v>103</v>
      </c>
      <c r="J74" s="30">
        <f ca="1">(IF(B68&gt;1,(H68/(B68+2)+J73),H68/4+J73))</f>
        <v>3.5</v>
      </c>
    </row>
    <row r="75" spans="1:10" ht="15.75" customHeight="1" x14ac:dyDescent="0.25">
      <c r="A75" s="109" t="s">
        <v>138</v>
      </c>
      <c r="B75" s="110" t="s">
        <v>131</v>
      </c>
      <c r="C75" s="54">
        <v>7</v>
      </c>
      <c r="D75" s="55">
        <f ca="1">((100/H68)*C75)/100</f>
        <v>1</v>
      </c>
      <c r="E75" s="195"/>
      <c r="F75" s="196"/>
      <c r="G75" s="195"/>
      <c r="H75" s="200"/>
      <c r="I75" s="14" t="s">
        <v>147</v>
      </c>
      <c r="J75" s="30">
        <f>(IF(B68&gt;1,(H68/(B68+2)+J74),0))</f>
        <v>0</v>
      </c>
    </row>
    <row r="76" spans="1:10" ht="15" customHeight="1" x14ac:dyDescent="0.25">
      <c r="A76" s="109" t="s">
        <v>136</v>
      </c>
      <c r="B76" s="110" t="s">
        <v>133</v>
      </c>
      <c r="C76" s="54">
        <v>7</v>
      </c>
      <c r="D76" s="55">
        <f ca="1">((100/(H68))*C76)/100</f>
        <v>1</v>
      </c>
      <c r="E76" s="195"/>
      <c r="F76" s="196"/>
      <c r="G76" s="195"/>
      <c r="H76" s="200"/>
      <c r="I76" s="14" t="s">
        <v>144</v>
      </c>
      <c r="J76" s="30">
        <f>(IF(B68&gt;2,(H68/(B68+2)+J75),0))</f>
        <v>0</v>
      </c>
    </row>
    <row r="77" spans="1:10" ht="15.75" customHeight="1" x14ac:dyDescent="0.25">
      <c r="A77" s="109" t="s">
        <v>132</v>
      </c>
      <c r="B77" s="110" t="s">
        <v>132</v>
      </c>
      <c r="C77" s="54">
        <v>7</v>
      </c>
      <c r="D77" s="55">
        <f ca="1">((100/H68)*C77)/100</f>
        <v>1</v>
      </c>
      <c r="E77" s="195"/>
      <c r="F77" s="196"/>
      <c r="G77" s="195"/>
      <c r="H77" s="200"/>
      <c r="I77" s="14" t="s">
        <v>145</v>
      </c>
      <c r="J77" s="31">
        <f>(IF(B68&gt;3,(H68/(B68+2)+J76),0))</f>
        <v>0</v>
      </c>
    </row>
    <row r="78" spans="1:10" ht="15.75" customHeight="1" x14ac:dyDescent="0.25">
      <c r="A78" s="109" t="s">
        <v>139</v>
      </c>
      <c r="B78" s="110"/>
      <c r="C78" s="54">
        <v>6</v>
      </c>
      <c r="D78" s="55">
        <f ca="1">((100/H68)*C78)/100</f>
        <v>0.85714285714285721</v>
      </c>
      <c r="E78" s="195"/>
      <c r="F78" s="196"/>
      <c r="G78" s="195"/>
      <c r="H78" s="200"/>
      <c r="I78" s="14" t="s">
        <v>146</v>
      </c>
      <c r="J78" s="30">
        <f>(IF(B68&gt;4,(H68/(B68+2)+J77),0))</f>
        <v>0</v>
      </c>
    </row>
    <row r="79" spans="1:10" ht="15.75" customHeight="1" x14ac:dyDescent="0.25">
      <c r="A79" s="109" t="s">
        <v>134</v>
      </c>
      <c r="B79" s="110" t="s">
        <v>134</v>
      </c>
      <c r="C79" s="54">
        <v>3</v>
      </c>
      <c r="D79" s="55">
        <f ca="1">((100/(H68))*C79)/100</f>
        <v>0.4285714285714286</v>
      </c>
      <c r="E79" s="195"/>
      <c r="F79" s="196"/>
      <c r="G79" s="195"/>
      <c r="H79" s="200"/>
      <c r="I79" s="14" t="s">
        <v>148</v>
      </c>
      <c r="J79" s="30">
        <f ca="1">(IF(B68=1,(H68/(B68+3)+J74),IF(B68=0,(H68/4+J74),IF(B68&gt;1,0))))</f>
        <v>5.25</v>
      </c>
    </row>
    <row r="80" spans="1:10" ht="16.5" thickBot="1" x14ac:dyDescent="0.3">
      <c r="A80" s="145" t="s">
        <v>135</v>
      </c>
      <c r="B80" s="146"/>
      <c r="C80" s="56">
        <v>0</v>
      </c>
      <c r="D80" s="57">
        <f ca="1">((100/(H68))*C80)/100</f>
        <v>0</v>
      </c>
      <c r="E80" s="197"/>
      <c r="F80" s="198"/>
      <c r="G80" s="197"/>
      <c r="H80" s="201"/>
      <c r="I80" s="15" t="s">
        <v>104</v>
      </c>
      <c r="J80" s="32">
        <f ca="1">(IF(B68&gt;1.5,(H68/(B68+2)+J74+MAX(0,J75-J74)+MAX(0,J76-J75)+MAX(0,J77-J76)+MAX(0,J78-J77)+MAX(0,J79-J78)),IF(B68=1,(H68/(B68+3)+J79),IF(B68=0,H68/4+J79))))</f>
        <v>7</v>
      </c>
    </row>
    <row r="81" spans="1:10" ht="15.75" customHeight="1" x14ac:dyDescent="0.25">
      <c r="A81" s="102" t="s">
        <v>141</v>
      </c>
      <c r="B81" s="103"/>
      <c r="C81" s="104" t="s">
        <v>191</v>
      </c>
      <c r="D81" s="105"/>
      <c r="E81" s="105"/>
      <c r="F81" s="105"/>
      <c r="G81" s="105"/>
      <c r="H81" s="106"/>
      <c r="I81" s="48" t="str">
        <f ca="1">IF(D94=100%,"All work Completed. Possession granted to the Building.",IF(D93=100%,"All work Completed, Waiting for OC",I82&amp;""&amp;I83&amp;""&amp;J82&amp;""&amp;J81&amp;" "&amp;J83))</f>
        <v>All work Completed. Possession granted to the Building.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x14ac:dyDescent="0.25">
      <c r="A82" s="16" t="s">
        <v>143</v>
      </c>
      <c r="B82" s="52">
        <f>IF(AND(ISNUMBER(SEARCH("1B",C81))),1,IF(AND(ISNUMBER(SEARCH("2B",C81))),2,IF(AND(ISNUMBER(SEARCH("3B",C81))),3,IF(AND(ISNUMBER(SEARCH("4B",C81))),4,IF(ISNUMBER(SEARCH("5B",C81)),5,0)))))</f>
        <v>0</v>
      </c>
      <c r="C82" s="52" t="s">
        <v>71</v>
      </c>
      <c r="D82" s="52">
        <v>1</v>
      </c>
      <c r="E82" s="52" t="s">
        <v>70</v>
      </c>
      <c r="F82" s="52">
        <v>0</v>
      </c>
      <c r="G82" s="52" t="s">
        <v>79</v>
      </c>
      <c r="H82" s="17">
        <f ca="1">--TRIM(RIGHT(SUBSTITUTE(LEFT(C81,_xlfn.AGGREGATE(16,6,FIND({0,1,2,3,4,5,6,7,8,9},C81,ROW(INDIRECT("1:"&amp;LEN(C81)))),1))," ",REPT(" ",LEN(C81))),LEN(C81)))</f>
        <v>7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Painting, Building common Amenities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16.5" thickBot="1" x14ac:dyDescent="0.3">
      <c r="A83" s="107" t="s">
        <v>89</v>
      </c>
      <c r="B83" s="108"/>
      <c r="C83" s="172" t="str">
        <f ca="1">(IF($G$53="NA",I81,"All work Completed. OC Received."))</f>
        <v>All work Completed. Possession granted to the Building.</v>
      </c>
      <c r="D83" s="172"/>
      <c r="E83" s="172"/>
      <c r="F83" s="172"/>
      <c r="G83" s="172"/>
      <c r="H83" s="173"/>
      <c r="I83" s="50" t="str">
        <f ca="1">IF(I82&lt;&gt;""," Completed","")</f>
        <v xml:space="preserve"> Completed</v>
      </c>
      <c r="J83" s="51" t="str">
        <f ca="1">IF(J81&lt;&gt;"","Completed","")</f>
        <v/>
      </c>
    </row>
    <row r="84" spans="1:10" ht="15.75" hidden="1" customHeight="1" x14ac:dyDescent="0.25">
      <c r="A84" s="109" t="s">
        <v>49</v>
      </c>
      <c r="B84" s="110"/>
      <c r="C84" s="44" t="s">
        <v>140</v>
      </c>
      <c r="D84" s="44" t="s">
        <v>82</v>
      </c>
      <c r="E84" s="110" t="s">
        <v>84</v>
      </c>
      <c r="F84" s="110"/>
      <c r="G84" s="110" t="s">
        <v>83</v>
      </c>
      <c r="H84" s="207"/>
      <c r="I84" s="14" t="s">
        <v>142</v>
      </c>
      <c r="J84" s="28">
        <f ca="1">H82*25%</f>
        <v>1.75</v>
      </c>
    </row>
    <row r="85" spans="1:10" hidden="1" x14ac:dyDescent="0.25">
      <c r="A85" s="109" t="s">
        <v>129</v>
      </c>
      <c r="B85" s="110"/>
      <c r="C85" s="44">
        <f ca="1">J86</f>
        <v>7</v>
      </c>
      <c r="D85" s="19">
        <f ca="1">((100/H82)*C85)/100</f>
        <v>1</v>
      </c>
      <c r="E85" s="136">
        <f ca="1">(((C86/H82*10)+(40/(D82+F82+H82)*C87)+(7.5/(H82)*C88)+(7.5/(H82)*C89)+(10/H82*C90)+(10/H82*C91)+(5/H82*C92)+(5/H82*C93)+(5/H82*C94))/100)</f>
        <v>1</v>
      </c>
      <c r="F85" s="137"/>
      <c r="G85" s="136">
        <f ca="1">((((C85/H82)*20)+((C86/H82)*25)+(30/(H82+F82+D82)*C87)+(5/H82*C88)+(5/H82*C89)+(5/H82*C90)+(5/H82*C91)+(0/H82*C92)+(0/H82*C93)+(5/H82*C94))/100)</f>
        <v>1</v>
      </c>
      <c r="H85" s="142"/>
      <c r="I85" s="14" t="s">
        <v>100</v>
      </c>
      <c r="J85" s="29">
        <f ca="1">H82*50%</f>
        <v>3.5</v>
      </c>
    </row>
    <row r="86" spans="1:10" hidden="1" x14ac:dyDescent="0.25">
      <c r="A86" s="109" t="s">
        <v>50</v>
      </c>
      <c r="B86" s="110"/>
      <c r="C86" s="53">
        <f ca="1">J94</f>
        <v>7</v>
      </c>
      <c r="D86" s="19">
        <f ca="1">((100/H82)*C86)/100</f>
        <v>1</v>
      </c>
      <c r="E86" s="138"/>
      <c r="F86" s="139"/>
      <c r="G86" s="138"/>
      <c r="H86" s="143"/>
      <c r="I86" s="14" t="s">
        <v>101</v>
      </c>
      <c r="J86" s="29">
        <f ca="1">H82</f>
        <v>7</v>
      </c>
    </row>
    <row r="87" spans="1:10" ht="15.75" hidden="1" customHeight="1" x14ac:dyDescent="0.25">
      <c r="A87" s="109" t="s">
        <v>130</v>
      </c>
      <c r="B87" s="110"/>
      <c r="C87" s="44">
        <v>8</v>
      </c>
      <c r="D87" s="19">
        <f ca="1">((100/(D82+F82+H82))*C87)/100</f>
        <v>1</v>
      </c>
      <c r="E87" s="138"/>
      <c r="F87" s="139"/>
      <c r="G87" s="138"/>
      <c r="H87" s="143"/>
      <c r="I87" s="14" t="s">
        <v>102</v>
      </c>
      <c r="J87" s="30">
        <f ca="1">(IF(B82&gt;1,(H82/(B82+2)),H82/4))</f>
        <v>1.75</v>
      </c>
    </row>
    <row r="88" spans="1:10" ht="15.75" hidden="1" customHeight="1" x14ac:dyDescent="0.25">
      <c r="A88" s="109" t="s">
        <v>137</v>
      </c>
      <c r="B88" s="110" t="s">
        <v>131</v>
      </c>
      <c r="C88" s="44">
        <v>7</v>
      </c>
      <c r="D88" s="19">
        <f ca="1">((100/H82)*C88)/100</f>
        <v>1</v>
      </c>
      <c r="E88" s="138"/>
      <c r="F88" s="139"/>
      <c r="G88" s="138"/>
      <c r="H88" s="143"/>
      <c r="I88" s="14" t="s">
        <v>103</v>
      </c>
      <c r="J88" s="30">
        <f ca="1">(IF(B82&gt;1,(H82/(B82+2)+J87),H82/4+J87))</f>
        <v>3.5</v>
      </c>
    </row>
    <row r="89" spans="1:10" ht="15.75" hidden="1" customHeight="1" x14ac:dyDescent="0.25">
      <c r="A89" s="109" t="s">
        <v>138</v>
      </c>
      <c r="B89" s="110" t="s">
        <v>131</v>
      </c>
      <c r="C89" s="44">
        <v>7</v>
      </c>
      <c r="D89" s="19">
        <f ca="1">((100/H82)*C89)/100</f>
        <v>1</v>
      </c>
      <c r="E89" s="138"/>
      <c r="F89" s="139"/>
      <c r="G89" s="138"/>
      <c r="H89" s="143"/>
      <c r="I89" s="14" t="s">
        <v>147</v>
      </c>
      <c r="J89" s="30">
        <f>(IF(B82&gt;1,(H82/(B82+2)+J88),0))</f>
        <v>0</v>
      </c>
    </row>
    <row r="90" spans="1:10" ht="15" hidden="1" customHeight="1" x14ac:dyDescent="0.25">
      <c r="A90" s="109" t="s">
        <v>136</v>
      </c>
      <c r="B90" s="110" t="s">
        <v>133</v>
      </c>
      <c r="C90" s="44">
        <v>7</v>
      </c>
      <c r="D90" s="19">
        <f ca="1">((100/(H82))*C90)/100</f>
        <v>1</v>
      </c>
      <c r="E90" s="138"/>
      <c r="F90" s="139"/>
      <c r="G90" s="138"/>
      <c r="H90" s="143"/>
      <c r="I90" s="14" t="s">
        <v>144</v>
      </c>
      <c r="J90" s="30">
        <f>(IF(B82&gt;2,(H82/(B82+2)+J89),0))</f>
        <v>0</v>
      </c>
    </row>
    <row r="91" spans="1:10" ht="15.75" hidden="1" customHeight="1" x14ac:dyDescent="0.25">
      <c r="A91" s="109" t="s">
        <v>132</v>
      </c>
      <c r="B91" s="110" t="s">
        <v>132</v>
      </c>
      <c r="C91" s="70">
        <v>7</v>
      </c>
      <c r="D91" s="19">
        <f ca="1">((100/H82)*C91)/100</f>
        <v>1</v>
      </c>
      <c r="E91" s="138"/>
      <c r="F91" s="139"/>
      <c r="G91" s="138"/>
      <c r="H91" s="143"/>
      <c r="I91" s="14" t="s">
        <v>145</v>
      </c>
      <c r="J91" s="31">
        <f>(IF(B82&gt;3,(H82/(B82+2)+J90),0))</f>
        <v>0</v>
      </c>
    </row>
    <row r="92" spans="1:10" ht="15.75" hidden="1" customHeight="1" x14ac:dyDescent="0.25">
      <c r="A92" s="109" t="s">
        <v>139</v>
      </c>
      <c r="B92" s="110"/>
      <c r="C92" s="70">
        <v>7</v>
      </c>
      <c r="D92" s="19">
        <f ca="1">((100/H82)*C92)/100</f>
        <v>1</v>
      </c>
      <c r="E92" s="138"/>
      <c r="F92" s="139"/>
      <c r="G92" s="138"/>
      <c r="H92" s="143"/>
      <c r="I92" s="14" t="s">
        <v>146</v>
      </c>
      <c r="J92" s="30">
        <f>(IF(B82&gt;4,(H82/(B82+2)+J91),0))</f>
        <v>0</v>
      </c>
    </row>
    <row r="93" spans="1:10" ht="15.75" hidden="1" customHeight="1" x14ac:dyDescent="0.25">
      <c r="A93" s="109" t="s">
        <v>134</v>
      </c>
      <c r="B93" s="110" t="s">
        <v>134</v>
      </c>
      <c r="C93" s="44">
        <v>7</v>
      </c>
      <c r="D93" s="19">
        <f ca="1">((100/(H82))*C93)/100</f>
        <v>1</v>
      </c>
      <c r="E93" s="138"/>
      <c r="F93" s="139"/>
      <c r="G93" s="138"/>
      <c r="H93" s="143"/>
      <c r="I93" s="14" t="s">
        <v>148</v>
      </c>
      <c r="J93" s="30">
        <f ca="1">(IF(B82=1,(H82/(B82+3)+J88),IF(B82=0,(H82/4+J88),IF(B82&gt;1,0))))</f>
        <v>5.25</v>
      </c>
    </row>
    <row r="94" spans="1:10" ht="16.5" hidden="1" thickBot="1" x14ac:dyDescent="0.3">
      <c r="A94" s="145" t="s">
        <v>135</v>
      </c>
      <c r="B94" s="146"/>
      <c r="C94" s="45">
        <v>7</v>
      </c>
      <c r="D94" s="20">
        <f ca="1">((100/(H82))*C94)/100</f>
        <v>1</v>
      </c>
      <c r="E94" s="140"/>
      <c r="F94" s="141"/>
      <c r="G94" s="140"/>
      <c r="H94" s="144"/>
      <c r="I94" s="15" t="s">
        <v>104</v>
      </c>
      <c r="J94" s="32">
        <f ca="1">(IF(B82&gt;1.5,(H82/(B82+2)+J88+MAX(0,J89-J88)+MAX(0,J90-J89)+MAX(0,J91-J90)+MAX(0,J92-J91)+MAX(0,J93-J92)),IF(B82=1,(H82/(B82+3)+J93),IF(B82=0,H82/4+J93))))</f>
        <v>7</v>
      </c>
    </row>
    <row r="95" spans="1:10" ht="32.25" customHeight="1" thickBot="1" x14ac:dyDescent="0.3">
      <c r="A95" s="224" t="s">
        <v>84</v>
      </c>
      <c r="B95" s="225"/>
      <c r="C95" s="227">
        <f ca="1">E85</f>
        <v>1</v>
      </c>
      <c r="D95" s="228"/>
      <c r="E95" s="226" t="s">
        <v>83</v>
      </c>
      <c r="F95" s="227"/>
      <c r="G95" s="226">
        <f ca="1">G85</f>
        <v>1</v>
      </c>
      <c r="H95" s="228"/>
      <c r="I95" s="15" t="s">
        <v>104</v>
      </c>
      <c r="J95" s="32">
        <f ca="1">(IF(B83&gt;1.5,(H83/(B83+2)+J89+MAX(0,J90-J89)+MAX(0,J91-J90)+MAX(0,J92-J91)+MAX(0,J93-J92)+MAX(0,J94-J93)),IF(B83=1,(H83/(B83+3)+J94),IF(B83=0,H83/4+J94))))</f>
        <v>7</v>
      </c>
    </row>
    <row r="96" spans="1:10" ht="15.75" hidden="1" customHeight="1" x14ac:dyDescent="0.25">
      <c r="A96" s="102" t="s">
        <v>141</v>
      </c>
      <c r="B96" s="103"/>
      <c r="C96" s="104" t="s">
        <v>224</v>
      </c>
      <c r="D96" s="105"/>
      <c r="E96" s="105"/>
      <c r="F96" s="105"/>
      <c r="G96" s="105"/>
      <c r="H96" s="106"/>
      <c r="I96" s="48" t="str">
        <f ca="1">IF(D109=100%,"All work Completed. Possession granted to the Building.",IF(D108=100%,"All work Completed, Waiting for OC",I97&amp;""&amp;I98&amp;""&amp;J97&amp;""&amp;J96&amp;" "&amp;J98))</f>
        <v xml:space="preserve">Excavation, Plinth, RCC Slab Completed </v>
      </c>
      <c r="J96" s="49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4" hidden="1" x14ac:dyDescent="0.25">
      <c r="A97" s="16" t="s">
        <v>143</v>
      </c>
      <c r="B97" s="52">
        <f>IF(AND(ISNUMBER(SEARCH("1B",C96))),1,IF(AND(ISNUMBER(SEARCH("2B",C96))),2,IF(AND(ISNUMBER(SEARCH("3B",C96))),3,IF(AND(ISNUMBER(SEARCH("4B",C96))),4,IF(ISNUMBER(SEARCH("5B",C96)),5,0)))))</f>
        <v>0</v>
      </c>
      <c r="C97" s="52" t="s">
        <v>71</v>
      </c>
      <c r="D97" s="52">
        <v>1</v>
      </c>
      <c r="E97" s="52" t="s">
        <v>70</v>
      </c>
      <c r="F97" s="52">
        <v>0</v>
      </c>
      <c r="G97" s="52" t="s">
        <v>79</v>
      </c>
      <c r="H97" s="17">
        <f ca="1">--TRIM(RIGHT(SUBSTITUTE(LEFT(C96,_xlfn.AGGREGATE(16,6,FIND({0,1,2,3,4,5,6,7,8,9},C96,ROW(INDIRECT("1:"&amp;LEN(C96)))),1))," ",REPT(" ",LEN(C96))),LEN(C96)))</f>
        <v>7</v>
      </c>
      <c r="I97" s="50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51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4" hidden="1" x14ac:dyDescent="0.25">
      <c r="A98" s="107" t="s">
        <v>89</v>
      </c>
      <c r="B98" s="108"/>
      <c r="C98" s="172" t="str">
        <f ca="1">(IF($G$53="NA",I96,"All work Completed. OC Received."))</f>
        <v xml:space="preserve">Excavation, Plinth, RCC Slab Completed </v>
      </c>
      <c r="D98" s="172"/>
      <c r="E98" s="172"/>
      <c r="F98" s="172"/>
      <c r="G98" s="172"/>
      <c r="H98" s="173"/>
      <c r="I98" s="50" t="str">
        <f ca="1">IF(I97&lt;&gt;""," Completed","")</f>
        <v xml:space="preserve"> Completed</v>
      </c>
      <c r="J98" s="51" t="str">
        <f ca="1">IF(J96&lt;&gt;"","Completed","")</f>
        <v/>
      </c>
    </row>
    <row r="99" spans="1:14" ht="15.75" hidden="1" customHeight="1" x14ac:dyDescent="0.25">
      <c r="A99" s="109" t="s">
        <v>49</v>
      </c>
      <c r="B99" s="110"/>
      <c r="C99" s="44" t="s">
        <v>140</v>
      </c>
      <c r="D99" s="44" t="s">
        <v>82</v>
      </c>
      <c r="E99" s="110" t="s">
        <v>84</v>
      </c>
      <c r="F99" s="110"/>
      <c r="G99" s="110" t="s">
        <v>83</v>
      </c>
      <c r="H99" s="207"/>
      <c r="I99" s="14" t="s">
        <v>142</v>
      </c>
      <c r="J99" s="28">
        <f ca="1">H97*25%</f>
        <v>1.75</v>
      </c>
    </row>
    <row r="100" spans="1:14" hidden="1" x14ac:dyDescent="0.25">
      <c r="A100" s="109" t="s">
        <v>129</v>
      </c>
      <c r="B100" s="110"/>
      <c r="C100" s="44">
        <f ca="1">J101</f>
        <v>7</v>
      </c>
      <c r="D100" s="19">
        <f ca="1">((100/H97)*C100)/100</f>
        <v>1</v>
      </c>
      <c r="E100" s="136">
        <f ca="1">(((C101/H97*10)+(40/(D97+F97+H97)*C102)+(7.5/(H97)*C103)+(7.5/(H97)*C104)+(10/H97*C105)+(10/H97*C106)+(5/H97*C107)+(5/H97*C108)+(5/H97*C109))/100)</f>
        <v>0.5</v>
      </c>
      <c r="F100" s="137"/>
      <c r="G100" s="136">
        <f ca="1">((((C100/H97)*20)+((C101/H97)*25)+(30/(H97+F97+D97)*C102)+(5/H97*C103)+(5/H97*C104)+(5/H97*C105)+(5/H97*C106)+(0/H97*C107)+(0/H97*C108)+(5/H97*C109))/100)</f>
        <v>0.75</v>
      </c>
      <c r="H100" s="142"/>
      <c r="I100" s="14" t="s">
        <v>100</v>
      </c>
      <c r="J100" s="29">
        <f ca="1">H97*50%</f>
        <v>3.5</v>
      </c>
    </row>
    <row r="101" spans="1:14" hidden="1" x14ac:dyDescent="0.25">
      <c r="A101" s="109" t="s">
        <v>50</v>
      </c>
      <c r="B101" s="110"/>
      <c r="C101" s="53">
        <f ca="1">J109</f>
        <v>7</v>
      </c>
      <c r="D101" s="19">
        <f ca="1">((100/H97)*C101)/100</f>
        <v>1</v>
      </c>
      <c r="E101" s="138"/>
      <c r="F101" s="139"/>
      <c r="G101" s="138"/>
      <c r="H101" s="143"/>
      <c r="I101" s="14" t="s">
        <v>101</v>
      </c>
      <c r="J101" s="29">
        <f ca="1">H97</f>
        <v>7</v>
      </c>
    </row>
    <row r="102" spans="1:14" ht="15.75" hidden="1" customHeight="1" x14ac:dyDescent="0.25">
      <c r="A102" s="109" t="s">
        <v>130</v>
      </c>
      <c r="B102" s="110"/>
      <c r="C102" s="44">
        <v>8</v>
      </c>
      <c r="D102" s="19">
        <f ca="1">((100/(D97+F97+H97))*C102)/100</f>
        <v>1</v>
      </c>
      <c r="E102" s="138"/>
      <c r="F102" s="139"/>
      <c r="G102" s="138"/>
      <c r="H102" s="143"/>
      <c r="I102" s="14" t="s">
        <v>102</v>
      </c>
      <c r="J102" s="30">
        <f ca="1">(IF(B97&gt;1,(H97/(B97+2)),H97/4))</f>
        <v>1.75</v>
      </c>
    </row>
    <row r="103" spans="1:14" ht="15.75" hidden="1" customHeight="1" x14ac:dyDescent="0.25">
      <c r="A103" s="109" t="s">
        <v>137</v>
      </c>
      <c r="B103" s="110" t="s">
        <v>131</v>
      </c>
      <c r="C103" s="44">
        <v>0</v>
      </c>
      <c r="D103" s="19">
        <f ca="1">((100/H97)*C103)/100</f>
        <v>0</v>
      </c>
      <c r="E103" s="138"/>
      <c r="F103" s="139"/>
      <c r="G103" s="138"/>
      <c r="H103" s="143"/>
      <c r="I103" s="14" t="s">
        <v>103</v>
      </c>
      <c r="J103" s="30">
        <f ca="1">(IF(B97&gt;1,(H97/(B97+2)+J102),H97/4+J102))</f>
        <v>3.5</v>
      </c>
    </row>
    <row r="104" spans="1:14" ht="15.75" hidden="1" customHeight="1" x14ac:dyDescent="0.25">
      <c r="A104" s="109" t="s">
        <v>138</v>
      </c>
      <c r="B104" s="110" t="s">
        <v>131</v>
      </c>
      <c r="C104" s="44">
        <v>0</v>
      </c>
      <c r="D104" s="19">
        <f ca="1">((100/H97)*C104)/100</f>
        <v>0</v>
      </c>
      <c r="E104" s="138"/>
      <c r="F104" s="139"/>
      <c r="G104" s="138"/>
      <c r="H104" s="143"/>
      <c r="I104" s="14" t="s">
        <v>147</v>
      </c>
      <c r="J104" s="30">
        <f>(IF(B97&gt;1,(H97/(B97+2)+J103),0))</f>
        <v>0</v>
      </c>
    </row>
    <row r="105" spans="1:14" ht="15" hidden="1" customHeight="1" x14ac:dyDescent="0.25">
      <c r="A105" s="109" t="s">
        <v>136</v>
      </c>
      <c r="B105" s="110" t="s">
        <v>133</v>
      </c>
      <c r="C105" s="44">
        <v>0</v>
      </c>
      <c r="D105" s="19">
        <f ca="1">((100/(H97))*C105)/100</f>
        <v>0</v>
      </c>
      <c r="E105" s="138"/>
      <c r="F105" s="139"/>
      <c r="G105" s="138"/>
      <c r="H105" s="143"/>
      <c r="I105" s="14" t="s">
        <v>144</v>
      </c>
      <c r="J105" s="30">
        <f>(IF(B97&gt;2,(H97/(B97+2)+J104),0))</f>
        <v>0</v>
      </c>
    </row>
    <row r="106" spans="1:14" ht="15.75" hidden="1" customHeight="1" x14ac:dyDescent="0.25">
      <c r="A106" s="109" t="s">
        <v>132</v>
      </c>
      <c r="B106" s="110" t="s">
        <v>132</v>
      </c>
      <c r="C106" s="44">
        <v>0</v>
      </c>
      <c r="D106" s="19">
        <f ca="1">((100/H97)*C106)/100</f>
        <v>0</v>
      </c>
      <c r="E106" s="138"/>
      <c r="F106" s="139"/>
      <c r="G106" s="138"/>
      <c r="H106" s="143"/>
      <c r="I106" s="14" t="s">
        <v>145</v>
      </c>
      <c r="J106" s="31">
        <f>(IF(B97&gt;3,(H97/(B97+2)+J105),0))</f>
        <v>0</v>
      </c>
    </row>
    <row r="107" spans="1:14" ht="15.75" hidden="1" customHeight="1" x14ac:dyDescent="0.25">
      <c r="A107" s="109" t="s">
        <v>139</v>
      </c>
      <c r="B107" s="110"/>
      <c r="C107" s="44">
        <v>0</v>
      </c>
      <c r="D107" s="19">
        <f ca="1">((100/H97)*C107)/100</f>
        <v>0</v>
      </c>
      <c r="E107" s="138"/>
      <c r="F107" s="139"/>
      <c r="G107" s="138"/>
      <c r="H107" s="143"/>
      <c r="I107" s="14" t="s">
        <v>146</v>
      </c>
      <c r="J107" s="30">
        <f>(IF(B97&gt;4,(H97/(B97+2)+J106),0))</f>
        <v>0</v>
      </c>
    </row>
    <row r="108" spans="1:14" ht="15.75" hidden="1" customHeight="1" x14ac:dyDescent="0.25">
      <c r="A108" s="109" t="s">
        <v>134</v>
      </c>
      <c r="B108" s="110" t="s">
        <v>134</v>
      </c>
      <c r="C108" s="44">
        <v>0</v>
      </c>
      <c r="D108" s="19">
        <f ca="1">((100/(H97))*C108)/100</f>
        <v>0</v>
      </c>
      <c r="E108" s="138"/>
      <c r="F108" s="139"/>
      <c r="G108" s="138"/>
      <c r="H108" s="143"/>
      <c r="I108" s="14" t="s">
        <v>148</v>
      </c>
      <c r="J108" s="30">
        <f ca="1">(IF(B97=1,(H97/(B97+3)+J103),IF(B97=0,(H97/4+J103),IF(B97&gt;1,0))))</f>
        <v>5.25</v>
      </c>
    </row>
    <row r="109" spans="1:14" ht="16.5" hidden="1" thickBot="1" x14ac:dyDescent="0.3">
      <c r="A109" s="145" t="s">
        <v>135</v>
      </c>
      <c r="B109" s="146"/>
      <c r="C109" s="45">
        <v>0</v>
      </c>
      <c r="D109" s="20">
        <f ca="1">((100/(H97))*C109)/100</f>
        <v>0</v>
      </c>
      <c r="E109" s="140"/>
      <c r="F109" s="141"/>
      <c r="G109" s="140"/>
      <c r="H109" s="144"/>
      <c r="I109" s="15" t="s">
        <v>104</v>
      </c>
      <c r="J109" s="32">
        <f ca="1">(IF(B97&gt;1.5,(H97/(B97+2)+J103+MAX(0,J104-J103)+MAX(0,J105-J104)+MAX(0,J106-J105)+MAX(0,J107-J106)+MAX(0,J108-J107)),IF(B97=1,(H97/(B97+3)+J108),IF(B97=0,H97/4+J108))))</f>
        <v>7</v>
      </c>
    </row>
    <row r="110" spans="1:14" ht="31.5" hidden="1" customHeight="1" x14ac:dyDescent="0.25">
      <c r="A110" s="73" t="s">
        <v>225</v>
      </c>
      <c r="B110" s="74"/>
      <c r="C110" s="75">
        <f ca="1">AVERAGE(E85,E100)</f>
        <v>0.75</v>
      </c>
      <c r="D110" s="76"/>
      <c r="E110" s="77" t="s">
        <v>226</v>
      </c>
      <c r="F110" s="76"/>
      <c r="G110" s="75">
        <f ca="1">AVERAGE(G85,G100)</f>
        <v>0.875</v>
      </c>
      <c r="H110" s="76"/>
      <c r="I110" s="48" t="e">
        <f>IF(D123=100%,"All work Completed. Possession granted to the Building.",IF(D122=100%,"All work Completed, Waiting for OC",I111&amp;""&amp;I112&amp;""&amp;J111&amp;""&amp;J110&amp;" "&amp;J112))</f>
        <v>#VALUE!</v>
      </c>
      <c r="J110" s="49" t="e">
        <f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#VALUE!</v>
      </c>
    </row>
    <row r="111" spans="1:14" x14ac:dyDescent="0.25">
      <c r="A111" s="208" t="s">
        <v>158</v>
      </c>
      <c r="B111" s="208"/>
      <c r="C111" s="208"/>
      <c r="D111" s="208"/>
      <c r="E111" s="208"/>
      <c r="F111" s="118" t="s">
        <v>162</v>
      </c>
      <c r="G111" s="118"/>
      <c r="H111" s="118"/>
      <c r="I111" s="64"/>
      <c r="J111" s="64" t="s">
        <v>206</v>
      </c>
      <c r="K111" s="64" t="s">
        <v>208</v>
      </c>
      <c r="L111" s="64" t="s">
        <v>207</v>
      </c>
      <c r="M111" s="64"/>
      <c r="N111" s="64"/>
    </row>
    <row r="112" spans="1:14" x14ac:dyDescent="0.25">
      <c r="A112" s="78" t="s">
        <v>160</v>
      </c>
      <c r="B112" s="78"/>
      <c r="C112" s="78"/>
      <c r="D112" s="78"/>
      <c r="E112" s="78"/>
      <c r="F112" s="111">
        <v>4300</v>
      </c>
      <c r="G112" s="111"/>
      <c r="H112" s="111"/>
      <c r="I112" s="67">
        <f>AVERAGE(J112:L112)</f>
        <v>4528.6335106779152</v>
      </c>
      <c r="J112" s="67">
        <f>AVERAGE(K168,K171,K187)</f>
        <v>4578.965642392428</v>
      </c>
      <c r="K112" s="67">
        <f>AVERAGE(L168,L182,L194,L198)</f>
        <v>4606.9348896413185</v>
      </c>
      <c r="L112" s="64">
        <v>4400</v>
      </c>
      <c r="M112" s="64"/>
      <c r="N112" s="64"/>
    </row>
    <row r="113" spans="1:14" x14ac:dyDescent="0.25">
      <c r="A113" s="78" t="s">
        <v>159</v>
      </c>
      <c r="B113" s="78"/>
      <c r="C113" s="78"/>
      <c r="D113" s="78"/>
      <c r="E113" s="78"/>
      <c r="F113" s="111">
        <v>10000</v>
      </c>
      <c r="G113" s="111"/>
      <c r="H113" s="111"/>
      <c r="I113" s="64"/>
      <c r="J113" s="64"/>
      <c r="K113" s="64"/>
      <c r="L113" s="64"/>
      <c r="M113" s="64"/>
      <c r="N113" s="64"/>
    </row>
    <row r="114" spans="1:14" hidden="1" x14ac:dyDescent="0.25">
      <c r="A114" s="78" t="s">
        <v>161</v>
      </c>
      <c r="B114" s="78"/>
      <c r="C114" s="78"/>
      <c r="D114" s="78"/>
      <c r="E114" s="78"/>
      <c r="F114" s="111"/>
      <c r="G114" s="111"/>
      <c r="H114" s="111"/>
      <c r="I114" s="64"/>
      <c r="J114" s="64"/>
      <c r="K114" s="64"/>
      <c r="L114" s="64"/>
      <c r="M114" s="64"/>
      <c r="N114" s="64"/>
    </row>
    <row r="115" spans="1:14" s="33" customFormat="1" hidden="1" x14ac:dyDescent="0.25">
      <c r="A115" s="78" t="s">
        <v>174</v>
      </c>
      <c r="B115" s="78"/>
      <c r="C115" s="78"/>
      <c r="D115" s="78"/>
      <c r="E115" s="78"/>
      <c r="F115" s="111"/>
      <c r="G115" s="111"/>
      <c r="H115" s="111"/>
      <c r="I115" s="65"/>
      <c r="J115" s="65"/>
      <c r="K115" s="65"/>
      <c r="L115" s="65"/>
      <c r="M115" s="65"/>
      <c r="N115" s="65"/>
    </row>
    <row r="116" spans="1:14" s="33" customFormat="1" x14ac:dyDescent="0.25">
      <c r="A116" s="78" t="s">
        <v>94</v>
      </c>
      <c r="B116" s="78"/>
      <c r="C116" s="78"/>
      <c r="D116" s="78"/>
      <c r="E116" s="78"/>
      <c r="F116" s="111">
        <v>200000</v>
      </c>
      <c r="G116" s="111"/>
      <c r="H116" s="111"/>
      <c r="I116" s="65"/>
      <c r="J116" s="65" t="s">
        <v>227</v>
      </c>
      <c r="K116" s="65"/>
      <c r="L116" s="65"/>
      <c r="M116" s="65"/>
      <c r="N116" s="65"/>
    </row>
    <row r="117" spans="1:14" s="33" customFormat="1" hidden="1" x14ac:dyDescent="0.25">
      <c r="A117" s="78" t="s">
        <v>95</v>
      </c>
      <c r="B117" s="78"/>
      <c r="C117" s="78"/>
      <c r="D117" s="78"/>
      <c r="E117" s="78"/>
      <c r="F117" s="111"/>
      <c r="G117" s="111"/>
      <c r="H117" s="111"/>
      <c r="I117" s="65"/>
      <c r="J117" s="65"/>
      <c r="K117" s="65"/>
      <c r="L117" s="65"/>
      <c r="M117" s="65"/>
      <c r="N117" s="65"/>
    </row>
    <row r="118" spans="1:14" s="33" customFormat="1" hidden="1" x14ac:dyDescent="0.25">
      <c r="A118" s="78" t="s">
        <v>163</v>
      </c>
      <c r="B118" s="78"/>
      <c r="C118" s="78"/>
      <c r="D118" s="78"/>
      <c r="E118" s="78"/>
      <c r="F118" s="111">
        <v>12000</v>
      </c>
      <c r="G118" s="111"/>
      <c r="H118" s="111"/>
      <c r="I118" s="65"/>
      <c r="J118" s="65"/>
      <c r="K118" s="65"/>
      <c r="L118" s="65"/>
      <c r="M118" s="65"/>
      <c r="N118" s="65"/>
    </row>
    <row r="119" spans="1:14" s="33" customFormat="1" hidden="1" x14ac:dyDescent="0.25">
      <c r="A119" s="78" t="s">
        <v>96</v>
      </c>
      <c r="B119" s="78"/>
      <c r="C119" s="78"/>
      <c r="D119" s="78"/>
      <c r="E119" s="78"/>
      <c r="F119" s="111"/>
      <c r="G119" s="111"/>
      <c r="H119" s="111"/>
      <c r="I119" s="65"/>
      <c r="J119" s="65"/>
      <c r="K119" s="65"/>
      <c r="L119" s="65"/>
      <c r="M119" s="65"/>
      <c r="N119" s="65"/>
    </row>
    <row r="120" spans="1:14" s="33" customFormat="1" hidden="1" x14ac:dyDescent="0.25">
      <c r="A120" s="78" t="s">
        <v>97</v>
      </c>
      <c r="B120" s="78"/>
      <c r="C120" s="78"/>
      <c r="D120" s="78"/>
      <c r="E120" s="78"/>
      <c r="F120" s="111"/>
      <c r="G120" s="111"/>
      <c r="H120" s="111"/>
      <c r="I120" s="65"/>
      <c r="J120" s="65"/>
      <c r="K120" s="65"/>
      <c r="L120" s="65"/>
      <c r="M120" s="65"/>
      <c r="N120" s="65"/>
    </row>
    <row r="121" spans="1:14" s="33" customFormat="1" hidden="1" x14ac:dyDescent="0.25">
      <c r="A121" s="78" t="s">
        <v>98</v>
      </c>
      <c r="B121" s="78"/>
      <c r="C121" s="78"/>
      <c r="D121" s="78"/>
      <c r="E121" s="78"/>
      <c r="F121" s="111"/>
      <c r="G121" s="111"/>
      <c r="H121" s="111"/>
      <c r="I121" s="65"/>
      <c r="J121" s="65"/>
      <c r="K121" s="65"/>
      <c r="L121" s="65"/>
      <c r="M121" s="65"/>
      <c r="N121" s="65"/>
    </row>
    <row r="122" spans="1:14" s="33" customFormat="1" hidden="1" x14ac:dyDescent="0.25">
      <c r="A122" s="78" t="s">
        <v>99</v>
      </c>
      <c r="B122" s="78"/>
      <c r="C122" s="78"/>
      <c r="D122" s="78"/>
      <c r="E122" s="78"/>
      <c r="F122" s="111"/>
      <c r="G122" s="111"/>
      <c r="H122" s="111"/>
      <c r="I122" s="65"/>
      <c r="J122" s="65"/>
      <c r="K122" s="65"/>
      <c r="L122" s="65"/>
      <c r="M122" s="65"/>
      <c r="N122" s="65"/>
    </row>
    <row r="123" spans="1:14" x14ac:dyDescent="0.25">
      <c r="A123" s="78" t="s">
        <v>51</v>
      </c>
      <c r="B123" s="78"/>
      <c r="C123" s="78"/>
      <c r="D123" s="78"/>
      <c r="E123" s="78"/>
      <c r="F123" s="111">
        <v>200000</v>
      </c>
      <c r="G123" s="111"/>
      <c r="H123" s="111"/>
      <c r="I123" s="64"/>
      <c r="J123" s="64"/>
      <c r="K123" s="64"/>
      <c r="L123" s="64"/>
      <c r="M123" s="64"/>
      <c r="N123" s="64"/>
    </row>
    <row r="124" spans="1:14" s="34" customFormat="1" x14ac:dyDescent="0.25">
      <c r="A124" s="149" t="s">
        <v>52</v>
      </c>
      <c r="B124" s="149"/>
      <c r="C124" s="149"/>
      <c r="D124" s="149"/>
      <c r="E124" s="149"/>
      <c r="F124" s="111">
        <f>F112*0.8</f>
        <v>3440</v>
      </c>
      <c r="G124" s="111"/>
      <c r="H124" s="111"/>
      <c r="I124" s="66"/>
      <c r="J124" s="66"/>
      <c r="K124" s="66"/>
      <c r="L124" s="66"/>
      <c r="M124" s="66"/>
      <c r="N124" s="66"/>
    </row>
    <row r="125" spans="1:14" s="35" customFormat="1" ht="15.75" customHeight="1" x14ac:dyDescent="0.25">
      <c r="A125" s="98" t="s">
        <v>222</v>
      </c>
      <c r="B125" s="98"/>
      <c r="C125" s="98"/>
      <c r="D125" s="98"/>
      <c r="E125" s="98"/>
      <c r="F125" s="98"/>
      <c r="G125" s="98"/>
      <c r="H125" s="98"/>
    </row>
    <row r="126" spans="1:14" s="35" customFormat="1" ht="15.75" customHeight="1" x14ac:dyDescent="0.25">
      <c r="A126" s="81" t="s">
        <v>53</v>
      </c>
      <c r="B126" s="81"/>
      <c r="C126" s="115" t="s">
        <v>77</v>
      </c>
      <c r="D126" s="115"/>
      <c r="E126" s="114" t="s">
        <v>54</v>
      </c>
      <c r="F126" s="114"/>
      <c r="G126" s="81" t="s">
        <v>55</v>
      </c>
      <c r="H126" s="81"/>
    </row>
    <row r="127" spans="1:14" s="35" customFormat="1" x14ac:dyDescent="0.25">
      <c r="A127" s="150" t="s">
        <v>195</v>
      </c>
      <c r="B127" s="150"/>
      <c r="C127" s="134">
        <f>COUNT(D142:D148)</f>
        <v>7</v>
      </c>
      <c r="D127" s="135"/>
      <c r="E127" s="116">
        <f>SUM(D142:D148)</f>
        <v>1028.5001999999999</v>
      </c>
      <c r="F127" s="117"/>
      <c r="G127" s="116">
        <f>SUM(F142:F148)</f>
        <v>1542.7502999999997</v>
      </c>
      <c r="H127" s="117"/>
    </row>
    <row r="128" spans="1:14" s="35" customFormat="1" x14ac:dyDescent="0.25">
      <c r="A128" s="150" t="s">
        <v>198</v>
      </c>
      <c r="B128" s="150"/>
      <c r="C128" s="134">
        <f>COUNT(D151:D161)</f>
        <v>11</v>
      </c>
      <c r="D128" s="135"/>
      <c r="E128" s="116">
        <f>SUM(D151:D161)</f>
        <v>1617.18336</v>
      </c>
      <c r="F128" s="117"/>
      <c r="G128" s="116">
        <f>SUM(F151:F161)</f>
        <v>2425.7750399999995</v>
      </c>
      <c r="H128" s="117"/>
    </row>
    <row r="129" spans="1:14" s="35" customFormat="1" x14ac:dyDescent="0.25">
      <c r="A129" s="98" t="s">
        <v>151</v>
      </c>
      <c r="B129" s="98"/>
      <c r="C129" s="219">
        <f>SUM(C127:C128)</f>
        <v>18</v>
      </c>
      <c r="D129" s="115"/>
      <c r="E129" s="220">
        <f>SUM(E127:E128)</f>
        <v>2645.6835599999999</v>
      </c>
      <c r="F129" s="114"/>
      <c r="G129" s="81">
        <f>SUM(G127:G128)</f>
        <v>3968.5253399999992</v>
      </c>
      <c r="H129" s="81"/>
    </row>
    <row r="130" spans="1:14" s="35" customFormat="1" x14ac:dyDescent="0.25">
      <c r="A130" s="98" t="s">
        <v>223</v>
      </c>
      <c r="B130" s="98"/>
      <c r="C130" s="98"/>
      <c r="D130" s="98"/>
      <c r="E130" s="98"/>
      <c r="F130" s="98"/>
      <c r="G130" s="98"/>
      <c r="H130" s="98"/>
    </row>
    <row r="131" spans="1:14" s="35" customFormat="1" ht="15.75" customHeight="1" x14ac:dyDescent="0.25">
      <c r="A131" s="81" t="s">
        <v>53</v>
      </c>
      <c r="B131" s="81"/>
      <c r="C131" s="115" t="s">
        <v>77</v>
      </c>
      <c r="D131" s="115"/>
      <c r="E131" s="114" t="s">
        <v>54</v>
      </c>
      <c r="F131" s="114"/>
      <c r="G131" s="81" t="s">
        <v>55</v>
      </c>
      <c r="H131" s="81"/>
    </row>
    <row r="132" spans="1:14" s="35" customFormat="1" x14ac:dyDescent="0.25">
      <c r="A132" s="150" t="s">
        <v>195</v>
      </c>
      <c r="B132" s="150"/>
      <c r="C132" s="135">
        <f>COUNT(D168:D174)+COUNT(D176:D182)*6</f>
        <v>49</v>
      </c>
      <c r="D132" s="135"/>
      <c r="E132" s="116">
        <f>SUM(D168:D174)+SUM(D176:D182)*6</f>
        <v>18889.178490000002</v>
      </c>
      <c r="F132" s="116"/>
      <c r="G132" s="116">
        <f>SUM(F168:F174)+SUM(F176:F182)*6</f>
        <v>27543.664570500005</v>
      </c>
      <c r="H132" s="116"/>
    </row>
    <row r="133" spans="1:14" s="35" customFormat="1" x14ac:dyDescent="0.25">
      <c r="A133" s="150" t="s">
        <v>198</v>
      </c>
      <c r="B133" s="150"/>
      <c r="C133" s="135">
        <f>COUNT(D186:D191)+COUNT(D193:D198)*6</f>
        <v>42</v>
      </c>
      <c r="D133" s="135"/>
      <c r="E133" s="116">
        <f>SUM(D186:D191)+SUM(D193:D198)*6</f>
        <v>18175.8213</v>
      </c>
      <c r="F133" s="116"/>
      <c r="G133" s="116">
        <f>SUM(F186:F191)+SUM(F193:F198)*6</f>
        <v>26516.885264999997</v>
      </c>
      <c r="H133" s="116"/>
    </row>
    <row r="134" spans="1:14" s="35" customFormat="1" ht="16.5" thickBot="1" x14ac:dyDescent="0.3">
      <c r="A134" s="221" t="s">
        <v>151</v>
      </c>
      <c r="B134" s="221"/>
      <c r="C134" s="223">
        <f>SUM(C132:C133)</f>
        <v>91</v>
      </c>
      <c r="D134" s="223"/>
      <c r="E134" s="222">
        <f>SUM(E132:E133)</f>
        <v>37064.999790000002</v>
      </c>
      <c r="F134" s="222"/>
      <c r="G134" s="97">
        <f>SUM(G132:G133)</f>
        <v>54060.549835500002</v>
      </c>
      <c r="H134" s="97"/>
    </row>
    <row r="135" spans="1:14" s="35" customFormat="1" x14ac:dyDescent="0.25">
      <c r="A135" s="126" t="s">
        <v>168</v>
      </c>
      <c r="B135" s="127"/>
      <c r="C135" s="128">
        <f>C129+C134</f>
        <v>109</v>
      </c>
      <c r="D135" s="129"/>
      <c r="E135" s="130">
        <f>E129+E134</f>
        <v>39710.683349999999</v>
      </c>
      <c r="F135" s="130"/>
      <c r="G135" s="131">
        <f>G129+G134</f>
        <v>58029.075175500002</v>
      </c>
      <c r="H135" s="132"/>
    </row>
    <row r="136" spans="1:14" s="34" customFormat="1" x14ac:dyDescent="0.25">
      <c r="A136" s="112" t="s">
        <v>56</v>
      </c>
      <c r="B136" s="112"/>
      <c r="C136" s="112"/>
      <c r="D136" s="112"/>
      <c r="E136" s="112"/>
      <c r="F136" s="112"/>
      <c r="G136" s="112"/>
      <c r="H136" s="112"/>
    </row>
    <row r="137" spans="1:14" x14ac:dyDescent="0.25">
      <c r="A137" s="112" t="s">
        <v>173</v>
      </c>
      <c r="B137" s="112"/>
      <c r="C137" s="112"/>
      <c r="D137" s="112"/>
      <c r="E137" s="112"/>
      <c r="F137" s="112"/>
      <c r="G137" s="112"/>
      <c r="H137" s="112"/>
    </row>
    <row r="138" spans="1:14" ht="47.25" customHeight="1" x14ac:dyDescent="0.25">
      <c r="A138" s="113" t="s">
        <v>120</v>
      </c>
      <c r="B138" s="113" t="s">
        <v>119</v>
      </c>
      <c r="C138" s="113" t="s">
        <v>57</v>
      </c>
      <c r="D138" s="113" t="s">
        <v>58</v>
      </c>
      <c r="E138" s="192" t="s">
        <v>157</v>
      </c>
      <c r="F138" s="71" t="s">
        <v>150</v>
      </c>
      <c r="G138" s="113" t="s">
        <v>60</v>
      </c>
      <c r="H138" s="113"/>
    </row>
    <row r="139" spans="1:14" s="37" customFormat="1" x14ac:dyDescent="0.25">
      <c r="A139" s="113"/>
      <c r="B139" s="113"/>
      <c r="C139" s="113"/>
      <c r="D139" s="113"/>
      <c r="E139" s="192"/>
      <c r="F139" s="72">
        <v>0.5</v>
      </c>
      <c r="G139" s="113"/>
      <c r="H139" s="113"/>
    </row>
    <row r="140" spans="1:14" s="37" customFormat="1" x14ac:dyDescent="0.25">
      <c r="A140" s="99" t="s">
        <v>195</v>
      </c>
      <c r="B140" s="99"/>
      <c r="C140" s="99"/>
      <c r="D140" s="99"/>
      <c r="E140" s="99"/>
      <c r="F140" s="99"/>
      <c r="G140" s="99"/>
      <c r="H140" s="99"/>
      <c r="J140" s="36"/>
    </row>
    <row r="141" spans="1:14" s="37" customFormat="1" x14ac:dyDescent="0.25">
      <c r="A141" s="99" t="s">
        <v>221</v>
      </c>
      <c r="B141" s="99"/>
      <c r="C141" s="99"/>
      <c r="D141" s="99"/>
      <c r="E141" s="99"/>
      <c r="F141" s="99"/>
      <c r="G141" s="99"/>
      <c r="H141" s="99"/>
      <c r="J141" s="36"/>
    </row>
    <row r="142" spans="1:14" s="37" customFormat="1" ht="15.75" customHeight="1" x14ac:dyDescent="0.25">
      <c r="A142" s="80">
        <v>1</v>
      </c>
      <c r="B142" s="80"/>
      <c r="C142" s="69" t="s">
        <v>194</v>
      </c>
      <c r="D142" s="58">
        <f>(14.4)*10.764</f>
        <v>155.0016</v>
      </c>
      <c r="E142" s="69">
        <v>0</v>
      </c>
      <c r="F142" s="69">
        <f>(D142+E142)*(($F$139)+1)</f>
        <v>232.50239999999999</v>
      </c>
      <c r="G142" s="80" t="str">
        <f>A141</f>
        <v>Ground Floor for Commercial, Society Office, Driver Room &amp; Parking</v>
      </c>
      <c r="H142" s="80"/>
      <c r="I142" s="36">
        <f>3*4.3</f>
        <v>12.899999999999999</v>
      </c>
      <c r="L142" s="191"/>
      <c r="M142" s="191"/>
      <c r="N142" s="36"/>
    </row>
    <row r="143" spans="1:14" s="37" customFormat="1" x14ac:dyDescent="0.25">
      <c r="A143" s="80">
        <f t="shared" ref="A143:A161" si="0">A142+1</f>
        <v>2</v>
      </c>
      <c r="B143" s="80"/>
      <c r="C143" s="69" t="s">
        <v>194</v>
      </c>
      <c r="D143" s="58">
        <f>(15.12)*10.764</f>
        <v>162.75167999999999</v>
      </c>
      <c r="E143" s="69">
        <v>0</v>
      </c>
      <c r="F143" s="69">
        <f t="shared" ref="F143:F145" si="1">(D143+E143)*(($F$139)+1)</f>
        <v>244.12752</v>
      </c>
      <c r="G143" s="80"/>
      <c r="H143" s="80"/>
      <c r="I143" s="36"/>
      <c r="L143" s="191"/>
      <c r="M143" s="191"/>
      <c r="N143" s="36"/>
    </row>
    <row r="144" spans="1:14" s="37" customFormat="1" x14ac:dyDescent="0.25">
      <c r="A144" s="80">
        <f t="shared" si="0"/>
        <v>3</v>
      </c>
      <c r="B144" s="80"/>
      <c r="C144" s="69" t="s">
        <v>194</v>
      </c>
      <c r="D144" s="58">
        <f>(13.47)*10.764</f>
        <v>144.99108000000001</v>
      </c>
      <c r="E144" s="69">
        <v>0</v>
      </c>
      <c r="F144" s="69">
        <f t="shared" si="1"/>
        <v>217.48662000000002</v>
      </c>
      <c r="G144" s="80"/>
      <c r="H144" s="80"/>
      <c r="I144" s="36"/>
      <c r="L144" s="191"/>
      <c r="M144" s="191"/>
      <c r="N144" s="36"/>
    </row>
    <row r="145" spans="1:14" s="37" customFormat="1" x14ac:dyDescent="0.25">
      <c r="A145" s="80">
        <f t="shared" si="0"/>
        <v>4</v>
      </c>
      <c r="B145" s="80"/>
      <c r="C145" s="69" t="s">
        <v>194</v>
      </c>
      <c r="D145" s="58">
        <f>(11.02)*10.764</f>
        <v>118.61927999999999</v>
      </c>
      <c r="E145" s="69">
        <v>0</v>
      </c>
      <c r="F145" s="69">
        <f t="shared" si="1"/>
        <v>177.92891999999998</v>
      </c>
      <c r="G145" s="80"/>
      <c r="H145" s="80"/>
      <c r="I145" s="36"/>
      <c r="L145" s="191"/>
      <c r="M145" s="191"/>
      <c r="N145" s="36"/>
    </row>
    <row r="146" spans="1:14" s="37" customFormat="1" x14ac:dyDescent="0.25">
      <c r="A146" s="80">
        <f t="shared" si="0"/>
        <v>5</v>
      </c>
      <c r="B146" s="80"/>
      <c r="C146" s="69" t="s">
        <v>194</v>
      </c>
      <c r="D146" s="58">
        <f>(10.59)*10.764</f>
        <v>113.99075999999999</v>
      </c>
      <c r="E146" s="69">
        <v>0</v>
      </c>
      <c r="F146" s="69">
        <f>(D146+E146)*(($F$139)+1)</f>
        <v>170.98613999999998</v>
      </c>
      <c r="G146" s="80"/>
      <c r="H146" s="80"/>
      <c r="I146" s="36"/>
      <c r="L146" s="191"/>
      <c r="M146" s="191"/>
      <c r="N146" s="36"/>
    </row>
    <row r="147" spans="1:14" s="37" customFormat="1" x14ac:dyDescent="0.25">
      <c r="A147" s="80">
        <f t="shared" si="0"/>
        <v>6</v>
      </c>
      <c r="B147" s="80"/>
      <c r="C147" s="69" t="s">
        <v>194</v>
      </c>
      <c r="D147" s="58">
        <f>(18.37)*10.764</f>
        <v>197.73468</v>
      </c>
      <c r="E147" s="69">
        <v>0</v>
      </c>
      <c r="F147" s="69">
        <f t="shared" ref="F147:F151" si="2">(D147+E147)*(($F$139)+1)</f>
        <v>296.60201999999998</v>
      </c>
      <c r="G147" s="80"/>
      <c r="H147" s="80"/>
      <c r="I147" s="36"/>
      <c r="L147" s="191"/>
      <c r="M147" s="191"/>
      <c r="N147" s="36"/>
    </row>
    <row r="148" spans="1:14" s="37" customFormat="1" x14ac:dyDescent="0.25">
      <c r="A148" s="80">
        <f t="shared" si="0"/>
        <v>7</v>
      </c>
      <c r="B148" s="80"/>
      <c r="C148" s="69" t="s">
        <v>194</v>
      </c>
      <c r="D148" s="58">
        <f>(12.58)*10.764</f>
        <v>135.41111999999998</v>
      </c>
      <c r="E148" s="69">
        <v>0</v>
      </c>
      <c r="F148" s="69">
        <f t="shared" si="2"/>
        <v>203.11667999999997</v>
      </c>
      <c r="G148" s="80"/>
      <c r="H148" s="80"/>
      <c r="I148" s="36"/>
      <c r="L148" s="191"/>
      <c r="M148" s="191"/>
      <c r="N148" s="36"/>
    </row>
    <row r="149" spans="1:14" s="37" customFormat="1" x14ac:dyDescent="0.25">
      <c r="A149" s="210" t="s">
        <v>198</v>
      </c>
      <c r="B149" s="211"/>
      <c r="C149" s="211"/>
      <c r="D149" s="211"/>
      <c r="E149" s="211"/>
      <c r="F149" s="211"/>
      <c r="G149" s="211"/>
      <c r="H149" s="212"/>
      <c r="J149" s="36"/>
    </row>
    <row r="150" spans="1:14" s="37" customFormat="1" x14ac:dyDescent="0.25">
      <c r="A150" s="210" t="s">
        <v>221</v>
      </c>
      <c r="B150" s="211"/>
      <c r="C150" s="211"/>
      <c r="D150" s="211"/>
      <c r="E150" s="211"/>
      <c r="F150" s="211"/>
      <c r="G150" s="211"/>
      <c r="H150" s="212"/>
      <c r="J150" s="36"/>
    </row>
    <row r="151" spans="1:14" s="37" customFormat="1" x14ac:dyDescent="0.25">
      <c r="A151" s="100">
        <f>A148+1</f>
        <v>8</v>
      </c>
      <c r="B151" s="101"/>
      <c r="C151" s="42" t="s">
        <v>194</v>
      </c>
      <c r="D151" s="58">
        <f>(9.65)*10.764</f>
        <v>103.87259999999999</v>
      </c>
      <c r="E151" s="42">
        <v>0</v>
      </c>
      <c r="F151" s="42">
        <f t="shared" si="2"/>
        <v>155.80889999999999</v>
      </c>
      <c r="G151" s="213" t="str">
        <f>A150</f>
        <v>Ground Floor for Commercial, Society Office, Driver Room &amp; Parking</v>
      </c>
      <c r="H151" s="214"/>
      <c r="I151" s="36"/>
      <c r="L151" s="191"/>
      <c r="M151" s="191"/>
      <c r="N151" s="36"/>
    </row>
    <row r="152" spans="1:14" s="37" customFormat="1" x14ac:dyDescent="0.25">
      <c r="A152" s="100">
        <f t="shared" si="0"/>
        <v>9</v>
      </c>
      <c r="B152" s="101"/>
      <c r="C152" s="42" t="s">
        <v>194</v>
      </c>
      <c r="D152" s="58">
        <f>(16.09)*10.764</f>
        <v>173.19275999999999</v>
      </c>
      <c r="E152" s="42">
        <v>0</v>
      </c>
      <c r="F152" s="42">
        <f>(D152+E152)*(($F$139)+1)</f>
        <v>259.78913999999997</v>
      </c>
      <c r="G152" s="215"/>
      <c r="H152" s="216"/>
      <c r="I152" s="36"/>
      <c r="L152" s="191"/>
      <c r="M152" s="191"/>
      <c r="N152" s="36"/>
    </row>
    <row r="153" spans="1:14" s="37" customFormat="1" x14ac:dyDescent="0.25">
      <c r="A153" s="100">
        <f t="shared" si="0"/>
        <v>10</v>
      </c>
      <c r="B153" s="101"/>
      <c r="C153" s="42" t="s">
        <v>194</v>
      </c>
      <c r="D153" s="58">
        <f>(12.58)*10.764</f>
        <v>135.41111999999998</v>
      </c>
      <c r="E153" s="42">
        <v>0</v>
      </c>
      <c r="F153" s="42">
        <f t="shared" ref="F153:F155" si="3">(D153+E153)*(($F$139)+1)</f>
        <v>203.11667999999997</v>
      </c>
      <c r="G153" s="215"/>
      <c r="H153" s="216"/>
      <c r="I153" s="36"/>
      <c r="L153" s="191"/>
      <c r="M153" s="191"/>
      <c r="N153" s="36"/>
    </row>
    <row r="154" spans="1:14" s="37" customFormat="1" x14ac:dyDescent="0.25">
      <c r="A154" s="100">
        <f t="shared" si="0"/>
        <v>11</v>
      </c>
      <c r="B154" s="101"/>
      <c r="C154" s="42" t="s">
        <v>194</v>
      </c>
      <c r="D154" s="58">
        <f>(11)*10.764</f>
        <v>118.404</v>
      </c>
      <c r="E154" s="42">
        <v>0</v>
      </c>
      <c r="F154" s="42">
        <f t="shared" si="3"/>
        <v>177.60599999999999</v>
      </c>
      <c r="G154" s="215"/>
      <c r="H154" s="216"/>
      <c r="I154" s="36"/>
      <c r="L154" s="191"/>
      <c r="M154" s="191"/>
      <c r="N154" s="36"/>
    </row>
    <row r="155" spans="1:14" s="37" customFormat="1" x14ac:dyDescent="0.25">
      <c r="A155" s="100">
        <f t="shared" si="0"/>
        <v>12</v>
      </c>
      <c r="B155" s="101"/>
      <c r="C155" s="42" t="s">
        <v>194</v>
      </c>
      <c r="D155" s="58">
        <f>(16.08)*10.764</f>
        <v>173.08511999999996</v>
      </c>
      <c r="E155" s="42">
        <v>0</v>
      </c>
      <c r="F155" s="42">
        <f t="shared" si="3"/>
        <v>259.62767999999994</v>
      </c>
      <c r="G155" s="215"/>
      <c r="H155" s="216"/>
      <c r="I155" s="36"/>
      <c r="L155" s="191"/>
      <c r="M155" s="191"/>
      <c r="N155" s="36"/>
    </row>
    <row r="156" spans="1:14" s="37" customFormat="1" x14ac:dyDescent="0.25">
      <c r="A156" s="100">
        <f t="shared" si="0"/>
        <v>13</v>
      </c>
      <c r="B156" s="101"/>
      <c r="C156" s="42" t="s">
        <v>194</v>
      </c>
      <c r="D156" s="58">
        <f>(11.96)*10.764</f>
        <v>128.73743999999999</v>
      </c>
      <c r="E156" s="42">
        <v>0</v>
      </c>
      <c r="F156" s="42">
        <f>(D156+E156)*(($F$139)+1)</f>
        <v>193.10615999999999</v>
      </c>
      <c r="G156" s="215"/>
      <c r="H156" s="216"/>
      <c r="I156" s="36"/>
      <c r="L156" s="191"/>
      <c r="M156" s="191"/>
      <c r="N156" s="36"/>
    </row>
    <row r="157" spans="1:14" s="37" customFormat="1" x14ac:dyDescent="0.25">
      <c r="A157" s="100">
        <f t="shared" si="0"/>
        <v>14</v>
      </c>
      <c r="B157" s="101"/>
      <c r="C157" s="42" t="s">
        <v>194</v>
      </c>
      <c r="D157" s="58">
        <f>(14.29)*10.764</f>
        <v>153.81755999999999</v>
      </c>
      <c r="E157" s="42">
        <v>0</v>
      </c>
      <c r="F157" s="42">
        <f t="shared" ref="F157:F159" si="4">(D157+E157)*(($F$139)+1)</f>
        <v>230.72633999999999</v>
      </c>
      <c r="G157" s="215"/>
      <c r="H157" s="216"/>
      <c r="I157" s="36"/>
      <c r="L157" s="191"/>
      <c r="M157" s="191"/>
      <c r="N157" s="36"/>
    </row>
    <row r="158" spans="1:14" s="37" customFormat="1" x14ac:dyDescent="0.25">
      <c r="A158" s="100">
        <f t="shared" si="0"/>
        <v>15</v>
      </c>
      <c r="B158" s="101"/>
      <c r="C158" s="42" t="s">
        <v>194</v>
      </c>
      <c r="D158" s="58">
        <f>(18.28)*10.764</f>
        <v>196.76591999999999</v>
      </c>
      <c r="E158" s="42">
        <v>0</v>
      </c>
      <c r="F158" s="42">
        <f t="shared" si="4"/>
        <v>295.14887999999996</v>
      </c>
      <c r="G158" s="215"/>
      <c r="H158" s="216"/>
      <c r="I158" s="36"/>
      <c r="L158" s="191"/>
      <c r="M158" s="191"/>
      <c r="N158" s="36"/>
    </row>
    <row r="159" spans="1:14" s="37" customFormat="1" x14ac:dyDescent="0.25">
      <c r="A159" s="100">
        <f t="shared" si="0"/>
        <v>16</v>
      </c>
      <c r="B159" s="101"/>
      <c r="C159" s="42" t="s">
        <v>194</v>
      </c>
      <c r="D159" s="58">
        <f>(12.82)*10.764</f>
        <v>137.99447999999998</v>
      </c>
      <c r="E159" s="42">
        <v>0</v>
      </c>
      <c r="F159" s="42">
        <f t="shared" si="4"/>
        <v>206.99171999999999</v>
      </c>
      <c r="G159" s="215"/>
      <c r="H159" s="216"/>
      <c r="I159" s="36"/>
      <c r="L159" s="191"/>
      <c r="M159" s="191"/>
      <c r="N159" s="36"/>
    </row>
    <row r="160" spans="1:14" s="37" customFormat="1" x14ac:dyDescent="0.25">
      <c r="A160" s="100">
        <f t="shared" si="0"/>
        <v>17</v>
      </c>
      <c r="B160" s="101"/>
      <c r="C160" s="42" t="s">
        <v>194</v>
      </c>
      <c r="D160" s="58">
        <f>(14.06)*10.764</f>
        <v>151.34183999999999</v>
      </c>
      <c r="E160" s="42">
        <v>0</v>
      </c>
      <c r="F160" s="42">
        <f t="shared" ref="F160:F161" si="5">(D160+E160)*(($F$139)+1)</f>
        <v>227.01275999999999</v>
      </c>
      <c r="G160" s="215"/>
      <c r="H160" s="216"/>
      <c r="I160" s="36"/>
      <c r="L160" s="191"/>
      <c r="M160" s="191"/>
      <c r="N160" s="36"/>
    </row>
    <row r="161" spans="1:14" s="37" customFormat="1" x14ac:dyDescent="0.25">
      <c r="A161" s="100">
        <f t="shared" si="0"/>
        <v>18</v>
      </c>
      <c r="B161" s="101"/>
      <c r="C161" s="42" t="s">
        <v>194</v>
      </c>
      <c r="D161" s="58">
        <f>(13.43)*10.764</f>
        <v>144.56052</v>
      </c>
      <c r="E161" s="42">
        <v>0</v>
      </c>
      <c r="F161" s="42">
        <f t="shared" si="5"/>
        <v>216.84078</v>
      </c>
      <c r="G161" s="217"/>
      <c r="H161" s="218"/>
      <c r="I161" s="36"/>
      <c r="L161" s="191"/>
      <c r="M161" s="191"/>
      <c r="N161" s="36"/>
    </row>
    <row r="162" spans="1:14" s="37" customFormat="1" x14ac:dyDescent="0.25">
      <c r="A162" s="100"/>
      <c r="B162" s="153"/>
      <c r="C162" s="153"/>
      <c r="D162" s="153"/>
      <c r="E162" s="153"/>
      <c r="F162" s="153"/>
      <c r="G162" s="153"/>
      <c r="H162" s="101"/>
      <c r="I162" s="36"/>
      <c r="N162" s="36"/>
    </row>
    <row r="163" spans="1:14" ht="47.25" customHeight="1" x14ac:dyDescent="0.25">
      <c r="A163" s="86" t="s">
        <v>121</v>
      </c>
      <c r="B163" s="86" t="s">
        <v>122</v>
      </c>
      <c r="C163" s="82" t="s">
        <v>57</v>
      </c>
      <c r="D163" s="82" t="s">
        <v>58</v>
      </c>
      <c r="E163" s="84" t="s">
        <v>59</v>
      </c>
      <c r="F163" s="43" t="s">
        <v>150</v>
      </c>
      <c r="G163" s="86" t="s">
        <v>60</v>
      </c>
      <c r="H163" s="87"/>
      <c r="I163" s="36"/>
    </row>
    <row r="164" spans="1:14" s="37" customFormat="1" x14ac:dyDescent="0.25">
      <c r="A164" s="88"/>
      <c r="B164" s="88"/>
      <c r="C164" s="83"/>
      <c r="D164" s="83"/>
      <c r="E164" s="85"/>
      <c r="F164" s="13">
        <v>0.45</v>
      </c>
      <c r="G164" s="88"/>
      <c r="H164" s="89"/>
      <c r="I164" s="36"/>
    </row>
    <row r="165" spans="1:14" s="37" customFormat="1" x14ac:dyDescent="0.25">
      <c r="A165" s="210" t="s">
        <v>195</v>
      </c>
      <c r="B165" s="211"/>
      <c r="C165" s="211"/>
      <c r="D165" s="211"/>
      <c r="E165" s="211"/>
      <c r="F165" s="211"/>
      <c r="G165" s="211"/>
      <c r="H165" s="212"/>
      <c r="J165" s="36"/>
    </row>
    <row r="166" spans="1:14" s="37" customFormat="1" x14ac:dyDescent="0.25">
      <c r="A166" s="210" t="s">
        <v>193</v>
      </c>
      <c r="B166" s="211"/>
      <c r="C166" s="211"/>
      <c r="D166" s="211"/>
      <c r="E166" s="211"/>
      <c r="F166" s="211"/>
      <c r="G166" s="211"/>
      <c r="H166" s="212"/>
      <c r="J166" s="36"/>
    </row>
    <row r="167" spans="1:14" s="37" customFormat="1" x14ac:dyDescent="0.25">
      <c r="A167" s="99" t="s">
        <v>196</v>
      </c>
      <c r="B167" s="99"/>
      <c r="C167" s="99"/>
      <c r="D167" s="99"/>
      <c r="E167" s="99"/>
      <c r="F167" s="99"/>
      <c r="G167" s="99"/>
      <c r="H167" s="99"/>
      <c r="I167" s="36"/>
      <c r="K167" s="37" t="s">
        <v>206</v>
      </c>
      <c r="L167" s="59" t="s">
        <v>208</v>
      </c>
      <c r="M167" s="59"/>
    </row>
    <row r="168" spans="1:14" s="37" customFormat="1" ht="15.75" customHeight="1" x14ac:dyDescent="0.25">
      <c r="A168" s="80">
        <f>LEFT(A167,SUM(LEN(A167)-LEN(SUBSTITUTE(A167,{"0","1","2","3","4","5","6","7","8","9"},""))))*100+1</f>
        <v>101</v>
      </c>
      <c r="B168" s="80"/>
      <c r="C168" s="42" t="s">
        <v>199</v>
      </c>
      <c r="D168" s="58">
        <f>(21.85+0.75*(2.25+1.8))*10.764</f>
        <v>267.88905</v>
      </c>
      <c r="E168" s="58">
        <v>0</v>
      </c>
      <c r="F168" s="42">
        <f t="shared" ref="F168:F169" si="6">D168*(($F$164)+1)+(IF(E168&lt;101,E168,IF(E168&lt;201,E168/2,IF(E168&lt;=301,E168/3,E168/4))))</f>
        <v>388.4391225</v>
      </c>
      <c r="G168" s="213" t="str">
        <f>A167</f>
        <v>1st Floor for Residential</v>
      </c>
      <c r="H168" s="214"/>
      <c r="I168" s="36"/>
      <c r="K168" s="62">
        <f>1800000/F168</f>
        <v>4633.9307647879878</v>
      </c>
      <c r="L168" s="36">
        <f>1865000/F168</f>
        <v>4801.2671535164436</v>
      </c>
      <c r="N168" s="36"/>
    </row>
    <row r="169" spans="1:14" s="37" customFormat="1" x14ac:dyDescent="0.25">
      <c r="A169" s="80">
        <f t="shared" ref="A169:A174" si="7">A168+1</f>
        <v>102</v>
      </c>
      <c r="B169" s="80"/>
      <c r="C169" s="42" t="s">
        <v>200</v>
      </c>
      <c r="D169" s="58">
        <f>(31.48+0.75*(2.75+2.25+2.75))*10.764</f>
        <v>401.41647</v>
      </c>
      <c r="E169" s="58">
        <v>0</v>
      </c>
      <c r="F169" s="42">
        <f t="shared" si="6"/>
        <v>582.05388149999999</v>
      </c>
      <c r="G169" s="215"/>
      <c r="H169" s="216"/>
      <c r="I169" s="36">
        <f>4*2.75+2.2*2.35+3*2.75+2*1.2+0.9*2.35+1.2*1.6</f>
        <v>30.855000000000004</v>
      </c>
      <c r="J169" s="37">
        <f>0.75*(2.75+2.35+2.75)</f>
        <v>5.8874999999999993</v>
      </c>
      <c r="K169" s="59"/>
      <c r="N169" s="36"/>
    </row>
    <row r="170" spans="1:14" s="37" customFormat="1" x14ac:dyDescent="0.25">
      <c r="A170" s="80">
        <f t="shared" si="7"/>
        <v>103</v>
      </c>
      <c r="B170" s="80"/>
      <c r="C170" s="42" t="s">
        <v>200</v>
      </c>
      <c r="D170" s="58">
        <f>(31.48+0.75*(2.75+2.25+2.75))*10.764</f>
        <v>401.41647</v>
      </c>
      <c r="E170" s="58">
        <v>0</v>
      </c>
      <c r="F170" s="42">
        <f>D170*(($F$164)+1)+(IF(E170&lt;101,E170,IF(E170&lt;201,E170/2,IF(E170&lt;=301,E170/3,E170/4))))</f>
        <v>582.05388149999999</v>
      </c>
      <c r="G170" s="215"/>
      <c r="H170" s="216"/>
      <c r="I170" s="36"/>
      <c r="K170" s="59"/>
      <c r="N170" s="36"/>
    </row>
    <row r="171" spans="1:14" s="37" customFormat="1" x14ac:dyDescent="0.25">
      <c r="A171" s="80">
        <f t="shared" si="7"/>
        <v>104</v>
      </c>
      <c r="B171" s="80"/>
      <c r="C171" s="42" t="s">
        <v>200</v>
      </c>
      <c r="D171" s="58">
        <f>(30.53+0.75*(2.75+2.2+2.75))*10.764</f>
        <v>390.78701999999998</v>
      </c>
      <c r="E171" s="58">
        <v>0</v>
      </c>
      <c r="F171" s="42">
        <f>D171*(($F$164)+1)+(IF(E171&lt;101,E171,IF(E171&lt;201,E171/2,IF(E171&lt;=301,E171/3,E171/4))))</f>
        <v>566.64117899999997</v>
      </c>
      <c r="G171" s="215"/>
      <c r="H171" s="216"/>
      <c r="I171" s="36"/>
      <c r="K171" s="63">
        <f>2700000/F171</f>
        <v>4764.9202000548576</v>
      </c>
      <c r="N171" s="36"/>
    </row>
    <row r="172" spans="1:14" s="37" customFormat="1" x14ac:dyDescent="0.25">
      <c r="A172" s="80">
        <f t="shared" si="7"/>
        <v>105</v>
      </c>
      <c r="B172" s="80"/>
      <c r="C172" s="42" t="s">
        <v>200</v>
      </c>
      <c r="D172" s="58">
        <f>(32.3+0.75*(2.75+2.75+3.95+1.85))*10.764</f>
        <v>438.90209999999996</v>
      </c>
      <c r="E172" s="58">
        <f>(10.62)*10.764</f>
        <v>114.31367999999999</v>
      </c>
      <c r="F172" s="42">
        <f>D172*(($F$164)+1)+(IF(E172&lt;101,E172,IF(E172&lt;201,E172/2,IF(E172&lt;=301,E172/3,E172/4))))</f>
        <v>693.56488499999989</v>
      </c>
      <c r="G172" s="215"/>
      <c r="H172" s="216"/>
      <c r="I172" s="36"/>
      <c r="N172" s="36"/>
    </row>
    <row r="173" spans="1:14" s="37" customFormat="1" x14ac:dyDescent="0.25">
      <c r="A173" s="80">
        <f t="shared" si="7"/>
        <v>106</v>
      </c>
      <c r="B173" s="80"/>
      <c r="C173" s="42" t="s">
        <v>200</v>
      </c>
      <c r="D173" s="58">
        <f>(30.44+0.75*(2.75+2.25+2.75))*10.764</f>
        <v>390.22190999999998</v>
      </c>
      <c r="E173" s="58">
        <f>(2.42)*10.764</f>
        <v>26.048879999999997</v>
      </c>
      <c r="F173" s="42">
        <f>D173*(($F$164)+1)+(IF(E173&lt;101,E173,IF(E173&lt;201,E173/2,IF(E173&lt;=301,E173/3,E173/4))))</f>
        <v>591.8706494999999</v>
      </c>
      <c r="G173" s="215"/>
      <c r="H173" s="216"/>
      <c r="I173" s="36"/>
      <c r="N173" s="36"/>
    </row>
    <row r="174" spans="1:14" s="37" customFormat="1" x14ac:dyDescent="0.25">
      <c r="A174" s="80">
        <f t="shared" si="7"/>
        <v>107</v>
      </c>
      <c r="B174" s="80"/>
      <c r="C174" s="42" t="s">
        <v>200</v>
      </c>
      <c r="D174" s="58">
        <f>(31.4+0.75*(3.75+2.15+2.75))*10.764</f>
        <v>407.82105000000001</v>
      </c>
      <c r="E174" s="58">
        <f>(6.61)*10.764</f>
        <v>71.150040000000004</v>
      </c>
      <c r="F174" s="42">
        <f>D174*(($F$164)+1)+(IF(E174&lt;101,E174,IF(E174&lt;201,E174/2,IF(E174&lt;=301,E174/3,E174/4))))</f>
        <v>662.49056250000001</v>
      </c>
      <c r="G174" s="217"/>
      <c r="H174" s="218"/>
      <c r="I174" s="36"/>
      <c r="N174" s="36"/>
    </row>
    <row r="175" spans="1:14" s="37" customFormat="1" x14ac:dyDescent="0.25">
      <c r="A175" s="99" t="s">
        <v>197</v>
      </c>
      <c r="B175" s="99"/>
      <c r="C175" s="99"/>
      <c r="D175" s="99"/>
      <c r="E175" s="99"/>
      <c r="F175" s="99"/>
      <c r="G175" s="99"/>
      <c r="H175" s="99"/>
      <c r="I175" s="36"/>
    </row>
    <row r="176" spans="1:14" s="37" customFormat="1" ht="15.75" customHeight="1" x14ac:dyDescent="0.25">
      <c r="A176" s="80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10^ROW(INDIRECT("1:"&amp;LEN((LEFT(A175,SUM(LEN(A175)-LEN(SUBSTITUTE(A175,{"0","1","2"},""))))))))/10))*100+1&amp;""&amp;" to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201 to 701</v>
      </c>
      <c r="B176" s="80"/>
      <c r="C176" s="69" t="s">
        <v>199</v>
      </c>
      <c r="D176" s="58">
        <f>(21.85+0.75*(2.25+1.8))*10.764</f>
        <v>267.88905</v>
      </c>
      <c r="E176" s="58">
        <v>0</v>
      </c>
      <c r="F176" s="69">
        <f t="shared" ref="F176:F182" si="8">D176*(($F$164)+1)+(IF(E176&lt;101,E176,IF(E176&lt;201,E176/2,IF(E176&lt;=301,E176/3,E176/4))))</f>
        <v>388.4391225</v>
      </c>
      <c r="G176" s="80" t="str">
        <f>A175</f>
        <v>2nd to 7th Floor</v>
      </c>
      <c r="H176" s="80"/>
      <c r="I176" s="36"/>
    </row>
    <row r="177" spans="1:14" s="37" customFormat="1" x14ac:dyDescent="0.25">
      <c r="A177" s="80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202 to 702</v>
      </c>
      <c r="B177" s="80"/>
      <c r="C177" s="69" t="s">
        <v>200</v>
      </c>
      <c r="D177" s="58">
        <f>(31.48+0.75*(2.75+2.25+2.75))*10.764</f>
        <v>401.41647</v>
      </c>
      <c r="E177" s="58">
        <v>0</v>
      </c>
      <c r="F177" s="69">
        <f t="shared" si="8"/>
        <v>582.05388149999999</v>
      </c>
      <c r="G177" s="80"/>
      <c r="H177" s="80"/>
      <c r="I177" s="36"/>
    </row>
    <row r="178" spans="1:14" s="37" customFormat="1" x14ac:dyDescent="0.25">
      <c r="A178" s="80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203 to 703</v>
      </c>
      <c r="B178" s="80"/>
      <c r="C178" s="69" t="s">
        <v>200</v>
      </c>
      <c r="D178" s="58">
        <f>(31.48+0.75*(2.75+2.25+2.75))*10.764</f>
        <v>401.41647</v>
      </c>
      <c r="E178" s="58">
        <v>0</v>
      </c>
      <c r="F178" s="69">
        <f t="shared" si="8"/>
        <v>582.05388149999999</v>
      </c>
      <c r="G178" s="80"/>
      <c r="H178" s="80"/>
      <c r="I178" s="36"/>
    </row>
    <row r="179" spans="1:14" s="37" customFormat="1" x14ac:dyDescent="0.25">
      <c r="A179" s="80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204 to 704</v>
      </c>
      <c r="B179" s="80"/>
      <c r="C179" s="69" t="s">
        <v>200</v>
      </c>
      <c r="D179" s="58">
        <f>(30.53+0.75*(2.75+2.2+2.75))*10.764</f>
        <v>390.78701999999998</v>
      </c>
      <c r="E179" s="58">
        <v>0</v>
      </c>
      <c r="F179" s="69">
        <f t="shared" si="8"/>
        <v>566.64117899999997</v>
      </c>
      <c r="G179" s="80"/>
      <c r="H179" s="80"/>
      <c r="I179" s="36"/>
    </row>
    <row r="180" spans="1:14" s="37" customFormat="1" x14ac:dyDescent="0.25">
      <c r="A180" s="80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205 to 705</v>
      </c>
      <c r="B180" s="80"/>
      <c r="C180" s="69" t="s">
        <v>200</v>
      </c>
      <c r="D180" s="58">
        <f>(32.3+0.75*(2.75+2.75+3.95+1.85))*10.764</f>
        <v>438.90209999999996</v>
      </c>
      <c r="E180" s="58">
        <v>0</v>
      </c>
      <c r="F180" s="69">
        <f t="shared" si="8"/>
        <v>636.4080449999999</v>
      </c>
      <c r="G180" s="80"/>
      <c r="H180" s="80"/>
      <c r="I180" s="36"/>
    </row>
    <row r="181" spans="1:14" s="37" customFormat="1" x14ac:dyDescent="0.25">
      <c r="A181" s="80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206 to 706</v>
      </c>
      <c r="B181" s="80"/>
      <c r="C181" s="69" t="s">
        <v>200</v>
      </c>
      <c r="D181" s="58">
        <f>(30.44+0.75*(2.75+2.25+2.75))*10.764</f>
        <v>390.22190999999998</v>
      </c>
      <c r="E181" s="58">
        <v>0</v>
      </c>
      <c r="F181" s="69">
        <f t="shared" si="8"/>
        <v>565.82176949999996</v>
      </c>
      <c r="G181" s="80"/>
      <c r="H181" s="80"/>
      <c r="I181" s="36"/>
    </row>
    <row r="182" spans="1:14" s="37" customFormat="1" x14ac:dyDescent="0.25">
      <c r="A182" s="80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207 to 707</v>
      </c>
      <c r="B182" s="80"/>
      <c r="C182" s="69" t="s">
        <v>200</v>
      </c>
      <c r="D182" s="58">
        <f>(31.4+0.75*(3.75+2.15+2.75))*10.764</f>
        <v>407.82105000000001</v>
      </c>
      <c r="E182" s="58">
        <v>0</v>
      </c>
      <c r="F182" s="69">
        <f t="shared" si="8"/>
        <v>591.34052250000002</v>
      </c>
      <c r="G182" s="80"/>
      <c r="H182" s="80"/>
      <c r="I182" s="36"/>
      <c r="L182" s="36">
        <f>2625000/F182</f>
        <v>4439.0666631509257</v>
      </c>
    </row>
    <row r="183" spans="1:14" s="37" customFormat="1" x14ac:dyDescent="0.25">
      <c r="A183" s="99" t="s">
        <v>198</v>
      </c>
      <c r="B183" s="99"/>
      <c r="C183" s="99"/>
      <c r="D183" s="99"/>
      <c r="E183" s="99"/>
      <c r="F183" s="99"/>
      <c r="G183" s="99"/>
      <c r="H183" s="99"/>
      <c r="J183" s="36"/>
    </row>
    <row r="184" spans="1:14" s="37" customFormat="1" x14ac:dyDescent="0.25">
      <c r="A184" s="99" t="s">
        <v>193</v>
      </c>
      <c r="B184" s="99"/>
      <c r="C184" s="99"/>
      <c r="D184" s="99"/>
      <c r="E184" s="99"/>
      <c r="F184" s="99"/>
      <c r="G184" s="99"/>
      <c r="H184" s="99"/>
      <c r="J184" s="36"/>
    </row>
    <row r="185" spans="1:14" s="37" customFormat="1" x14ac:dyDescent="0.25">
      <c r="A185" s="99" t="s">
        <v>196</v>
      </c>
      <c r="B185" s="99"/>
      <c r="C185" s="99"/>
      <c r="D185" s="99"/>
      <c r="E185" s="99"/>
      <c r="F185" s="99"/>
      <c r="G185" s="99"/>
      <c r="H185" s="99"/>
      <c r="I185" s="36"/>
      <c r="L185" s="191"/>
      <c r="M185" s="191"/>
    </row>
    <row r="186" spans="1:14" s="37" customFormat="1" ht="15.75" customHeight="1" x14ac:dyDescent="0.25">
      <c r="A186" s="80">
        <f>LEFT(A185,SUM(LEN(A185)-LEN(SUBSTITUTE(A185,{"0","1","2","3","4","5","6","7","8","9"},""))))*100+1</f>
        <v>101</v>
      </c>
      <c r="B186" s="80"/>
      <c r="C186" s="69" t="s">
        <v>199</v>
      </c>
      <c r="D186" s="58">
        <f>(22.76+0.75*(1.75+2.25))*10.764</f>
        <v>277.28064000000001</v>
      </c>
      <c r="E186" s="58">
        <v>0</v>
      </c>
      <c r="F186" s="69">
        <f t="shared" ref="F186:F187" si="9">D186*(($F$164)+1)+(IF(E186&lt;101,E186,IF(E186&lt;201,E186/2,IF(E186&lt;=301,E186/3,E186/4))))</f>
        <v>402.05692799999997</v>
      </c>
      <c r="G186" s="80" t="str">
        <f>A185</f>
        <v>1st Floor for Residential</v>
      </c>
      <c r="H186" s="80"/>
      <c r="I186" s="36"/>
      <c r="N186" s="36"/>
    </row>
    <row r="187" spans="1:14" s="37" customFormat="1" x14ac:dyDescent="0.25">
      <c r="A187" s="80">
        <f>A186+1</f>
        <v>102</v>
      </c>
      <c r="B187" s="80"/>
      <c r="C187" s="69" t="s">
        <v>201</v>
      </c>
      <c r="D187" s="58">
        <f>(42.37+0.75*(3.55+4.25+2.15+2.75+1.7))*10.764</f>
        <v>572.32187999999985</v>
      </c>
      <c r="E187" s="58">
        <f>(5.12)*10.764</f>
        <v>55.11168</v>
      </c>
      <c r="F187" s="69">
        <f t="shared" si="9"/>
        <v>884.97840599999972</v>
      </c>
      <c r="G187" s="80"/>
      <c r="H187" s="80"/>
      <c r="I187" s="36"/>
      <c r="K187" s="36">
        <f>3600000/(F187-E187)</f>
        <v>4338.0459623344404</v>
      </c>
      <c r="N187" s="36"/>
    </row>
    <row r="188" spans="1:14" s="37" customFormat="1" x14ac:dyDescent="0.25">
      <c r="A188" s="80">
        <f>A187+1</f>
        <v>103</v>
      </c>
      <c r="B188" s="80"/>
      <c r="C188" s="69" t="s">
        <v>201</v>
      </c>
      <c r="D188" s="58">
        <f>(41.15+0.75*(2.75+2.75+2.15+2.75))*10.764</f>
        <v>526.89779999999996</v>
      </c>
      <c r="E188" s="58">
        <f>(5.56+10.25)*10.764</f>
        <v>170.17883999999998</v>
      </c>
      <c r="F188" s="69">
        <f>D188*(($F$164)+1)+(IF(E188&lt;101,E188,IF(E188&lt;201,E188/2,IF(E188&lt;=301,E188/3,E188/4))))</f>
        <v>849.09122999999988</v>
      </c>
      <c r="G188" s="80"/>
      <c r="H188" s="80"/>
      <c r="I188" s="36"/>
      <c r="N188" s="36"/>
    </row>
    <row r="189" spans="1:14" s="37" customFormat="1" x14ac:dyDescent="0.25">
      <c r="A189" s="80">
        <f>A188+1</f>
        <v>104</v>
      </c>
      <c r="B189" s="80"/>
      <c r="C189" s="69" t="s">
        <v>200</v>
      </c>
      <c r="D189" s="58">
        <f>(32.52+0.75*(2.75+1.85+3.9+2.95))*10.764</f>
        <v>442.48113000000001</v>
      </c>
      <c r="E189" s="58">
        <f>(2.02)*10.764</f>
        <v>21.743279999999999</v>
      </c>
      <c r="F189" s="69">
        <f>D189*(($F$164)+1)+(IF(E189&lt;101,E189,IF(E189&lt;201,E189/2,IF(E189&lt;=301,E189/3,E189/4))))</f>
        <v>663.34091850000004</v>
      </c>
      <c r="G189" s="80"/>
      <c r="H189" s="80"/>
      <c r="I189" s="36"/>
      <c r="N189" s="36"/>
    </row>
    <row r="190" spans="1:14" s="37" customFormat="1" x14ac:dyDescent="0.25">
      <c r="A190" s="80">
        <f>A189+1</f>
        <v>105</v>
      </c>
      <c r="B190" s="80"/>
      <c r="C190" s="69" t="s">
        <v>200</v>
      </c>
      <c r="D190" s="58">
        <f>(31.08+0.75*(2.75+2.2+3.1))*10.764</f>
        <v>399.53276999999997</v>
      </c>
      <c r="E190" s="58">
        <v>0</v>
      </c>
      <c r="F190" s="69">
        <f>D190*(($F$164)+1)+(IF(E190&lt;101,E190,IF(E190&lt;201,E190/2,IF(E190&lt;=301,E190/3,E190/4))))</f>
        <v>579.32251649999989</v>
      </c>
      <c r="G190" s="80"/>
      <c r="H190" s="80"/>
      <c r="I190" s="36"/>
      <c r="N190" s="36"/>
    </row>
    <row r="191" spans="1:14" s="37" customFormat="1" x14ac:dyDescent="0.25">
      <c r="A191" s="80">
        <f>A190+1</f>
        <v>106</v>
      </c>
      <c r="B191" s="80"/>
      <c r="C191" s="69" t="s">
        <v>200</v>
      </c>
      <c r="D191" s="58">
        <f>(28.62+2.75+0.75*(2.75+2.25))*10.764</f>
        <v>378.03168000000005</v>
      </c>
      <c r="E191" s="58">
        <v>0</v>
      </c>
      <c r="F191" s="69">
        <f>D191*(($F$164)+1)+(IF(E191&lt;101,E191,IF(E191&lt;201,E191/2,IF(E191&lt;=301,E191/3,E191/4))))</f>
        <v>548.14593600000001</v>
      </c>
      <c r="G191" s="80"/>
      <c r="H191" s="80"/>
      <c r="I191" s="36">
        <f>4*2.75+2.15*2.2+2.2*2.15+1.6*1.2+1.2*0.9+0.9*2.2+0.4*0.9+0.6*2.2</f>
        <v>27.12</v>
      </c>
      <c r="N191" s="36"/>
    </row>
    <row r="192" spans="1:14" s="37" customFormat="1" x14ac:dyDescent="0.25">
      <c r="A192" s="210" t="s">
        <v>197</v>
      </c>
      <c r="B192" s="211"/>
      <c r="C192" s="211"/>
      <c r="D192" s="211"/>
      <c r="E192" s="211"/>
      <c r="F192" s="211"/>
      <c r="G192" s="211"/>
      <c r="H192" s="212"/>
      <c r="I192" s="36"/>
    </row>
    <row r="193" spans="1:12" s="37" customFormat="1" ht="15.75" customHeight="1" x14ac:dyDescent="0.25">
      <c r="A193" s="100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10^ROW(INDIRECT("1:"&amp;LEN((LEFT(A192,SUM(LEN(A192)-LEN(SUBSTITUTE(A192,{"0","1","2"},""))))))))/10))*100+1&amp;""&amp;" to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",LEN(A192))),LEN(A192)))))))/10))*100+1</f>
        <v>201 to 701</v>
      </c>
      <c r="B193" s="101"/>
      <c r="C193" s="42" t="s">
        <v>199</v>
      </c>
      <c r="D193" s="58">
        <f>(22.76+0.75*(1.75+2.25))*10.764</f>
        <v>277.28064000000001</v>
      </c>
      <c r="E193" s="58">
        <v>0</v>
      </c>
      <c r="F193" s="42">
        <f t="shared" ref="F193:F198" si="10">D193*(($F$164)+1)+(IF(E193&lt;101,E193,IF(E193&lt;201,E193/2,IF(E193&lt;=301,E193/3,E193/4))))</f>
        <v>402.05692799999997</v>
      </c>
      <c r="G193" s="213" t="str">
        <f>A192</f>
        <v>2nd to 7th Floor</v>
      </c>
      <c r="H193" s="214"/>
      <c r="I193" s="36"/>
    </row>
    <row r="194" spans="1:12" s="37" customFormat="1" x14ac:dyDescent="0.25">
      <c r="A194" s="100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to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202 to 702</v>
      </c>
      <c r="B194" s="101"/>
      <c r="C194" s="42" t="s">
        <v>201</v>
      </c>
      <c r="D194" s="58">
        <f>(42.37+0.75*(3.55+4.25+2.15+2.75+1.7))*10.764</f>
        <v>572.32187999999985</v>
      </c>
      <c r="E194" s="58">
        <v>0</v>
      </c>
      <c r="F194" s="42">
        <f t="shared" si="10"/>
        <v>829.86672599999974</v>
      </c>
      <c r="G194" s="215"/>
      <c r="H194" s="216"/>
      <c r="I194" s="36"/>
      <c r="L194" s="36">
        <f>3900000/F194</f>
        <v>4699.5497925289765</v>
      </c>
    </row>
    <row r="195" spans="1:12" s="37" customFormat="1" x14ac:dyDescent="0.25">
      <c r="A195" s="100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to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203 to 703</v>
      </c>
      <c r="B195" s="101"/>
      <c r="C195" s="42" t="s">
        <v>201</v>
      </c>
      <c r="D195" s="58">
        <f>(41.15+0.75*(2.75+2.75+2.15+2.75))*10.764</f>
        <v>526.89779999999996</v>
      </c>
      <c r="E195" s="58">
        <v>0</v>
      </c>
      <c r="F195" s="42">
        <f t="shared" si="10"/>
        <v>764.00180999999986</v>
      </c>
      <c r="G195" s="215"/>
      <c r="H195" s="216"/>
      <c r="I195" s="36"/>
    </row>
    <row r="196" spans="1:12" s="37" customFormat="1" x14ac:dyDescent="0.25">
      <c r="A196" s="100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to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204 to 704</v>
      </c>
      <c r="B196" s="101"/>
      <c r="C196" s="42" t="s">
        <v>200</v>
      </c>
      <c r="D196" s="58">
        <f>(32.52+0.75*(2.75+1.85+3.9+2.95))*10.764</f>
        <v>442.48113000000001</v>
      </c>
      <c r="E196" s="58">
        <v>0</v>
      </c>
      <c r="F196" s="42">
        <f t="shared" si="10"/>
        <v>641.59763850000002</v>
      </c>
      <c r="G196" s="215"/>
      <c r="H196" s="216"/>
      <c r="I196" s="36"/>
    </row>
    <row r="197" spans="1:12" s="37" customFormat="1" x14ac:dyDescent="0.25">
      <c r="A197" s="100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to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205 to 705</v>
      </c>
      <c r="B197" s="101"/>
      <c r="C197" s="42" t="s">
        <v>200</v>
      </c>
      <c r="D197" s="58">
        <f>(31.08+0.75*(2.75+2.2+3.1))*10.764</f>
        <v>399.53276999999997</v>
      </c>
      <c r="E197" s="58">
        <v>0</v>
      </c>
      <c r="F197" s="42">
        <f t="shared" si="10"/>
        <v>579.32251649999989</v>
      </c>
      <c r="G197" s="215"/>
      <c r="H197" s="216"/>
      <c r="I197" s="36"/>
    </row>
    <row r="198" spans="1:12" s="37" customFormat="1" x14ac:dyDescent="0.25">
      <c r="A198" s="100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to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206 to 706</v>
      </c>
      <c r="B198" s="101"/>
      <c r="C198" s="42" t="s">
        <v>200</v>
      </c>
      <c r="D198" s="58">
        <f>(28.62+2.75+0.75*(2.75+2.25))*10.764</f>
        <v>378.03168000000005</v>
      </c>
      <c r="E198" s="58">
        <v>0</v>
      </c>
      <c r="F198" s="42">
        <f t="shared" si="10"/>
        <v>548.14593600000001</v>
      </c>
      <c r="G198" s="215"/>
      <c r="H198" s="216"/>
      <c r="I198" s="36"/>
      <c r="L198" s="36">
        <f>2460000/F198</f>
        <v>4487.855949368929</v>
      </c>
    </row>
    <row r="199" spans="1:12" s="35" customFormat="1" x14ac:dyDescent="0.25">
      <c r="A199" s="152" t="s">
        <v>68</v>
      </c>
      <c r="B199" s="152"/>
      <c r="C199" s="152"/>
      <c r="D199" s="152"/>
      <c r="E199" s="152"/>
      <c r="F199" s="152"/>
      <c r="G199" s="152"/>
      <c r="H199" s="152"/>
    </row>
    <row r="200" spans="1:12" s="61" customFormat="1" ht="32.450000000000003" customHeight="1" x14ac:dyDescent="0.25">
      <c r="A200" s="60" t="s">
        <v>154</v>
      </c>
      <c r="B200" s="94" t="s">
        <v>233</v>
      </c>
      <c r="C200" s="95"/>
      <c r="D200" s="95"/>
      <c r="E200" s="95"/>
      <c r="F200" s="95"/>
      <c r="G200" s="95"/>
      <c r="H200" s="96"/>
    </row>
    <row r="201" spans="1:12" s="35" customFormat="1" x14ac:dyDescent="0.25">
      <c r="A201" s="47" t="s">
        <v>154</v>
      </c>
      <c r="B201" s="94" t="str">
        <f>(IF(F163="Saleable area Loading :","We have considered Saleable area of Flats as per our Calculation.","We considered Saleable area of Flat as per Builder area Sheet."))</f>
        <v>We have considered Saleable area of Flats as per our Calculation.</v>
      </c>
      <c r="C201" s="95"/>
      <c r="D201" s="95"/>
      <c r="E201" s="95"/>
      <c r="F201" s="95"/>
      <c r="G201" s="95"/>
      <c r="H201" s="96"/>
    </row>
    <row r="202" spans="1:12" s="35" customFormat="1" x14ac:dyDescent="0.25">
      <c r="A202" s="47" t="s">
        <v>154</v>
      </c>
      <c r="B202" s="94" t="str">
        <f>(IF(F138="Saleable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2" s="95"/>
      <c r="D202" s="95"/>
      <c r="E202" s="95"/>
      <c r="F202" s="95"/>
      <c r="G202" s="95"/>
      <c r="H202" s="96"/>
    </row>
    <row r="203" spans="1:12" s="35" customFormat="1" x14ac:dyDescent="0.25">
      <c r="A203" s="47" t="s">
        <v>154</v>
      </c>
      <c r="B203" s="90" t="s">
        <v>124</v>
      </c>
      <c r="C203" s="91"/>
      <c r="D203" s="91"/>
      <c r="E203" s="91"/>
      <c r="F203" s="91"/>
      <c r="G203" s="91"/>
      <c r="H203" s="92"/>
    </row>
    <row r="204" spans="1:12" s="35" customFormat="1" x14ac:dyDescent="0.25">
      <c r="A204" s="47" t="s">
        <v>154</v>
      </c>
      <c r="B204" s="90" t="s">
        <v>203</v>
      </c>
      <c r="C204" s="91"/>
      <c r="D204" s="91"/>
      <c r="E204" s="91"/>
      <c r="F204" s="91"/>
      <c r="G204" s="91"/>
      <c r="H204" s="92"/>
    </row>
    <row r="205" spans="1:12" s="35" customFormat="1" x14ac:dyDescent="0.25">
      <c r="A205" s="47" t="s">
        <v>154</v>
      </c>
      <c r="B205" s="90" t="s">
        <v>153</v>
      </c>
      <c r="C205" s="91"/>
      <c r="D205" s="91"/>
      <c r="E205" s="91"/>
      <c r="F205" s="91"/>
      <c r="G205" s="91"/>
      <c r="H205" s="92"/>
    </row>
    <row r="206" spans="1:12" s="35" customFormat="1" x14ac:dyDescent="0.25">
      <c r="A206" s="47" t="s">
        <v>154</v>
      </c>
      <c r="B206" s="90" t="s">
        <v>125</v>
      </c>
      <c r="C206" s="91"/>
      <c r="D206" s="91"/>
      <c r="E206" s="91"/>
      <c r="F206" s="91"/>
      <c r="G206" s="91"/>
      <c r="H206" s="92"/>
    </row>
    <row r="207" spans="1:12" s="35" customFormat="1" ht="32.1" customHeight="1" x14ac:dyDescent="0.25">
      <c r="A207" s="47" t="s">
        <v>154</v>
      </c>
      <c r="B207" s="90" t="s">
        <v>155</v>
      </c>
      <c r="C207" s="91"/>
      <c r="D207" s="91"/>
      <c r="E207" s="91"/>
      <c r="F207" s="91"/>
      <c r="G207" s="91"/>
      <c r="H207" s="92"/>
    </row>
    <row r="208" spans="1:12" s="35" customFormat="1" x14ac:dyDescent="0.25">
      <c r="A208" s="47" t="s">
        <v>154</v>
      </c>
      <c r="B208" s="90" t="s">
        <v>126</v>
      </c>
      <c r="C208" s="91"/>
      <c r="D208" s="91"/>
      <c r="E208" s="91"/>
      <c r="F208" s="91"/>
      <c r="G208" s="91"/>
      <c r="H208" s="92"/>
    </row>
    <row r="209" spans="1:10" s="35" customFormat="1" x14ac:dyDescent="0.25">
      <c r="A209" s="47" t="s">
        <v>154</v>
      </c>
      <c r="B209" s="90" t="s">
        <v>228</v>
      </c>
      <c r="C209" s="91"/>
      <c r="D209" s="91"/>
      <c r="E209" s="91"/>
      <c r="F209" s="91"/>
      <c r="G209" s="91"/>
      <c r="H209" s="92"/>
    </row>
    <row r="210" spans="1:10" x14ac:dyDescent="0.25">
      <c r="A210" s="93" t="s">
        <v>61</v>
      </c>
      <c r="B210" s="93"/>
      <c r="C210" s="93"/>
      <c r="D210" s="93"/>
      <c r="E210" s="93"/>
      <c r="F210" s="93"/>
      <c r="G210" s="93"/>
      <c r="H210" s="93"/>
    </row>
    <row r="211" spans="1:10" x14ac:dyDescent="0.25">
      <c r="A211" s="78" t="s">
        <v>62</v>
      </c>
      <c r="B211" s="78"/>
      <c r="C211" s="78"/>
      <c r="D211" s="78"/>
      <c r="E211" s="78"/>
      <c r="F211" s="78"/>
      <c r="G211" s="78"/>
      <c r="H211" s="78"/>
    </row>
    <row r="212" spans="1:10" ht="15.75" customHeight="1" x14ac:dyDescent="0.25">
      <c r="A212" s="79" t="s">
        <v>63</v>
      </c>
      <c r="B212" s="79"/>
      <c r="C212" s="79"/>
      <c r="D212" s="79"/>
      <c r="E212" s="79"/>
      <c r="F212" s="79"/>
      <c r="G212" s="79"/>
      <c r="H212" s="79"/>
    </row>
    <row r="213" spans="1:10" x14ac:dyDescent="0.25">
      <c r="A213" s="78" t="s">
        <v>64</v>
      </c>
      <c r="B213" s="78"/>
      <c r="C213" s="78"/>
      <c r="D213" s="78"/>
      <c r="E213" s="78"/>
      <c r="F213" s="78"/>
      <c r="G213" s="78"/>
      <c r="H213" s="78"/>
    </row>
    <row r="214" spans="1:10" x14ac:dyDescent="0.25">
      <c r="A214" s="78" t="s">
        <v>65</v>
      </c>
      <c r="B214" s="78"/>
      <c r="C214" s="78"/>
      <c r="D214" s="78"/>
      <c r="E214" s="78"/>
      <c r="F214" s="78"/>
      <c r="G214" s="78"/>
      <c r="H214" s="78"/>
    </row>
    <row r="215" spans="1:10" x14ac:dyDescent="0.25">
      <c r="A215" s="78" t="s">
        <v>127</v>
      </c>
      <c r="B215" s="78"/>
      <c r="C215" s="78"/>
      <c r="D215" s="78"/>
      <c r="E215" s="78"/>
      <c r="F215" s="78"/>
      <c r="G215" s="78"/>
      <c r="H215" s="78"/>
    </row>
    <row r="216" spans="1:10" ht="33.950000000000003" customHeight="1" x14ac:dyDescent="0.25">
      <c r="A216" s="151" t="s">
        <v>128</v>
      </c>
      <c r="B216" s="151"/>
      <c r="C216" s="151"/>
      <c r="D216" s="151"/>
      <c r="E216" s="151"/>
      <c r="F216" s="151"/>
      <c r="G216" s="151"/>
      <c r="H216" s="151"/>
    </row>
    <row r="217" spans="1:10" x14ac:dyDescent="0.25">
      <c r="A217" s="148" t="s">
        <v>76</v>
      </c>
      <c r="B217" s="148"/>
      <c r="C217" s="148" t="s">
        <v>204</v>
      </c>
      <c r="D217" s="148"/>
      <c r="E217" s="148" t="s">
        <v>106</v>
      </c>
      <c r="F217" s="148"/>
      <c r="G217" s="148" t="s">
        <v>231</v>
      </c>
      <c r="H217" s="148"/>
      <c r="I217" s="229" t="s">
        <v>229</v>
      </c>
      <c r="J217" s="230"/>
    </row>
    <row r="218" spans="1:10" x14ac:dyDescent="0.25">
      <c r="A218" s="147" t="s">
        <v>78</v>
      </c>
      <c r="B218" s="147"/>
      <c r="C218" s="147"/>
      <c r="D218" s="147"/>
      <c r="E218" s="147"/>
      <c r="F218" s="147"/>
      <c r="G218" s="147"/>
      <c r="H218" s="147"/>
    </row>
    <row r="219" spans="1:10" x14ac:dyDescent="0.25">
      <c r="A219" s="147"/>
      <c r="B219" s="147"/>
      <c r="C219" s="147"/>
      <c r="D219" s="147"/>
      <c r="E219" s="147"/>
      <c r="F219" s="147"/>
      <c r="G219" s="147"/>
      <c r="H219" s="147"/>
    </row>
    <row r="220" spans="1:10" x14ac:dyDescent="0.25">
      <c r="A220" s="147"/>
      <c r="B220" s="147"/>
      <c r="C220" s="147"/>
      <c r="D220" s="147"/>
      <c r="E220" s="147"/>
      <c r="F220" s="147"/>
      <c r="G220" s="147"/>
      <c r="H220" s="147"/>
    </row>
    <row r="221" spans="1:10" x14ac:dyDescent="0.25">
      <c r="A221" s="147"/>
      <c r="B221" s="147"/>
      <c r="C221" s="147"/>
      <c r="D221" s="147"/>
      <c r="E221" s="147"/>
      <c r="F221" s="147"/>
      <c r="G221" s="147"/>
      <c r="H221" s="147"/>
    </row>
    <row r="222" spans="1:10" x14ac:dyDescent="0.25">
      <c r="A222" s="38" t="s">
        <v>66</v>
      </c>
      <c r="B222" s="39"/>
      <c r="C222" s="39"/>
      <c r="D222" s="38" t="str">
        <f>E8</f>
        <v>Sai Omkar Square</v>
      </c>
      <c r="F222" s="39"/>
      <c r="G222" s="39"/>
      <c r="H222" s="39"/>
    </row>
    <row r="223" spans="1:10" x14ac:dyDescent="0.25">
      <c r="A223" s="39"/>
      <c r="B223" s="39"/>
      <c r="C223" s="39"/>
      <c r="D223" s="39"/>
      <c r="E223" s="39"/>
      <c r="F223" s="39"/>
      <c r="G223" s="39"/>
      <c r="H223" s="39"/>
    </row>
    <row r="224" spans="1:10" x14ac:dyDescent="0.25">
      <c r="A224" s="39"/>
      <c r="B224" s="39"/>
      <c r="C224" s="39"/>
      <c r="D224" s="39"/>
      <c r="E224" s="39"/>
      <c r="F224" s="39"/>
      <c r="G224" s="39"/>
      <c r="H224" s="39"/>
    </row>
    <row r="225" ht="15" customHeight="1" x14ac:dyDescent="0.25"/>
    <row r="264" spans="1:1" x14ac:dyDescent="0.25">
      <c r="A264" s="41" t="s">
        <v>166</v>
      </c>
    </row>
    <row r="306" spans="1:1" x14ac:dyDescent="0.25">
      <c r="A306" s="41" t="s">
        <v>67</v>
      </c>
    </row>
  </sheetData>
  <mergeCells count="390">
    <mergeCell ref="A95:B95"/>
    <mergeCell ref="E95:F95"/>
    <mergeCell ref="G95:H95"/>
    <mergeCell ref="C95:D95"/>
    <mergeCell ref="I217:J217"/>
    <mergeCell ref="A174:B174"/>
    <mergeCell ref="A172:B172"/>
    <mergeCell ref="A169:B169"/>
    <mergeCell ref="A170:B170"/>
    <mergeCell ref="B209:H209"/>
    <mergeCell ref="G193:H198"/>
    <mergeCell ref="A194:B194"/>
    <mergeCell ref="A195:B195"/>
    <mergeCell ref="A196:B196"/>
    <mergeCell ref="A197:B197"/>
    <mergeCell ref="A198:B198"/>
    <mergeCell ref="A183:H183"/>
    <mergeCell ref="A184:H184"/>
    <mergeCell ref="A185:H185"/>
    <mergeCell ref="A192:H192"/>
    <mergeCell ref="C98:H98"/>
    <mergeCell ref="A99:B99"/>
    <mergeCell ref="E99:F99"/>
    <mergeCell ref="G99:H99"/>
    <mergeCell ref="L185:M185"/>
    <mergeCell ref="A186:B186"/>
    <mergeCell ref="G186:H191"/>
    <mergeCell ref="A187:B187"/>
    <mergeCell ref="A188:B188"/>
    <mergeCell ref="A189:B189"/>
    <mergeCell ref="A190:B190"/>
    <mergeCell ref="A191:B191"/>
    <mergeCell ref="A178:B178"/>
    <mergeCell ref="A179:B179"/>
    <mergeCell ref="A180:B180"/>
    <mergeCell ref="A181:B181"/>
    <mergeCell ref="A182:B182"/>
    <mergeCell ref="G176:H182"/>
    <mergeCell ref="A176:B176"/>
    <mergeCell ref="A177:B177"/>
    <mergeCell ref="L160:M160"/>
    <mergeCell ref="A161:B161"/>
    <mergeCell ref="L161:M161"/>
    <mergeCell ref="A165:H165"/>
    <mergeCell ref="A166:H166"/>
    <mergeCell ref="A157:B157"/>
    <mergeCell ref="L157:M157"/>
    <mergeCell ref="A158:B158"/>
    <mergeCell ref="L158:M158"/>
    <mergeCell ref="A159:B159"/>
    <mergeCell ref="L159:M159"/>
    <mergeCell ref="G151:H161"/>
    <mergeCell ref="L154:M154"/>
    <mergeCell ref="A155:B155"/>
    <mergeCell ref="L155:M155"/>
    <mergeCell ref="A156:B156"/>
    <mergeCell ref="L156:M156"/>
    <mergeCell ref="A151:B151"/>
    <mergeCell ref="L151:M151"/>
    <mergeCell ref="A152:B152"/>
    <mergeCell ref="L152:M152"/>
    <mergeCell ref="A153:B153"/>
    <mergeCell ref="L153:M153"/>
    <mergeCell ref="A160:B160"/>
    <mergeCell ref="L146:M146"/>
    <mergeCell ref="A147:B147"/>
    <mergeCell ref="L147:M147"/>
    <mergeCell ref="A148:B148"/>
    <mergeCell ref="L148:M148"/>
    <mergeCell ref="A134:B134"/>
    <mergeCell ref="E134:F134"/>
    <mergeCell ref="A119:E119"/>
    <mergeCell ref="A114:E114"/>
    <mergeCell ref="F115:H115"/>
    <mergeCell ref="A116:E116"/>
    <mergeCell ref="G133:H133"/>
    <mergeCell ref="G142:H148"/>
    <mergeCell ref="A128:B128"/>
    <mergeCell ref="C128:D128"/>
    <mergeCell ref="E128:F128"/>
    <mergeCell ref="G128:H128"/>
    <mergeCell ref="G129:H129"/>
    <mergeCell ref="A133:B133"/>
    <mergeCell ref="C133:D133"/>
    <mergeCell ref="E133:F133"/>
    <mergeCell ref="C134:D134"/>
    <mergeCell ref="G84:H84"/>
    <mergeCell ref="A117:E117"/>
    <mergeCell ref="F117:H117"/>
    <mergeCell ref="A118:E118"/>
    <mergeCell ref="A120:E120"/>
    <mergeCell ref="F114:H114"/>
    <mergeCell ref="A173:B173"/>
    <mergeCell ref="C52:H52"/>
    <mergeCell ref="A140:H140"/>
    <mergeCell ref="A146:B146"/>
    <mergeCell ref="A111:E111"/>
    <mergeCell ref="A94:B94"/>
    <mergeCell ref="A80:B80"/>
    <mergeCell ref="D61:H61"/>
    <mergeCell ref="A72:B72"/>
    <mergeCell ref="A74:B74"/>
    <mergeCell ref="E70:F70"/>
    <mergeCell ref="A63:C63"/>
    <mergeCell ref="D63:H63"/>
    <mergeCell ref="A149:H149"/>
    <mergeCell ref="A150:H150"/>
    <mergeCell ref="G168:H174"/>
    <mergeCell ref="C129:D129"/>
    <mergeCell ref="E129:F129"/>
    <mergeCell ref="C39:H39"/>
    <mergeCell ref="B207:H207"/>
    <mergeCell ref="A48:B48"/>
    <mergeCell ref="C48:H48"/>
    <mergeCell ref="B205:H205"/>
    <mergeCell ref="G85:H94"/>
    <mergeCell ref="A86:B86"/>
    <mergeCell ref="A87:B87"/>
    <mergeCell ref="A88:B88"/>
    <mergeCell ref="F113:H113"/>
    <mergeCell ref="A113:E113"/>
    <mergeCell ref="D138:D139"/>
    <mergeCell ref="A115:E115"/>
    <mergeCell ref="A142:B142"/>
    <mergeCell ref="A143:B143"/>
    <mergeCell ref="A84:B84"/>
    <mergeCell ref="E84:F84"/>
    <mergeCell ref="A43:D43"/>
    <mergeCell ref="E43:H43"/>
    <mergeCell ref="E44:H44"/>
    <mergeCell ref="E45:H45"/>
    <mergeCell ref="E46:H46"/>
    <mergeCell ref="A83:B83"/>
    <mergeCell ref="C83:H83"/>
    <mergeCell ref="A38:B38"/>
    <mergeCell ref="C38:H38"/>
    <mergeCell ref="A45:D45"/>
    <mergeCell ref="L145:M145"/>
    <mergeCell ref="L144:M144"/>
    <mergeCell ref="L143:M143"/>
    <mergeCell ref="L142:M142"/>
    <mergeCell ref="A78:B78"/>
    <mergeCell ref="C132:D132"/>
    <mergeCell ref="E132:F132"/>
    <mergeCell ref="G132:H132"/>
    <mergeCell ref="F118:H118"/>
    <mergeCell ref="A112:E112"/>
    <mergeCell ref="A141:H141"/>
    <mergeCell ref="E138:E139"/>
    <mergeCell ref="G138:H139"/>
    <mergeCell ref="A85:B85"/>
    <mergeCell ref="E85:F94"/>
    <mergeCell ref="A92:B92"/>
    <mergeCell ref="A93:B93"/>
    <mergeCell ref="E71:F80"/>
    <mergeCell ref="G71:H80"/>
    <mergeCell ref="A79:B79"/>
    <mergeCell ref="A39:B39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F36:H36"/>
    <mergeCell ref="A49:B49"/>
    <mergeCell ref="C49:E49"/>
    <mergeCell ref="G49:H49"/>
    <mergeCell ref="G51:H51"/>
    <mergeCell ref="D55:H55"/>
    <mergeCell ref="C51:E51"/>
    <mergeCell ref="A58:C59"/>
    <mergeCell ref="D58:H58"/>
    <mergeCell ref="D59:H59"/>
    <mergeCell ref="C50:E50"/>
    <mergeCell ref="A53:B53"/>
    <mergeCell ref="C53:E53"/>
    <mergeCell ref="A50:B50"/>
    <mergeCell ref="A54:H54"/>
    <mergeCell ref="A44:D44"/>
    <mergeCell ref="A46:D46"/>
    <mergeCell ref="A47:H47"/>
    <mergeCell ref="D57:H57"/>
    <mergeCell ref="A57:C57"/>
    <mergeCell ref="G50:H50"/>
    <mergeCell ref="A51:B52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55:C55"/>
    <mergeCell ref="A56:C56"/>
    <mergeCell ref="D56:H56"/>
    <mergeCell ref="A66:C66"/>
    <mergeCell ref="D66:H66"/>
    <mergeCell ref="A64:C64"/>
    <mergeCell ref="D64:H64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18:H221"/>
    <mergeCell ref="A217:B217"/>
    <mergeCell ref="E217:F217"/>
    <mergeCell ref="C217:D217"/>
    <mergeCell ref="G217:H217"/>
    <mergeCell ref="A125:H125"/>
    <mergeCell ref="A123:E123"/>
    <mergeCell ref="F123:H123"/>
    <mergeCell ref="A124:E124"/>
    <mergeCell ref="F124:H124"/>
    <mergeCell ref="A167:H167"/>
    <mergeCell ref="A132:B132"/>
    <mergeCell ref="A127:B127"/>
    <mergeCell ref="A213:H213"/>
    <mergeCell ref="A130:H130"/>
    <mergeCell ref="A216:H216"/>
    <mergeCell ref="B204:H204"/>
    <mergeCell ref="A199:H199"/>
    <mergeCell ref="C138:C139"/>
    <mergeCell ref="B163:B164"/>
    <mergeCell ref="A145:B145"/>
    <mergeCell ref="A171:B171"/>
    <mergeCell ref="A144:B144"/>
    <mergeCell ref="A162:H162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65:C65"/>
    <mergeCell ref="D65:H65"/>
    <mergeCell ref="A71:B71"/>
    <mergeCell ref="G70:H70"/>
    <mergeCell ref="G53:H53"/>
    <mergeCell ref="F119:H119"/>
    <mergeCell ref="F34:H34"/>
    <mergeCell ref="F33:H33"/>
    <mergeCell ref="A135:B135"/>
    <mergeCell ref="C135:D135"/>
    <mergeCell ref="E135:F135"/>
    <mergeCell ref="G135:H135"/>
    <mergeCell ref="E42:H42"/>
    <mergeCell ref="A42:D42"/>
    <mergeCell ref="A81:B81"/>
    <mergeCell ref="C81:H81"/>
    <mergeCell ref="A76:B76"/>
    <mergeCell ref="C126:D126"/>
    <mergeCell ref="F122:H122"/>
    <mergeCell ref="F120:H120"/>
    <mergeCell ref="G126:H126"/>
    <mergeCell ref="A121:E121"/>
    <mergeCell ref="C127:D127"/>
    <mergeCell ref="E127:F127"/>
    <mergeCell ref="A96:B96"/>
    <mergeCell ref="C96:H96"/>
    <mergeCell ref="A98:B98"/>
    <mergeCell ref="A89:B89"/>
    <mergeCell ref="A90:B90"/>
    <mergeCell ref="A91:B91"/>
    <mergeCell ref="F112:H112"/>
    <mergeCell ref="B200:H200"/>
    <mergeCell ref="B201:H201"/>
    <mergeCell ref="A137:H137"/>
    <mergeCell ref="B138:B139"/>
    <mergeCell ref="A138:A139"/>
    <mergeCell ref="C163:C164"/>
    <mergeCell ref="F121:H121"/>
    <mergeCell ref="E126:F126"/>
    <mergeCell ref="A126:B126"/>
    <mergeCell ref="C131:D131"/>
    <mergeCell ref="G127:H127"/>
    <mergeCell ref="G131:H131"/>
    <mergeCell ref="E131:F131"/>
    <mergeCell ref="A136:H136"/>
    <mergeCell ref="F111:H111"/>
    <mergeCell ref="F116:H116"/>
    <mergeCell ref="A163:A164"/>
    <mergeCell ref="A110:B110"/>
    <mergeCell ref="C110:D110"/>
    <mergeCell ref="E110:F110"/>
    <mergeCell ref="G110:H110"/>
    <mergeCell ref="A215:H215"/>
    <mergeCell ref="A212:H212"/>
    <mergeCell ref="A168:B168"/>
    <mergeCell ref="A131:B131"/>
    <mergeCell ref="D163:D164"/>
    <mergeCell ref="E163:E164"/>
    <mergeCell ref="G163:H164"/>
    <mergeCell ref="B203:H203"/>
    <mergeCell ref="A214:H214"/>
    <mergeCell ref="A210:H210"/>
    <mergeCell ref="A211:H211"/>
    <mergeCell ref="B208:H208"/>
    <mergeCell ref="B206:H206"/>
    <mergeCell ref="B202:H202"/>
    <mergeCell ref="A122:E122"/>
    <mergeCell ref="G134:H134"/>
    <mergeCell ref="A129:B129"/>
    <mergeCell ref="A175:H175"/>
    <mergeCell ref="A154:B154"/>
    <mergeCell ref="A193:B193"/>
  </mergeCells>
  <dataValidations count="8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No.,Survey No.,Plot No.,Gut No.,FP No.,"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E138:E139">
      <formula1>"Attached Loft area,Attached Terrace area,Attached Mezzanine area"</formula1>
    </dataValidation>
    <dataValidation type="list" allowBlank="1" showInputMessage="1" showErrorMessage="1" sqref="F164 F139">
      <formula1>"45%,50%,55%,60%"</formula1>
    </dataValidation>
    <dataValidation type="list" allowBlank="1" showInputMessage="1" showErrorMessage="1" sqref="F111:H111">
      <formula1>"On Saleable Area,On Builtup Area,On Carpet Area,On Plot Area"</formula1>
    </dataValidation>
    <dataValidation type="list" allowBlank="1" showInputMessage="1" showErrorMessage="1" sqref="F123:H123">
      <formula1>"100000,150000,200000,250000,300000,350000,400000,500000,600000,700000,800000,900000,1000000,1200000,1400000,1500000"</formula1>
    </dataValidation>
    <dataValidation type="list" allowBlank="1" showInputMessage="1" showErrorMessage="1" sqref="I217:J217">
      <formula1>"Shruti Fule,Kunal Kadam,Pooja Kawale,Mansee Mohite,Anjali Kamble, Hitakshi Mhatre, Sachin Sawant"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9" max="7" man="1"/>
    <brk id="221" max="16383" man="1"/>
    <brk id="263" max="16383" man="1"/>
    <brk id="30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8" sqref="K8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31" t="s">
        <v>107</v>
      </c>
      <c r="C3" s="231"/>
      <c r="D3" s="231"/>
      <c r="E3" s="231"/>
      <c r="F3" s="231"/>
      <c r="G3" s="231"/>
      <c r="H3" s="231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2025-05-20T09:57:49Z</cp:lastPrinted>
  <dcterms:created xsi:type="dcterms:W3CDTF">2019-07-16T09:29:46Z</dcterms:created>
  <dcterms:modified xsi:type="dcterms:W3CDTF">2025-08-19T14:05:59Z</dcterms:modified>
</cp:coreProperties>
</file>