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rani\Downloads\20.08\"/>
    </mc:Choice>
  </mc:AlternateContent>
  <xr:revisionPtr revIDLastSave="0" documentId="13_ncr:1_{EFDF5628-DD83-4D75-BE8B-CF620EA99178}" xr6:coauthVersionLast="47" xr6:coauthVersionMax="47" xr10:uidLastSave="{00000000-0000-0000-0000-000000000000}"/>
  <bookViews>
    <workbookView xWindow="-108" yWindow="-108" windowWidth="23256" windowHeight="12456" tabRatio="725" xr2:uid="{00000000-000D-0000-FFFF-FFFF00000000}"/>
  </bookViews>
  <sheets>
    <sheet name="Report" sheetId="1" r:id="rId1"/>
    <sheet name="valuation" sheetId="5" r:id="rId2"/>
    <sheet name="Note" sheetId="4" r:id="rId3"/>
  </sheets>
  <definedNames>
    <definedName name="_xlnm.Print_Area" localSheetId="0">Report!$A$1:$H$274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0" i="1" l="1"/>
  <c r="J89" i="1"/>
  <c r="J88" i="1"/>
  <c r="J87" i="1"/>
  <c r="J132" i="1" l="1"/>
  <c r="J154" i="1"/>
  <c r="J129" i="1"/>
  <c r="K121" i="1"/>
  <c r="K120" i="1"/>
  <c r="D119" i="1"/>
  <c r="F119" i="1" s="1"/>
  <c r="J119" i="1" s="1"/>
  <c r="D169" i="1"/>
  <c r="F169" i="1" s="1"/>
  <c r="D168" i="1"/>
  <c r="F168" i="1" s="1"/>
  <c r="D167" i="1"/>
  <c r="F167" i="1" s="1"/>
  <c r="D166" i="1"/>
  <c r="F166" i="1" s="1"/>
  <c r="D165" i="1"/>
  <c r="F165" i="1" s="1"/>
  <c r="D164" i="1"/>
  <c r="D163" i="1"/>
  <c r="F163" i="1" s="1"/>
  <c r="D162" i="1"/>
  <c r="F162" i="1" s="1"/>
  <c r="D161" i="1"/>
  <c r="F161" i="1" s="1"/>
  <c r="D160" i="1"/>
  <c r="F160" i="1" s="1"/>
  <c r="D159" i="1"/>
  <c r="F159" i="1" s="1"/>
  <c r="D157" i="1"/>
  <c r="F157" i="1" s="1"/>
  <c r="D156" i="1"/>
  <c r="F156" i="1" s="1"/>
  <c r="D155" i="1"/>
  <c r="D154" i="1"/>
  <c r="F154" i="1" s="1"/>
  <c r="D153" i="1"/>
  <c r="F153" i="1" s="1"/>
  <c r="D152" i="1"/>
  <c r="F152" i="1" s="1"/>
  <c r="D151" i="1"/>
  <c r="F151" i="1" s="1"/>
  <c r="D150" i="1"/>
  <c r="F150" i="1" s="1"/>
  <c r="D148" i="1"/>
  <c r="F148" i="1" s="1"/>
  <c r="D147" i="1"/>
  <c r="D149" i="1"/>
  <c r="F149" i="1" s="1"/>
  <c r="D146" i="1"/>
  <c r="F146" i="1" s="1"/>
  <c r="D142" i="1"/>
  <c r="F142" i="1" s="1"/>
  <c r="D141" i="1"/>
  <c r="F141" i="1" s="1"/>
  <c r="D140" i="1"/>
  <c r="F140" i="1" s="1"/>
  <c r="D139" i="1"/>
  <c r="F139" i="1" s="1"/>
  <c r="D138" i="1"/>
  <c r="F138" i="1" s="1"/>
  <c r="D137" i="1"/>
  <c r="D136" i="1"/>
  <c r="F136" i="1" s="1"/>
  <c r="D135" i="1"/>
  <c r="F135" i="1" s="1"/>
  <c r="J120" i="1" s="1"/>
  <c r="D134" i="1"/>
  <c r="F134" i="1" s="1"/>
  <c r="D133" i="1"/>
  <c r="F133" i="1" s="1"/>
  <c r="D132" i="1"/>
  <c r="F132" i="1" s="1"/>
  <c r="D130" i="1"/>
  <c r="F130" i="1" s="1"/>
  <c r="D129" i="1"/>
  <c r="F129" i="1" s="1"/>
  <c r="I129" i="1" s="1"/>
  <c r="D124" i="1"/>
  <c r="F124" i="1" s="1"/>
  <c r="D128" i="1"/>
  <c r="F128" i="1" s="1"/>
  <c r="D127" i="1"/>
  <c r="F127" i="1" s="1"/>
  <c r="K125" i="1" s="1"/>
  <c r="D126" i="1"/>
  <c r="F126" i="1" s="1"/>
  <c r="D125" i="1"/>
  <c r="F125" i="1" s="1"/>
  <c r="J121" i="1" s="1"/>
  <c r="D123" i="1"/>
  <c r="F123" i="1" s="1"/>
  <c r="D122" i="1"/>
  <c r="F122" i="1" s="1"/>
  <c r="D121" i="1"/>
  <c r="F121" i="1" s="1"/>
  <c r="D120" i="1"/>
  <c r="F120" i="1" s="1"/>
  <c r="I119" i="1"/>
  <c r="F164" i="1"/>
  <c r="F155" i="1"/>
  <c r="F137" i="1"/>
  <c r="G159" i="1"/>
  <c r="G160" i="1" s="1"/>
  <c r="G161" i="1" s="1"/>
  <c r="G162" i="1" s="1"/>
  <c r="G163" i="1" s="1"/>
  <c r="G164" i="1" s="1"/>
  <c r="G165" i="1" s="1"/>
  <c r="G166" i="1" s="1"/>
  <c r="G167" i="1" s="1"/>
  <c r="G168" i="1" s="1"/>
  <c r="G169" i="1" s="1"/>
  <c r="A159" i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F147" i="1"/>
  <c r="G146" i="1"/>
  <c r="G147" i="1" s="1"/>
  <c r="G148" i="1" s="1"/>
  <c r="G149" i="1" s="1"/>
  <c r="G150" i="1" s="1"/>
  <c r="G151" i="1" s="1"/>
  <c r="G152" i="1" s="1"/>
  <c r="G153" i="1" s="1"/>
  <c r="G154" i="1" s="1"/>
  <c r="G155" i="1" s="1"/>
  <c r="G156" i="1" s="1"/>
  <c r="G157" i="1" s="1"/>
  <c r="G132" i="1"/>
  <c r="G133" i="1" s="1"/>
  <c r="G134" i="1" s="1"/>
  <c r="G135" i="1" s="1"/>
  <c r="G136" i="1" s="1"/>
  <c r="G137" i="1" s="1"/>
  <c r="G138" i="1" s="1"/>
  <c r="G139" i="1" s="1"/>
  <c r="G140" i="1" s="1"/>
  <c r="G141" i="1" s="1"/>
  <c r="G142" i="1" s="1"/>
  <c r="A132" i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G119" i="1"/>
  <c r="G120" i="1" s="1"/>
  <c r="G121" i="1" s="1"/>
  <c r="G122" i="1" s="1"/>
  <c r="G123" i="1" s="1"/>
  <c r="G124" i="1" s="1"/>
  <c r="G125" i="1" s="1"/>
  <c r="G126" i="1" s="1"/>
  <c r="G127" i="1" s="1"/>
  <c r="G128" i="1" s="1"/>
  <c r="G129" i="1" s="1"/>
  <c r="G130" i="1" s="1"/>
  <c r="C14" i="1"/>
  <c r="A119" i="1"/>
  <c r="A146" i="1"/>
  <c r="K122" i="1" l="1"/>
  <c r="G110" i="1"/>
  <c r="J122" i="1"/>
  <c r="C110" i="1"/>
  <c r="C109" i="1"/>
  <c r="G109" i="1"/>
  <c r="E110" i="1"/>
  <c r="E109" i="1"/>
  <c r="E29" i="1"/>
  <c r="A147" i="1"/>
  <c r="A120" i="1"/>
  <c r="E111" i="1" l="1"/>
  <c r="C111" i="1"/>
  <c r="G111" i="1"/>
  <c r="F106" i="1"/>
  <c r="A148" i="1"/>
  <c r="A121" i="1"/>
  <c r="B172" i="1" l="1"/>
  <c r="A122" i="1"/>
  <c r="A149" i="1"/>
  <c r="F11" i="5" l="1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D192" i="1"/>
  <c r="J76" i="1"/>
  <c r="J75" i="1"/>
  <c r="J74" i="1"/>
  <c r="J73" i="1"/>
  <c r="D54" i="1"/>
  <c r="G49" i="1"/>
  <c r="C49" i="1"/>
  <c r="E42" i="1"/>
  <c r="E43" i="1" s="1"/>
  <c r="E26" i="1"/>
  <c r="E24" i="1"/>
  <c r="E7" i="1"/>
  <c r="E3" i="1"/>
  <c r="H66" i="1"/>
  <c r="A123" i="1"/>
  <c r="A150" i="1"/>
  <c r="D59" i="1" l="1"/>
  <c r="D78" i="1"/>
  <c r="D76" i="1"/>
  <c r="D75" i="1"/>
  <c r="D74" i="1"/>
  <c r="D72" i="1"/>
  <c r="J65" i="1"/>
  <c r="D77" i="1"/>
  <c r="D73" i="1"/>
  <c r="J69" i="1"/>
  <c r="J70" i="1"/>
  <c r="C69" i="1" s="1"/>
  <c r="J68" i="1"/>
  <c r="J71" i="1"/>
  <c r="J72" i="1" s="1"/>
  <c r="J77" i="1" s="1"/>
  <c r="J78" i="1" s="1"/>
  <c r="C70" i="1" s="1"/>
  <c r="A124" i="1"/>
  <c r="A151" i="1"/>
  <c r="D71" i="1" l="1"/>
  <c r="J67" i="1"/>
  <c r="E69" i="1"/>
  <c r="D70" i="1"/>
  <c r="G69" i="1"/>
  <c r="D69" i="1"/>
  <c r="J66" i="1" s="1"/>
  <c r="A152" i="1"/>
  <c r="H80" i="1"/>
  <c r="A125" i="1"/>
  <c r="J84" i="1" l="1"/>
  <c r="C83" i="1" s="1"/>
  <c r="D83" i="1" s="1"/>
  <c r="J82" i="1"/>
  <c r="D92" i="1"/>
  <c r="D88" i="1"/>
  <c r="D89" i="1"/>
  <c r="J79" i="1"/>
  <c r="J81" i="1" s="1"/>
  <c r="J85" i="1"/>
  <c r="J86" i="1" s="1"/>
  <c r="J91" i="1" s="1"/>
  <c r="J92" i="1" s="1"/>
  <c r="C84" i="1" s="1"/>
  <c r="D91" i="1"/>
  <c r="D87" i="1"/>
  <c r="J83" i="1"/>
  <c r="D85" i="1"/>
  <c r="D90" i="1"/>
  <c r="D86" i="1"/>
  <c r="I66" i="1"/>
  <c r="A126" i="1"/>
  <c r="A153" i="1"/>
  <c r="E83" i="1" l="1"/>
  <c r="D84" i="1"/>
  <c r="I80" i="1" s="1"/>
  <c r="I81" i="1" s="1"/>
  <c r="G83" i="1"/>
  <c r="D63" i="1" s="1"/>
  <c r="J80" i="1"/>
  <c r="I67" i="1"/>
  <c r="I65" i="1" s="1"/>
  <c r="A127" i="1"/>
  <c r="A154" i="1"/>
  <c r="D64" i="1" l="1"/>
  <c r="F64" i="1"/>
  <c r="I79" i="1"/>
  <c r="C81" i="1" s="1"/>
  <c r="A155" i="1"/>
  <c r="A128" i="1"/>
  <c r="A129" i="1" l="1"/>
  <c r="A156" i="1"/>
  <c r="A157" i="1"/>
  <c r="A130" i="1"/>
</calcChain>
</file>

<file path=xl/sharedStrings.xml><?xml version="1.0" encoding="utf-8"?>
<sst xmlns="http://schemas.openxmlformats.org/spreadsheetml/2006/main" count="337" uniqueCount="219">
  <si>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</si>
  <si>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</si>
  <si>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</si>
  <si>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</si>
  <si>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</si>
  <si>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</si>
  <si>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</si>
  <si>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</si>
  <si>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</si>
  <si>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</si>
  <si>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</si>
  <si>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</si>
  <si>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</si>
  <si>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</si>
  <si>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</si>
  <si>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</si>
  <si>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</si>
  <si>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</si>
  <si>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</si>
  <si>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</si>
  <si>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</si>
  <si>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</si>
  <si>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</si>
  <si>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</si>
  <si>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</si>
  <si>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</si>
  <si>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</si>
  <si>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</si>
  <si>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</si>
  <si>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</si>
  <si>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</si>
  <si>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</si>
  <si>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</si>
  <si>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</si>
  <si>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</si>
  <si>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</si>
  <si>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</si>
  <si>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</si>
  <si>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</si>
  <si>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</si>
  <si>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</si>
  <si>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</si>
  <si>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</si>
  <si>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</si>
  <si>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</si>
  <si>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 xml:space="preserve">O. Certificate No.: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</si>
  <si>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</si>
  <si>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</si>
  <si>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</si>
  <si>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</si>
  <si>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</si>
  <si>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</si>
  <si>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</si>
  <si>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</si>
  <si>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</si>
  <si>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</si>
  <si>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</si>
  <si>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</si>
  <si>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</si>
  <si>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</si>
  <si>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</si>
  <si>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</si>
  <si>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</si>
  <si>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</si>
  <si>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</si>
  <si>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</si>
  <si>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</si>
  <si>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</si>
  <si>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</si>
  <si>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</si>
  <si>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</si>
  <si>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</si>
  <si>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Residential Area Details :</t>
  </si>
  <si>
    <t>Podium</t>
  </si>
  <si>
    <t>Ground</t>
  </si>
  <si>
    <t>Locality/Village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</si>
  <si>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</si>
  <si>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</si>
  <si>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</si>
  <si>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</si>
  <si>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</si>
  <si>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</si>
  <si>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</si>
  <si>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</si>
  <si>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</si>
  <si>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</si>
  <si>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</si>
  <si>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</si>
  <si>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</si>
  <si>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</si>
  <si>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</si>
  <si>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</si>
  <si>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</si>
  <si>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</si>
  <si>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</si>
  <si>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</si>
  <si>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</si>
  <si>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Development Charges</t>
  </si>
  <si>
    <t>Club Charges</t>
  </si>
  <si>
    <t>Gas Connection Charges</t>
  </si>
  <si>
    <t>Water, Electricity, Drainages, Sewerage Connection</t>
  </si>
  <si>
    <t>Society Formation Charges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</si>
  <si>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</si>
  <si>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</si>
  <si>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</si>
  <si>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</si>
  <si>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</si>
  <si>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</si>
  <si>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</si>
  <si>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</si>
  <si>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</si>
  <si>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</si>
  <si>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</si>
  <si>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</si>
  <si>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</si>
  <si>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</si>
  <si>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</si>
  <si>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</si>
  <si>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</si>
  <si>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</si>
  <si>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</si>
  <si>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</si>
  <si>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</si>
  <si>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</si>
  <si>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Contact Details ( Name &amp; Contact No.)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</si>
  <si>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</si>
  <si>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</si>
  <si>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</si>
  <si>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</si>
  <si>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</si>
  <si>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</si>
  <si>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</si>
  <si>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</si>
  <si>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</si>
  <si>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</si>
  <si>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</si>
  <si>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</si>
  <si>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</si>
  <si>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</si>
  <si>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</si>
  <si>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</si>
  <si>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</si>
  <si>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</si>
  <si>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</si>
  <si>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</si>
  <si>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</si>
  <si>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</si>
  <si>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</si>
  <si>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</si>
  <si>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</si>
  <si>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</si>
  <si>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 xml:space="preserve">Violations Observed if any : </t>
  </si>
  <si>
    <t>Saleable area Loading :</t>
  </si>
  <si>
    <t>Total</t>
  </si>
  <si>
    <t>Name of Municipal Corporation/Authority</t>
  </si>
  <si>
    <t>We have considered proposed No. of Floor for Stage Calculation.</t>
  </si>
  <si>
    <t>*</t>
  </si>
  <si>
    <t>Recommended rate should be considered as all inclusive rate if other charges are not mentioned. (Excluding GST &amp; other government Taxes)</t>
  </si>
  <si>
    <t xml:space="preserve">Commencement-CC No
Valid Up to: </t>
  </si>
  <si>
    <t xml:space="preserve">Recommended Rates of the Property : </t>
  </si>
  <si>
    <t>Floor Rise Rate</t>
  </si>
  <si>
    <t>Recommended rate of the Shop Per Sq. Ft.</t>
  </si>
  <si>
    <t>Recommended rate of the Flat Per Sq. Ft.</t>
  </si>
  <si>
    <t>Recommended rate of the Office Per Sq. Ft.</t>
  </si>
  <si>
    <t>On Saleable Area</t>
  </si>
  <si>
    <t>Legal Charges</t>
  </si>
  <si>
    <t>Location Link</t>
  </si>
  <si>
    <t>Locality</t>
  </si>
  <si>
    <t>Axis Sanpada</t>
  </si>
  <si>
    <t>M/s. Sadguru Associate</t>
  </si>
  <si>
    <t>Sadguru Harmony Phase 3 &amp; 4</t>
  </si>
  <si>
    <t>Wing (C &amp; D)</t>
  </si>
  <si>
    <t>Approved Plans, CC</t>
  </si>
  <si>
    <t>Gut No</t>
  </si>
  <si>
    <t>158/2, 4, 6 &amp; 218, 219/1/2</t>
  </si>
  <si>
    <t>Valivali</t>
  </si>
  <si>
    <t>Thane</t>
  </si>
  <si>
    <t>Ambarnath</t>
  </si>
  <si>
    <t>https://goo.gl/maps/hqxys1ysf1Sug5qU9</t>
  </si>
  <si>
    <t>Internal Road</t>
  </si>
  <si>
    <t>Buildings</t>
  </si>
  <si>
    <t>Shrusti arambh</t>
  </si>
  <si>
    <t>Deep Aagan Co. Housing Society</t>
  </si>
  <si>
    <t>Houses</t>
  </si>
  <si>
    <t>2.2 KM from Badlapur Railway Station</t>
  </si>
  <si>
    <t>Badlapur</t>
  </si>
  <si>
    <t>02 Wings</t>
  </si>
  <si>
    <t>KBNP/NRV/BP/9376-150</t>
  </si>
  <si>
    <t>Kulgoan Badlapur Municipal Council</t>
  </si>
  <si>
    <t>J.K/K.B.N.P/B.P/2021-2022/9376/Uniqe No.150</t>
  </si>
  <si>
    <t>Wing C &amp; D - Gr/st + 1st to 10th Floor</t>
  </si>
  <si>
    <t>Wing C</t>
  </si>
  <si>
    <t>1st to 7th, 9th , 10th Floor for Residential</t>
  </si>
  <si>
    <t>Wing D</t>
  </si>
  <si>
    <t>Sadguru Harmony Phase 3 Wing C - P51700034459
Sadguru Harmony Phase 4 Wing D - P51700034703</t>
  </si>
  <si>
    <t>Phase - 3</t>
  </si>
  <si>
    <t>Phase - 4</t>
  </si>
  <si>
    <t>2BHK</t>
  </si>
  <si>
    <t>1BHK</t>
  </si>
  <si>
    <t>1RK</t>
  </si>
  <si>
    <t>8th Floor (Part Refuge Area)</t>
  </si>
  <si>
    <t>We considered Gross carpet area = Net carpet + Enclose balcony + E.P Area</t>
  </si>
  <si>
    <t>Flats - 238</t>
  </si>
  <si>
    <t>1,00,000</t>
  </si>
  <si>
    <t>Office No. 1031, Wing J, Akshar Business Park, Plot No. 03 Sector 25, Near APMC Market, Vashi, Navi Mumbai, Maharashtra 400703 TEL: 022-46090378/79/80
Email : vsjcapf@gmail.com. Web site : www.vsjadon.com</t>
  </si>
  <si>
    <t>Wing C = Gr/st + 1st to 10th Floor</t>
  </si>
  <si>
    <t>Wing D = Gr/st + 1st to 10th Floor</t>
  </si>
  <si>
    <t>Site Person - Contact Details ( Name &amp; Contact No.)</t>
  </si>
  <si>
    <t>Mr. Sandesh 9172041774</t>
  </si>
  <si>
    <t>Latitude,Longitude</t>
  </si>
  <si>
    <t>19.1826767,73.2366514</t>
  </si>
  <si>
    <t>Sudhir Bhosale</t>
  </si>
  <si>
    <t>Vitrified tiles flooring, Kitchen Platform, Decorative Entrance</t>
  </si>
  <si>
    <t>Shruti Tathare</t>
  </si>
  <si>
    <t>Mr. Akash 9137136990</t>
  </si>
  <si>
    <t>As per RERA - Phase 3 = Completed   
                         Phase 4 = 30/06/2025</t>
  </si>
  <si>
    <t>As per RERA, completion period of project Sadguru Harmony Phase 4 Wing D is expired on 30/06/2025  but still project is under construction</t>
  </si>
  <si>
    <t>Phase 3 = All work completed. Provide OC.
Phase 4 = Construction work is in process at the time of Visit.</t>
  </si>
  <si>
    <t>All work completed. Provide OC.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</si>
</sst>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 * #,##0.00_ ;_ * \-#,##0.00_ ;_ * &quot;-&quot;??_ ;_ @_ "/>
    <numFmt numFmtId="165" formatCode="0.0"/>
    <numFmt numFmtId="166" formatCode="_(* #,##0.00_);_(* \(#,##0.00\);_(* &quot;-&quot;??_);_(@_)"/>
    <numFmt numFmtId="167" formatCode="_(* #,##0_);_(* \(#,##0\);_(* &quot;-&quot;??_);_(@_)"/>
    <numFmt numFmtId="168" formatCode="_ * #,##0_ ;_ * \-#,##0_ ;_ * &quot;-&quot;??_ ;_ @_ "/>
  </numFmts>
  <fonts count="28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b/>
      <sz val="12"/>
      <color rgb="FFFF0000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1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6" fontId="5" fillId="0" borderId="0" applyFont="0" applyFill="0" applyBorder="0" applyAlignment="0" applyProtection="0"/>
    <xf numFmtId="0" fontId="21" fillId="0" borderId="0"/>
    <xf numFmtId="9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0" fontId="27" fillId="0" borderId="0" applyNumberFormat="0" applyFill="0" applyBorder="0" applyAlignment="0" applyProtection="0"/>
  </cellStyleXfs>
  <cellXfs count="158">
    <xf numFmtId="0" fontId="0" fillId="0" borderId="0" xfId="0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20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7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9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9" fontId="8" fillId="0" borderId="13" xfId="8" applyFont="1" applyFill="1" applyBorder="1" applyAlignment="1" applyProtection="1">
      <alignment horizontal="center" vertical="top" wrapText="1"/>
      <protection locked="0"/>
    </xf>
    <xf numFmtId="0" fontId="18" fillId="0" borderId="0" xfId="0" applyFont="1" applyProtection="1">
      <protection hidden="1"/>
    </xf>
    <xf numFmtId="0" fontId="18" fillId="0" borderId="8" xfId="0" applyFont="1" applyBorder="1" applyProtection="1">
      <protection hidden="1"/>
    </xf>
    <xf numFmtId="0" fontId="12" fillId="0" borderId="3" xfId="1" applyFont="1" applyBorder="1" applyAlignment="1" applyProtection="1">
      <alignment horizontal="center" vertical="top"/>
      <protection locked="0"/>
    </xf>
    <xf numFmtId="0" fontId="12" fillId="0" borderId="4" xfId="1" applyFont="1" applyBorder="1" applyAlignment="1" applyProtection="1">
      <alignment horizontal="center" vertical="top"/>
      <protection locked="0"/>
    </xf>
    <xf numFmtId="0" fontId="7" fillId="0" borderId="0" xfId="1" applyFont="1"/>
    <xf numFmtId="0" fontId="15" fillId="0" borderId="0" xfId="1" applyFont="1"/>
    <xf numFmtId="0" fontId="12" fillId="0" borderId="0" xfId="1" applyFont="1"/>
    <xf numFmtId="1" fontId="7" fillId="0" borderId="0" xfId="1" applyNumberFormat="1" applyFont="1"/>
    <xf numFmtId="14" fontId="7" fillId="0" borderId="0" xfId="1" applyNumberFormat="1" applyFont="1"/>
    <xf numFmtId="0" fontId="7" fillId="0" borderId="0" xfId="1" applyFont="1" applyProtection="1">
      <protection hidden="1"/>
    </xf>
    <xf numFmtId="0" fontId="24" fillId="0" borderId="0" xfId="1" applyFont="1"/>
    <xf numFmtId="0" fontId="7" fillId="0" borderId="7" xfId="1" applyFont="1" applyBorder="1"/>
    <xf numFmtId="0" fontId="18" fillId="0" borderId="7" xfId="0" applyFont="1" applyBorder="1" applyProtection="1">
      <protection hidden="1"/>
    </xf>
    <xf numFmtId="1" fontId="0" fillId="0" borderId="7" xfId="0" applyNumberFormat="1" applyBorder="1"/>
    <xf numFmtId="1" fontId="0" fillId="0" borderId="7" xfId="0" applyNumberFormat="1" applyBorder="1" applyAlignment="1">
      <alignment horizontal="right"/>
    </xf>
    <xf numFmtId="1" fontId="0" fillId="0" borderId="9" xfId="0" applyNumberFormat="1" applyBorder="1"/>
    <xf numFmtId="0" fontId="16" fillId="0" borderId="0" xfId="1" applyFont="1"/>
    <xf numFmtId="0" fontId="6" fillId="0" borderId="0" xfId="2" applyFont="1"/>
    <xf numFmtId="0" fontId="7" fillId="0" borderId="0" xfId="0" applyFont="1" applyAlignment="1">
      <alignment horizontal="center" vertical="center"/>
    </xf>
    <xf numFmtId="1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25" fillId="2" borderId="22" xfId="0" applyFont="1" applyFill="1" applyBorder="1"/>
    <xf numFmtId="0" fontId="26" fillId="0" borderId="23" xfId="0" applyFont="1" applyBorder="1"/>
    <xf numFmtId="0" fontId="26" fillId="0" borderId="1" xfId="0" applyFont="1" applyBorder="1"/>
    <xf numFmtId="0" fontId="26" fillId="0" borderId="4" xfId="0" applyFont="1" applyBorder="1"/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12" fillId="0" borderId="1" xfId="1" applyFont="1" applyBorder="1" applyAlignment="1" applyProtection="1">
      <alignment vertical="top" wrapText="1"/>
      <protection locked="0"/>
    </xf>
    <xf numFmtId="0" fontId="13" fillId="0" borderId="1" xfId="1" applyFont="1" applyBorder="1" applyAlignment="1" applyProtection="1">
      <alignment vertical="top"/>
      <protection locked="0"/>
    </xf>
    <xf numFmtId="0" fontId="7" fillId="0" borderId="1" xfId="1" applyFont="1" applyBorder="1"/>
    <xf numFmtId="1" fontId="6" fillId="0" borderId="2" xfId="1" applyNumberFormat="1" applyFont="1" applyBorder="1" applyAlignment="1" applyProtection="1">
      <alignment horizontal="center" vertical="center" wrapText="1"/>
      <protection locked="0"/>
    </xf>
    <xf numFmtId="1" fontId="8" fillId="0" borderId="24" xfId="1" applyNumberFormat="1" applyFont="1" applyBorder="1" applyAlignment="1" applyProtection="1">
      <alignment horizontal="center" vertical="top" wrapText="1"/>
      <protection locked="0"/>
    </xf>
    <xf numFmtId="1" fontId="7" fillId="0" borderId="1" xfId="1" applyNumberFormat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1" fontId="12" fillId="0" borderId="1" xfId="0" applyNumberFormat="1" applyFont="1" applyBorder="1" applyAlignment="1" applyProtection="1">
      <alignment horizontal="center" vertical="center" wrapText="1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9" fontId="12" fillId="0" borderId="1" xfId="8" applyFont="1" applyFill="1" applyBorder="1" applyAlignment="1" applyProtection="1">
      <alignment horizontal="center" vertical="top" wrapText="1"/>
      <protection locked="0"/>
    </xf>
    <xf numFmtId="1" fontId="7" fillId="2" borderId="0" xfId="1" applyNumberFormat="1" applyFont="1" applyFill="1" applyAlignment="1">
      <alignment horizontal="center" vertical="center"/>
    </xf>
    <xf numFmtId="1" fontId="15" fillId="2" borderId="0" xfId="1" applyNumberFormat="1" applyFont="1" applyFill="1" applyAlignment="1">
      <alignment horizontal="center" vertical="center"/>
    </xf>
    <xf numFmtId="168" fontId="7" fillId="0" borderId="0" xfId="9" applyNumberFormat="1" applyFont="1" applyFill="1" applyAlignment="1">
      <alignment horizontal="center" vertical="center"/>
    </xf>
    <xf numFmtId="0" fontId="25" fillId="2" borderId="12" xfId="0" applyFont="1" applyFill="1" applyBorder="1"/>
    <xf numFmtId="0" fontId="26" fillId="0" borderId="6" xfId="0" applyFont="1" applyBorder="1"/>
    <xf numFmtId="1" fontId="8" fillId="0" borderId="5" xfId="0" applyNumberFormat="1" applyFont="1" applyBorder="1" applyAlignment="1" applyProtection="1">
      <alignment vertical="top" wrapText="1"/>
      <protection locked="0"/>
    </xf>
    <xf numFmtId="1" fontId="8" fillId="0" borderId="18" xfId="0" applyNumberFormat="1" applyFont="1" applyBorder="1" applyAlignment="1" applyProtection="1">
      <alignment vertical="top" wrapText="1"/>
      <protection locked="0"/>
    </xf>
    <xf numFmtId="1" fontId="8" fillId="0" borderId="6" xfId="0" applyNumberFormat="1" applyFont="1" applyBorder="1" applyAlignment="1" applyProtection="1">
      <alignment vertical="top" wrapText="1"/>
      <protection locked="0"/>
    </xf>
    <xf numFmtId="0" fontId="10" fillId="0" borderId="5" xfId="1" applyFont="1" applyBorder="1" applyAlignment="1" applyProtection="1">
      <alignment horizontal="left"/>
      <protection locked="0"/>
    </xf>
    <xf numFmtId="0" fontId="10" fillId="0" borderId="18" xfId="1" applyFont="1" applyBorder="1" applyAlignment="1" applyProtection="1">
      <alignment horizontal="left"/>
      <protection locked="0"/>
    </xf>
    <xf numFmtId="0" fontId="10" fillId="0" borderId="6" xfId="1" applyFont="1" applyBorder="1" applyAlignment="1" applyProtection="1">
      <alignment horizontal="left"/>
      <protection locked="0"/>
    </xf>
    <xf numFmtId="1" fontId="6" fillId="0" borderId="5" xfId="1" applyNumberFormat="1" applyFont="1" applyBorder="1" applyAlignment="1" applyProtection="1">
      <alignment horizontal="center" vertical="center" wrapText="1"/>
      <protection locked="0"/>
    </xf>
    <xf numFmtId="1" fontId="6" fillId="0" borderId="6" xfId="1" applyNumberFormat="1" applyFont="1" applyBorder="1" applyAlignment="1" applyProtection="1">
      <alignment horizontal="center" vertical="center" wrapText="1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0" fontId="27" fillId="0" borderId="1" xfId="10" applyFill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0" fontId="7" fillId="0" borderId="0" xfId="1" applyFont="1" applyAlignment="1">
      <alignment horizontal="center" vertical="center"/>
    </xf>
    <xf numFmtId="1" fontId="8" fillId="0" borderId="1" xfId="1" applyNumberFormat="1" applyFont="1" applyBorder="1" applyAlignment="1" applyProtection="1">
      <alignment horizontal="center" vertical="center" wrapText="1"/>
      <protection locked="0"/>
    </xf>
    <xf numFmtId="1" fontId="6" fillId="0" borderId="2" xfId="1" applyNumberFormat="1" applyFont="1" applyBorder="1" applyAlignment="1" applyProtection="1">
      <alignment horizontal="center" vertical="center" wrapText="1"/>
      <protection locked="0"/>
    </xf>
    <xf numFmtId="1" fontId="13" fillId="0" borderId="1" xfId="0" applyNumberFormat="1" applyFont="1" applyBorder="1" applyAlignment="1" applyProtection="1">
      <alignment vertical="top" wrapText="1"/>
      <protection locked="0"/>
    </xf>
    <xf numFmtId="0" fontId="12" fillId="0" borderId="5" xfId="1" applyFont="1" applyBorder="1" applyAlignment="1" applyProtection="1">
      <alignment horizontal="left" vertical="top" wrapText="1"/>
      <protection locked="0"/>
    </xf>
    <xf numFmtId="0" fontId="12" fillId="0" borderId="6" xfId="1" applyFont="1" applyBorder="1" applyAlignment="1" applyProtection="1">
      <alignment horizontal="left" vertical="top" wrapText="1"/>
      <protection locked="0"/>
    </xf>
    <xf numFmtId="0" fontId="13" fillId="0" borderId="5" xfId="1" applyFont="1" applyBorder="1" applyAlignment="1" applyProtection="1">
      <alignment horizontal="left" vertical="top"/>
      <protection locked="0"/>
    </xf>
    <xf numFmtId="0" fontId="13" fillId="0" borderId="18" xfId="1" applyFont="1" applyBorder="1" applyAlignment="1" applyProtection="1">
      <alignment horizontal="left" vertical="top"/>
      <protection locked="0"/>
    </xf>
    <xf numFmtId="0" fontId="13" fillId="0" borderId="6" xfId="1" applyFont="1" applyBorder="1" applyAlignment="1" applyProtection="1">
      <alignment horizontal="left" vertical="top"/>
      <protection locked="0"/>
    </xf>
    <xf numFmtId="168" fontId="12" fillId="0" borderId="1" xfId="9" applyNumberFormat="1" applyFont="1" applyFill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2" fontId="12" fillId="0" borderId="1" xfId="1" applyNumberFormat="1" applyFont="1" applyBorder="1" applyAlignment="1" applyProtection="1">
      <alignment horizontal="left" vertical="top" wrapText="1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0" fontId="12" fillId="0" borderId="2" xfId="1" applyFont="1" applyBorder="1" applyAlignment="1" applyProtection="1">
      <alignment horizontal="left" vertical="top" wrapText="1"/>
      <protection locked="0"/>
    </xf>
    <xf numFmtId="0" fontId="12" fillId="0" borderId="2" xfId="1" applyFont="1" applyBorder="1" applyAlignment="1" applyProtection="1">
      <alignment horizontal="left" vertical="top"/>
      <protection locked="0"/>
    </xf>
    <xf numFmtId="0" fontId="12" fillId="0" borderId="14" xfId="1" applyFont="1" applyBorder="1" applyAlignment="1" applyProtection="1">
      <alignment horizontal="left" vertical="top" wrapText="1"/>
      <protection locked="0"/>
    </xf>
    <xf numFmtId="0" fontId="12" fillId="0" borderId="21" xfId="1" applyFont="1" applyBorder="1" applyAlignment="1" applyProtection="1">
      <alignment horizontal="left" vertical="top" wrapText="1"/>
      <protection locked="0"/>
    </xf>
    <xf numFmtId="0" fontId="12" fillId="0" borderId="15" xfId="1" applyFont="1" applyBorder="1" applyAlignment="1" applyProtection="1">
      <alignment horizontal="left" vertical="top" wrapText="1"/>
      <protection locked="0"/>
    </xf>
    <xf numFmtId="14" fontId="12" fillId="0" borderId="5" xfId="1" applyNumberFormat="1" applyFont="1" applyBorder="1" applyAlignment="1" applyProtection="1">
      <alignment horizontal="left" vertical="top" wrapText="1"/>
      <protection locked="0"/>
    </xf>
    <xf numFmtId="0" fontId="12" fillId="0" borderId="16" xfId="1" applyFont="1" applyBorder="1" applyAlignment="1" applyProtection="1">
      <alignment horizontal="left" vertical="top" wrapText="1"/>
      <protection locked="0"/>
    </xf>
    <xf numFmtId="0" fontId="12" fillId="0" borderId="17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0" fontId="12" fillId="0" borderId="3" xfId="1" applyFont="1" applyBorder="1" applyAlignment="1" applyProtection="1">
      <alignment horizontal="center" vertical="top" wrapText="1"/>
      <protection locked="0"/>
    </xf>
    <xf numFmtId="0" fontId="13" fillId="0" borderId="3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0" fontId="13" fillId="0" borderId="19" xfId="1" applyFont="1" applyBorder="1" applyAlignment="1" applyProtection="1">
      <alignment horizontal="left" vertical="top" wrapText="1"/>
      <protection locked="0"/>
    </xf>
    <xf numFmtId="0" fontId="13" fillId="0" borderId="12" xfId="1" applyFont="1" applyBorder="1" applyAlignment="1" applyProtection="1">
      <alignment horizontal="left" vertical="top" wrapText="1"/>
      <protection locked="0"/>
    </xf>
    <xf numFmtId="0" fontId="13" fillId="0" borderId="10" xfId="1" applyFont="1" applyBorder="1" applyAlignment="1" applyProtection="1">
      <alignment horizontal="left" vertical="top" wrapText="1"/>
      <protection locked="0"/>
    </xf>
    <xf numFmtId="0" fontId="13" fillId="0" borderId="11" xfId="1" applyFont="1" applyBorder="1" applyAlignment="1" applyProtection="1">
      <alignment horizontal="left" vertical="top" wrapText="1"/>
      <protection locked="0"/>
    </xf>
    <xf numFmtId="0" fontId="13" fillId="0" borderId="20" xfId="1" applyFont="1" applyBorder="1" applyAlignment="1" applyProtection="1">
      <alignment horizontal="left" vertical="top" wrapText="1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0" fontId="6" fillId="0" borderId="2" xfId="1" applyFont="1" applyBorder="1" applyAlignment="1" applyProtection="1">
      <alignment horizontal="left" vertical="top" wrapText="1"/>
      <protection locked="0"/>
    </xf>
    <xf numFmtId="0" fontId="6" fillId="0" borderId="2" xfId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12" fillId="0" borderId="13" xfId="1" applyFont="1" applyBorder="1" applyAlignment="1" applyProtection="1">
      <alignment horizontal="left" vertical="top" wrapText="1"/>
      <protection locked="0"/>
    </xf>
    <xf numFmtId="1" fontId="6" fillId="0" borderId="1" xfId="1" applyNumberFormat="1" applyFont="1" applyBorder="1" applyAlignment="1" applyProtection="1">
      <alignment horizontal="left" vertical="top" wrapText="1"/>
      <protection locked="0"/>
    </xf>
    <xf numFmtId="165" fontId="12" fillId="0" borderId="1" xfId="1" applyNumberFormat="1" applyFont="1" applyBorder="1" applyAlignment="1" applyProtection="1">
      <alignment horizontal="left" vertical="top"/>
      <protection locked="0"/>
    </xf>
    <xf numFmtId="2" fontId="12" fillId="0" borderId="1" xfId="1" applyNumberFormat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/>
      <protection locked="0"/>
    </xf>
    <xf numFmtId="0" fontId="12" fillId="0" borderId="1" xfId="1" applyFont="1" applyBorder="1" applyAlignment="1" applyProtection="1">
      <alignment horizontal="left"/>
      <protection locked="0"/>
    </xf>
    <xf numFmtId="14" fontId="12" fillId="0" borderId="1" xfId="1" applyNumberFormat="1" applyFont="1" applyBorder="1" applyAlignment="1" applyProtection="1">
      <alignment horizontal="left" vertical="top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0" fontId="12" fillId="0" borderId="4" xfId="1" applyFont="1" applyBorder="1" applyAlignment="1" applyProtection="1">
      <alignment horizontal="center" vertical="top" wrapText="1"/>
      <protection locked="0"/>
    </xf>
    <xf numFmtId="9" fontId="12" fillId="0" borderId="1" xfId="8" applyFont="1" applyFill="1" applyBorder="1" applyAlignment="1" applyProtection="1">
      <alignment horizontal="center" vertical="center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1" fontId="17" fillId="0" borderId="5" xfId="0" applyNumberFormat="1" applyFont="1" applyBorder="1" applyAlignment="1" applyProtection="1">
      <alignment vertical="top" wrapText="1"/>
      <protection locked="0"/>
    </xf>
    <xf numFmtId="1" fontId="17" fillId="0" borderId="18" xfId="0" applyNumberFormat="1" applyFont="1" applyBorder="1" applyAlignment="1" applyProtection="1">
      <alignment vertical="top" wrapText="1"/>
      <protection locked="0"/>
    </xf>
    <xf numFmtId="1" fontId="17" fillId="0" borderId="6" xfId="0" applyNumberFormat="1" applyFont="1" applyBorder="1" applyAlignment="1" applyProtection="1">
      <alignment vertical="top" wrapText="1"/>
      <protection locked="0"/>
    </xf>
    <xf numFmtId="1" fontId="13" fillId="0" borderId="5" xfId="0" applyNumberFormat="1" applyFont="1" applyBorder="1" applyAlignment="1" applyProtection="1">
      <alignment vertical="top" wrapText="1"/>
      <protection locked="0"/>
    </xf>
    <xf numFmtId="1" fontId="13" fillId="0" borderId="18" xfId="0" applyNumberFormat="1" applyFont="1" applyBorder="1" applyAlignment="1" applyProtection="1">
      <alignment vertical="top" wrapText="1"/>
      <protection locked="0"/>
    </xf>
    <xf numFmtId="1" fontId="13" fillId="0" borderId="6" xfId="0" applyNumberFormat="1" applyFont="1" applyBorder="1" applyAlignment="1" applyProtection="1">
      <alignment vertical="top" wrapText="1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0" fontId="13" fillId="0" borderId="4" xfId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168" fontId="12" fillId="0" borderId="1" xfId="9" applyNumberFormat="1" applyFont="1" applyFill="1" applyBorder="1" applyAlignment="1" applyProtection="1">
      <alignment horizontal="right" vertical="top"/>
      <protection locked="0"/>
    </xf>
    <xf numFmtId="1" fontId="13" fillId="0" borderId="1" xfId="0" applyNumberFormat="1" applyFont="1" applyBorder="1" applyAlignment="1" applyProtection="1">
      <alignment horizontal="left" vertical="top" wrapText="1"/>
      <protection locked="0"/>
    </xf>
    <xf numFmtId="1" fontId="8" fillId="0" borderId="5" xfId="1" applyNumberFormat="1" applyFont="1" applyBorder="1" applyAlignment="1" applyProtection="1">
      <alignment horizontal="center" vertical="center" wrapText="1"/>
      <protection locked="0"/>
    </xf>
    <xf numFmtId="1" fontId="8" fillId="0" borderId="18" xfId="1" applyNumberFormat="1" applyFont="1" applyBorder="1" applyAlignment="1" applyProtection="1">
      <alignment horizontal="center" vertical="center" wrapText="1"/>
      <protection locked="0"/>
    </xf>
    <xf numFmtId="1" fontId="8" fillId="0" borderId="6" xfId="1" applyNumberFormat="1" applyFont="1" applyBorder="1" applyAlignment="1" applyProtection="1">
      <alignment horizontal="center" vertical="center" wrapText="1"/>
      <protection locked="0"/>
    </xf>
    <xf numFmtId="1" fontId="8" fillId="0" borderId="14" xfId="1" applyNumberFormat="1" applyFont="1" applyBorder="1" applyAlignment="1" applyProtection="1">
      <alignment horizontal="center" vertical="top" wrapText="1"/>
      <protection locked="0"/>
    </xf>
    <xf numFmtId="1" fontId="8" fillId="0" borderId="16" xfId="1" applyNumberFormat="1" applyFont="1" applyBorder="1" applyAlignment="1" applyProtection="1">
      <alignment horizontal="center" vertical="top" wrapText="1"/>
      <protection locked="0"/>
    </xf>
    <xf numFmtId="1" fontId="10" fillId="0" borderId="1" xfId="0" applyNumberFormat="1" applyFont="1" applyBorder="1" applyAlignment="1" applyProtection="1">
      <alignment horizontal="center" vertical="top" wrapText="1"/>
      <protection locked="0"/>
    </xf>
    <xf numFmtId="1" fontId="8" fillId="0" borderId="2" xfId="1" applyNumberFormat="1" applyFont="1" applyBorder="1" applyAlignment="1" applyProtection="1">
      <alignment horizontal="center" vertical="top" wrapText="1"/>
      <protection locked="0"/>
    </xf>
    <xf numFmtId="1" fontId="8" fillId="0" borderId="13" xfId="1" applyNumberFormat="1" applyFont="1" applyBorder="1" applyAlignment="1" applyProtection="1">
      <alignment horizontal="center" vertical="top" wrapText="1"/>
      <protection locked="0"/>
    </xf>
    <xf numFmtId="0" fontId="12" fillId="0" borderId="18" xfId="1" applyFont="1" applyBorder="1" applyAlignment="1" applyProtection="1">
      <alignment horizontal="left" vertical="top" wrapText="1"/>
      <protection locked="0"/>
    </xf>
    <xf numFmtId="0" fontId="13" fillId="0" borderId="5" xfId="1" applyFont="1" applyBorder="1" applyAlignment="1" applyProtection="1">
      <alignment horizontal="left" vertical="top" wrapText="1"/>
      <protection locked="0"/>
    </xf>
    <xf numFmtId="0" fontId="13" fillId="0" borderId="6" xfId="1" applyFont="1" applyBorder="1" applyAlignment="1" applyProtection="1">
      <alignment horizontal="left" vertical="top" wrapText="1"/>
      <protection locked="0"/>
    </xf>
    <xf numFmtId="0" fontId="13" fillId="0" borderId="18" xfId="1" applyFont="1" applyBorder="1" applyAlignment="1" applyProtection="1">
      <alignment horizontal="left" vertical="top" wrapText="1"/>
      <protection locked="0"/>
    </xf>
    <xf numFmtId="0" fontId="6" fillId="0" borderId="1" xfId="1" applyFont="1" applyBorder="1" applyAlignment="1" applyProtection="1">
      <alignment vertical="top"/>
      <protection locked="0"/>
    </xf>
    <xf numFmtId="1" fontId="4" fillId="0" borderId="2" xfId="1" applyNumberFormat="1" applyFont="1" applyBorder="1" applyAlignment="1" applyProtection="1">
      <alignment horizontal="center" vertical="top" wrapText="1"/>
      <protection locked="0"/>
    </xf>
    <xf numFmtId="1" fontId="4" fillId="0" borderId="13" xfId="1" applyNumberFormat="1" applyFont="1" applyBorder="1" applyAlignment="1" applyProtection="1">
      <alignment horizontal="center" vertical="top" wrapText="1"/>
      <protection locked="0"/>
    </xf>
    <xf numFmtId="1" fontId="8" fillId="0" borderId="15" xfId="1" applyNumberFormat="1" applyFont="1" applyBorder="1" applyAlignment="1" applyProtection="1">
      <alignment horizontal="center" vertical="top" wrapText="1"/>
      <protection locked="0"/>
    </xf>
    <xf numFmtId="1" fontId="8" fillId="0" borderId="17" xfId="1" applyNumberFormat="1" applyFont="1" applyBorder="1" applyAlignment="1" applyProtection="1">
      <alignment horizontal="center" vertical="top" wrapText="1"/>
      <protection locked="0"/>
    </xf>
    <xf numFmtId="0" fontId="9" fillId="0" borderId="1" xfId="5" applyFont="1" applyBorder="1" applyAlignment="1">
      <alignment horizontal="left"/>
    </xf>
  </cellXfs>
  <cellStyles count="11">
    <cellStyle name="Comma" xfId="9" builtinId="3"/>
    <cellStyle name="Comma 2" xfId="6" xr:uid="{00000000-0005-0000-0000-000001000000}"/>
    <cellStyle name="Excel Built-in Normal" xfId="2" xr:uid="{00000000-0005-0000-0000-000002000000}"/>
    <cellStyle name="Excel Built-in Normal 2" xfId="4" xr:uid="{00000000-0005-0000-0000-000003000000}"/>
    <cellStyle name="Hyperlink" xfId="10" builtinId="8"/>
    <cellStyle name="Normal" xfId="0" builtinId="0"/>
    <cellStyle name="Normal 2" xfId="3" xr:uid="{00000000-0005-0000-0000-000006000000}"/>
    <cellStyle name="Normal 3" xfId="1" xr:uid="{00000000-0005-0000-0000-000007000000}"/>
    <cellStyle name="Normal 3 3" xfId="7" xr:uid="{00000000-0005-0000-0000-000008000000}"/>
    <cellStyle name="Normal 4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2" Type="http://schemas.openxmlformats.org/officeDocument/2006/relationships/image" Target="../media/image2.pn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5" Type="http://schemas.openxmlformats.org/officeDocument/2006/relationships/image" Target="../media/image5.jpeg"/><Relationship Id="rId15" Type="http://schemas.openxmlformats.org/officeDocument/2006/relationships/image" Target="../media/image15.png"/><Relationship Id="rId23" Type="http://schemas.openxmlformats.org/officeDocument/2006/relationships/image" Target="../media/image23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7.png"/><Relationship Id="rId1" Type="http://schemas.openxmlformats.org/officeDocument/2006/relationships/image" Target="../media/image2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252</xdr:row>
      <xdr:rowOff>41007</xdr:rowOff>
    </xdr:from>
    <xdr:to>
      <xdr:col>7</xdr:col>
      <xdr:colOff>100931</xdr:colOff>
      <xdr:row>266</xdr:row>
      <xdr:rowOff>120656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30E9550-52FA-8019-20F6-CFB5E76C364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19150" y="56181357"/>
          <a:ext cx="5396831" cy="288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0</xdr:colOff>
      <xdr:row>236</xdr:row>
      <xdr:rowOff>19050</xdr:rowOff>
    </xdr:from>
    <xdr:to>
      <xdr:col>7</xdr:col>
      <xdr:colOff>100931</xdr:colOff>
      <xdr:row>250</xdr:row>
      <xdr:rowOff>98701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B1E51FE-F9B0-B81A-EF73-2BD3374815D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19150" y="52959000"/>
          <a:ext cx="5396831" cy="288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8</xdr:col>
      <xdr:colOff>590550</xdr:colOff>
      <xdr:row>192</xdr:row>
      <xdr:rowOff>144962</xdr:rowOff>
    </xdr:from>
    <xdr:to>
      <xdr:col>17</xdr:col>
      <xdr:colOff>81450</xdr:colOff>
      <xdr:row>234</xdr:row>
      <xdr:rowOff>155486</xdr:rowOff>
    </xdr:to>
    <xdr:grpSp>
      <xdr:nvGrpSpPr>
        <xdr:cNvPr id="6" name="Group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pSpPr/>
      </xdr:nvGrpSpPr>
      <xdr:grpSpPr>
        <a:xfrm>
          <a:off x="7692390" y="39220322"/>
          <a:ext cx="6958500" cy="8323944"/>
          <a:chOff x="95250" y="38854562"/>
          <a:chExt cx="6748950" cy="8402049"/>
        </a:xfrm>
      </xdr:grpSpPr>
      <xdr:grpSp>
        <xdr:nvGrpSpPr>
          <xdr:cNvPr id="5" name="Group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GrpSpPr/>
        </xdr:nvGrpSpPr>
        <xdr:grpSpPr>
          <a:xfrm>
            <a:off x="95250" y="38854562"/>
            <a:ext cx="6748950" cy="8402049"/>
            <a:chOff x="85725" y="38902187"/>
            <a:chExt cx="6748950" cy="8402049"/>
          </a:xfrm>
        </xdr:grpSpPr>
        <xdr:grpSp>
          <xdr:nvGrpSpPr>
            <xdr:cNvPr id="4" name="Group 3">
              <a:extLst>
                <a:ext uri="{FF2B5EF4-FFF2-40B4-BE49-F238E27FC236}">
                  <a16:creationId xmlns:a16="http://schemas.microsoft.com/office/drawing/2014/main" id="{00000000-0008-0000-0000-000004000000}"/>
                </a:ext>
              </a:extLst>
            </xdr:cNvPr>
            <xdr:cNvGrpSpPr/>
          </xdr:nvGrpSpPr>
          <xdr:grpSpPr>
            <a:xfrm>
              <a:off x="85725" y="38902187"/>
              <a:ext cx="6748950" cy="8402049"/>
              <a:chOff x="95250" y="38902187"/>
              <a:chExt cx="6748950" cy="8402049"/>
            </a:xfrm>
          </xdr:grpSpPr>
          <xdr:pic>
            <xdr:nvPicPr>
              <xdr:cNvPr id="46" name="Picture 45" descr="https://vsjcllp.vsjadon.com/upload/insp-234019-1525.jpg">
                <a:extLst>
                  <a:ext uri="{FF2B5EF4-FFF2-40B4-BE49-F238E27FC236}">
                    <a16:creationId xmlns:a16="http://schemas.microsoft.com/office/drawing/2014/main" id="{00000000-0008-0000-0000-00002E000000}"/>
                  </a:ext>
                </a:extLst>
              </xdr:cNvPr>
              <xdr:cNvPicPr>
                <a:picLocks noChangeAspect="1" noChangeArrowheads="1"/>
              </xdr:cNvPicPr>
            </xdr:nvPicPr>
            <xdr:blipFill>
              <a:blip xmlns:r="http://schemas.openxmlformats.org/officeDocument/2006/relationships" r:embed="rId3" cstate="print">
                <a:extLst>
                  <a:ext uri="{28A0092B-C50C-407E-A947-70E740481C1C}">
                    <a14:useLocalDpi xmlns:a14="http://schemas.microsoft.com/office/drawing/2010/main"/>
                  </a:ext>
                </a:extLst>
              </a:blip>
              <a:srcRect/>
              <a:stretch>
                <a:fillRect/>
              </a:stretch>
            </xdr:blipFill>
            <xdr:spPr bwMode="auto">
              <a:xfrm>
                <a:off x="2933701" y="45638419"/>
                <a:ext cx="2209799" cy="1665817"/>
              </a:xfrm>
              <a:prstGeom prst="rect">
                <a:avLst/>
              </a:prstGeom>
              <a:noFill/>
              <a:ln>
                <a:solidFill>
                  <a:schemeClr val="tx1"/>
                </a:solidFill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pic>
          <xdr:pic>
            <xdr:nvPicPr>
              <xdr:cNvPr id="47" name="Picture 46" descr="https://vsjcllp.vsjadon.com/upload/insp-234019-843.jpg">
                <a:extLst>
                  <a:ext uri="{FF2B5EF4-FFF2-40B4-BE49-F238E27FC236}">
                    <a16:creationId xmlns:a16="http://schemas.microsoft.com/office/drawing/2014/main" id="{00000000-0008-0000-0000-00002F000000}"/>
                  </a:ext>
                </a:extLst>
              </xdr:cNvPr>
              <xdr:cNvPicPr>
                <a:picLocks noChangeAspect="1" noChangeArrowheads="1"/>
              </xdr:cNvPicPr>
            </xdr:nvPicPr>
            <xdr:blipFill>
              <a:blip xmlns:r="http://schemas.openxmlformats.org/officeDocument/2006/relationships" r:embed="rId4" cstate="print">
                <a:extLst>
                  <a:ext uri="{28A0092B-C50C-407E-A947-70E740481C1C}">
                    <a14:useLocalDpi xmlns:a14="http://schemas.microsoft.com/office/drawing/2010/main"/>
                  </a:ext>
                </a:extLst>
              </a:blip>
              <a:srcRect/>
              <a:stretch>
                <a:fillRect/>
              </a:stretch>
            </xdr:blipFill>
            <xdr:spPr bwMode="auto">
              <a:xfrm>
                <a:off x="1809750" y="38902187"/>
                <a:ext cx="1624500" cy="2160000"/>
              </a:xfrm>
              <a:prstGeom prst="rect">
                <a:avLst/>
              </a:prstGeom>
              <a:noFill/>
              <a:ln>
                <a:solidFill>
                  <a:schemeClr val="tx1"/>
                </a:solidFill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pic>
          <xdr:pic>
            <xdr:nvPicPr>
              <xdr:cNvPr id="48" name="Picture 47" descr="https://vsjcllp.vsjadon.com/upload/insp-234019-845.jpg">
                <a:extLst>
                  <a:ext uri="{FF2B5EF4-FFF2-40B4-BE49-F238E27FC236}">
                    <a16:creationId xmlns:a16="http://schemas.microsoft.com/office/drawing/2014/main" id="{00000000-0008-0000-0000-000030000000}"/>
                  </a:ext>
                </a:extLst>
              </xdr:cNvPr>
              <xdr:cNvPicPr>
                <a:picLocks noChangeAspect="1" noChangeArrowheads="1"/>
              </xdr:cNvPicPr>
            </xdr:nvPicPr>
            <xdr:blipFill>
              <a:blip xmlns:r="http://schemas.openxmlformats.org/officeDocument/2006/relationships" r:embed="rId5" cstate="print">
                <a:extLst>
                  <a:ext uri="{28A0092B-C50C-407E-A947-70E740481C1C}">
                    <a14:useLocalDpi xmlns:a14="http://schemas.microsoft.com/office/drawing/2010/main"/>
                  </a:ext>
                </a:extLst>
              </a:blip>
              <a:srcRect/>
              <a:stretch>
                <a:fillRect/>
              </a:stretch>
            </xdr:blipFill>
            <xdr:spPr bwMode="auto">
              <a:xfrm>
                <a:off x="3295650" y="41159612"/>
                <a:ext cx="1624500" cy="2160000"/>
              </a:xfrm>
              <a:prstGeom prst="rect">
                <a:avLst/>
              </a:prstGeom>
              <a:noFill/>
              <a:ln>
                <a:solidFill>
                  <a:schemeClr val="tx1"/>
                </a:solidFill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pic>
          <xdr:pic>
            <xdr:nvPicPr>
              <xdr:cNvPr id="49" name="Picture 48" descr="https://vsjcllp.vsjadon.com/upload/insp-234019-847.jpg">
                <a:extLst>
                  <a:ext uri="{FF2B5EF4-FFF2-40B4-BE49-F238E27FC236}">
                    <a16:creationId xmlns:a16="http://schemas.microsoft.com/office/drawing/2014/main" id="{00000000-0008-0000-0000-000031000000}"/>
                  </a:ext>
                </a:extLst>
              </xdr:cNvPr>
              <xdr:cNvPicPr>
                <a:picLocks noChangeAspect="1" noChangeArrowheads="1"/>
              </xdr:cNvPicPr>
            </xdr:nvPicPr>
            <xdr:blipFill>
              <a:blip xmlns:r="http://schemas.openxmlformats.org/officeDocument/2006/relationships" r:embed="rId6" cstate="print">
                <a:extLst>
                  <a:ext uri="{28A0092B-C50C-407E-A947-70E740481C1C}">
                    <a14:useLocalDpi xmlns:a14="http://schemas.microsoft.com/office/drawing/2010/main"/>
                  </a:ext>
                </a:extLst>
              </a:blip>
              <a:srcRect/>
              <a:stretch>
                <a:fillRect/>
              </a:stretch>
            </xdr:blipFill>
            <xdr:spPr bwMode="auto">
              <a:xfrm>
                <a:off x="333375" y="41153262"/>
                <a:ext cx="2865360" cy="2160000"/>
              </a:xfrm>
              <a:prstGeom prst="rect">
                <a:avLst/>
              </a:prstGeom>
              <a:noFill/>
              <a:ln>
                <a:solidFill>
                  <a:schemeClr val="tx1"/>
                </a:solidFill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pic>
          <xdr:pic>
            <xdr:nvPicPr>
              <xdr:cNvPr id="50" name="Picture 49" descr="https://vsjcllp.vsjadon.com/upload/insp-234019-851.jpg">
                <a:extLst>
                  <a:ext uri="{FF2B5EF4-FFF2-40B4-BE49-F238E27FC236}">
                    <a16:creationId xmlns:a16="http://schemas.microsoft.com/office/drawing/2014/main" id="{00000000-0008-0000-0000-000032000000}"/>
                  </a:ext>
                </a:extLst>
              </xdr:cNvPr>
              <xdr:cNvPicPr>
                <a:picLocks noChangeAspect="1" noChangeArrowheads="1"/>
              </xdr:cNvPicPr>
            </xdr:nvPicPr>
            <xdr:blipFill>
              <a:blip xmlns:r="http://schemas.openxmlformats.org/officeDocument/2006/relationships" r:embed="rId7" cstate="print">
                <a:extLst>
                  <a:ext uri="{28A0092B-C50C-407E-A947-70E740481C1C}">
                    <a14:useLocalDpi xmlns:a14="http://schemas.microsoft.com/office/drawing/2010/main"/>
                  </a:ext>
                </a:extLst>
              </a:blip>
              <a:srcRect/>
              <a:stretch>
                <a:fillRect/>
              </a:stretch>
            </xdr:blipFill>
            <xdr:spPr bwMode="auto">
              <a:xfrm>
                <a:off x="2047876" y="43391637"/>
                <a:ext cx="2865360" cy="2160000"/>
              </a:xfrm>
              <a:prstGeom prst="rect">
                <a:avLst/>
              </a:prstGeom>
              <a:noFill/>
              <a:ln>
                <a:solidFill>
                  <a:schemeClr val="tx1"/>
                </a:solidFill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pic>
          <xdr:pic>
            <xdr:nvPicPr>
              <xdr:cNvPr id="51" name="Picture 50" descr="https://vsjcllp.vsjadon.com/upload/insp-234019-874.jpg">
                <a:extLst>
                  <a:ext uri="{FF2B5EF4-FFF2-40B4-BE49-F238E27FC236}">
                    <a16:creationId xmlns:a16="http://schemas.microsoft.com/office/drawing/2014/main" id="{00000000-0008-0000-0000-000033000000}"/>
                  </a:ext>
                </a:extLst>
              </xdr:cNvPr>
              <xdr:cNvPicPr>
                <a:picLocks noChangeAspect="1" noChangeArrowheads="1"/>
              </xdr:cNvPicPr>
            </xdr:nvPicPr>
            <xdr:blipFill>
              <a:blip xmlns:r="http://schemas.openxmlformats.org/officeDocument/2006/relationships" r:embed="rId8" cstate="print">
                <a:extLst>
                  <a:ext uri="{28A0092B-C50C-407E-A947-70E740481C1C}">
                    <a14:useLocalDpi xmlns:a14="http://schemas.microsoft.com/office/drawing/2010/main"/>
                  </a:ext>
                </a:extLst>
              </a:blip>
              <a:srcRect/>
              <a:stretch>
                <a:fillRect/>
              </a:stretch>
            </xdr:blipFill>
            <xdr:spPr bwMode="auto">
              <a:xfrm>
                <a:off x="5010150" y="41159612"/>
                <a:ext cx="1624500" cy="2160000"/>
              </a:xfrm>
              <a:prstGeom prst="rect">
                <a:avLst/>
              </a:prstGeom>
              <a:noFill/>
              <a:ln>
                <a:solidFill>
                  <a:schemeClr val="tx1"/>
                </a:solidFill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pic>
          <xdr:pic>
            <xdr:nvPicPr>
              <xdr:cNvPr id="52" name="Picture 51" descr="https://vsjcllp.vsjadon.com/upload/insp-234019-1022.jpg">
                <a:extLst>
                  <a:ext uri="{FF2B5EF4-FFF2-40B4-BE49-F238E27FC236}">
                    <a16:creationId xmlns:a16="http://schemas.microsoft.com/office/drawing/2014/main" id="{00000000-0008-0000-0000-000034000000}"/>
                  </a:ext>
                </a:extLst>
              </xdr:cNvPr>
              <xdr:cNvPicPr>
                <a:picLocks noChangeAspect="1" noChangeArrowheads="1"/>
              </xdr:cNvPicPr>
            </xdr:nvPicPr>
            <xdr:blipFill>
              <a:blip xmlns:r="http://schemas.openxmlformats.org/officeDocument/2006/relationships" r:embed="rId9" cstate="print">
                <a:extLst>
                  <a:ext uri="{28A0092B-C50C-407E-A947-70E740481C1C}">
                    <a14:useLocalDpi xmlns:a14="http://schemas.microsoft.com/office/drawing/2010/main"/>
                  </a:ext>
                </a:extLst>
              </a:blip>
              <a:srcRect/>
              <a:stretch>
                <a:fillRect/>
              </a:stretch>
            </xdr:blipFill>
            <xdr:spPr bwMode="auto">
              <a:xfrm>
                <a:off x="1596044" y="45631599"/>
                <a:ext cx="1250401" cy="1669551"/>
              </a:xfrm>
              <a:prstGeom prst="rect">
                <a:avLst/>
              </a:prstGeom>
              <a:noFill/>
              <a:ln>
                <a:solidFill>
                  <a:schemeClr val="tx1"/>
                </a:solidFill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pic>
          <xdr:pic>
            <xdr:nvPicPr>
              <xdr:cNvPr id="54" name="Picture 53" descr="https://vsjcllp.vsjadon.com/upload/insp-234019-931.jpg">
                <a:extLst>
                  <a:ext uri="{FF2B5EF4-FFF2-40B4-BE49-F238E27FC236}">
                    <a16:creationId xmlns:a16="http://schemas.microsoft.com/office/drawing/2014/main" id="{00000000-0008-0000-0000-000036000000}"/>
                  </a:ext>
                </a:extLst>
              </xdr:cNvPr>
              <xdr:cNvPicPr>
                <a:picLocks noChangeAspect="1" noChangeArrowheads="1"/>
              </xdr:cNvPicPr>
            </xdr:nvPicPr>
            <xdr:blipFill>
              <a:blip xmlns:r="http://schemas.openxmlformats.org/officeDocument/2006/relationships" r:embed="rId10" cstate="print">
                <a:extLst>
                  <a:ext uri="{28A0092B-C50C-407E-A947-70E740481C1C}">
                    <a14:useLocalDpi xmlns:a14="http://schemas.microsoft.com/office/drawing/2010/main"/>
                  </a:ext>
                </a:extLst>
              </a:blip>
              <a:srcRect/>
              <a:stretch>
                <a:fillRect/>
              </a:stretch>
            </xdr:blipFill>
            <xdr:spPr bwMode="auto">
              <a:xfrm>
                <a:off x="5219700" y="38921237"/>
                <a:ext cx="1624500" cy="2160000"/>
              </a:xfrm>
              <a:prstGeom prst="rect">
                <a:avLst/>
              </a:prstGeom>
              <a:noFill/>
              <a:ln>
                <a:solidFill>
                  <a:schemeClr val="tx1"/>
                </a:solidFill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pic>
          <xdr:pic>
            <xdr:nvPicPr>
              <xdr:cNvPr id="55" name="Picture 54" descr="https://vsjcllp.vsjadon.com/upload/insp-234019-916.jpg">
                <a:extLst>
                  <a:ext uri="{FF2B5EF4-FFF2-40B4-BE49-F238E27FC236}">
                    <a16:creationId xmlns:a16="http://schemas.microsoft.com/office/drawing/2014/main" id="{00000000-0008-0000-0000-000037000000}"/>
                  </a:ext>
                </a:extLst>
              </xdr:cNvPr>
              <xdr:cNvPicPr>
                <a:picLocks noChangeAspect="1" noChangeArrowheads="1"/>
              </xdr:cNvPicPr>
            </xdr:nvPicPr>
            <xdr:blipFill>
              <a:blip xmlns:r="http://schemas.openxmlformats.org/officeDocument/2006/relationships" r:embed="rId11" cstate="print">
                <a:extLst>
                  <a:ext uri="{28A0092B-C50C-407E-A947-70E740481C1C}">
                    <a14:useLocalDpi xmlns:a14="http://schemas.microsoft.com/office/drawing/2010/main"/>
                  </a:ext>
                </a:extLst>
              </a:blip>
              <a:srcRect/>
              <a:stretch>
                <a:fillRect/>
              </a:stretch>
            </xdr:blipFill>
            <xdr:spPr bwMode="auto">
              <a:xfrm>
                <a:off x="3514725" y="38921237"/>
                <a:ext cx="1624500" cy="2160000"/>
              </a:xfrm>
              <a:prstGeom prst="rect">
                <a:avLst/>
              </a:prstGeom>
              <a:noFill/>
              <a:ln>
                <a:solidFill>
                  <a:schemeClr val="tx1"/>
                </a:solidFill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pic>
          <xdr:pic>
            <xdr:nvPicPr>
              <xdr:cNvPr id="56" name="Picture 55" descr="https://vsjcllp.vsjadon.com/upload/insp-234019-919.jpg">
                <a:extLst>
                  <a:ext uri="{FF2B5EF4-FFF2-40B4-BE49-F238E27FC236}">
                    <a16:creationId xmlns:a16="http://schemas.microsoft.com/office/drawing/2014/main" id="{00000000-0008-0000-0000-000038000000}"/>
                  </a:ext>
                </a:extLst>
              </xdr:cNvPr>
              <xdr:cNvPicPr>
                <a:picLocks noChangeAspect="1" noChangeArrowheads="1"/>
              </xdr:cNvPicPr>
            </xdr:nvPicPr>
            <xdr:blipFill>
              <a:blip xmlns:r="http://schemas.openxmlformats.org/officeDocument/2006/relationships" r:embed="rId12" cstate="print">
                <a:extLst>
                  <a:ext uri="{28A0092B-C50C-407E-A947-70E740481C1C}">
                    <a14:useLocalDpi xmlns:a14="http://schemas.microsoft.com/office/drawing/2010/main"/>
                  </a:ext>
                </a:extLst>
              </a:blip>
              <a:srcRect/>
              <a:stretch>
                <a:fillRect/>
              </a:stretch>
            </xdr:blipFill>
            <xdr:spPr bwMode="auto">
              <a:xfrm>
                <a:off x="95250" y="38911712"/>
                <a:ext cx="1624500" cy="2160000"/>
              </a:xfrm>
              <a:prstGeom prst="rect">
                <a:avLst/>
              </a:prstGeom>
              <a:noFill/>
              <a:ln>
                <a:solidFill>
                  <a:schemeClr val="tx1"/>
                </a:solidFill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pic>
          <xdr:pic>
            <xdr:nvPicPr>
              <xdr:cNvPr id="57" name="Picture 56" descr="https://vsjcllp.vsjadon.com/upload/insp-234019-871.jpg">
                <a:extLst>
                  <a:ext uri="{FF2B5EF4-FFF2-40B4-BE49-F238E27FC236}">
                    <a16:creationId xmlns:a16="http://schemas.microsoft.com/office/drawing/2014/main" id="{00000000-0008-0000-0000-000039000000}"/>
                  </a:ext>
                </a:extLst>
              </xdr:cNvPr>
              <xdr:cNvPicPr>
                <a:picLocks noChangeAspect="1" noChangeArrowheads="1"/>
              </xdr:cNvPicPr>
            </xdr:nvPicPr>
            <xdr:blipFill>
              <a:blip xmlns:r="http://schemas.openxmlformats.org/officeDocument/2006/relationships" r:embed="rId13" cstate="print">
                <a:extLst>
                  <a:ext uri="{28A0092B-C50C-407E-A947-70E740481C1C}">
                    <a14:useLocalDpi xmlns:a14="http://schemas.microsoft.com/office/drawing/2010/main"/>
                  </a:ext>
                </a:extLst>
              </a:blip>
              <a:srcRect/>
              <a:stretch>
                <a:fillRect/>
              </a:stretch>
            </xdr:blipFill>
            <xdr:spPr bwMode="auto">
              <a:xfrm>
                <a:off x="338601" y="43386375"/>
                <a:ext cx="1624519" cy="2160000"/>
              </a:xfrm>
              <a:prstGeom prst="rect">
                <a:avLst/>
              </a:prstGeom>
              <a:noFill/>
              <a:ln>
                <a:solidFill>
                  <a:schemeClr val="tx1"/>
                </a:solidFill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pic>
        </xdr:grpSp>
        <xdr:sp macro="" textlink="">
          <xdr:nvSpPr>
            <xdr:cNvPr id="58" name="TextBox 57">
              <a:extLst>
                <a:ext uri="{FF2B5EF4-FFF2-40B4-BE49-F238E27FC236}">
                  <a16:creationId xmlns:a16="http://schemas.microsoft.com/office/drawing/2014/main" id="{00000000-0008-0000-0000-00003A000000}"/>
                </a:ext>
              </a:extLst>
            </xdr:cNvPr>
            <xdr:cNvSpPr txBox="1"/>
          </xdr:nvSpPr>
          <xdr:spPr>
            <a:xfrm>
              <a:off x="400050" y="38968862"/>
              <a:ext cx="685800" cy="26869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noAutofit/>
            </a:bodyPr>
            <a:lstStyle/>
            <a:p>
              <a:r>
                <a:rPr lang="en-IN" sz="1100" b="0" cap="none" spc="0">
                  <a:ln w="0"/>
                  <a:solidFill>
                    <a:sysClr val="windowText" lastClr="000000"/>
                  </a:solidFill>
                  <a:effectLst>
                    <a:outerShdw blurRad="38100" dist="25400" dir="5400000" algn="ctr" rotWithShape="0">
                      <a:srgbClr val="6E747A">
                        <a:alpha val="43000"/>
                      </a:srgbClr>
                    </a:outerShdw>
                  </a:effectLst>
                </a:rPr>
                <a:t>Phase 3</a:t>
              </a:r>
            </a:p>
          </xdr:txBody>
        </xdr:sp>
        <xdr:sp macro="" textlink="">
          <xdr:nvSpPr>
            <xdr:cNvPr id="59" name="TextBox 58">
              <a:extLst>
                <a:ext uri="{FF2B5EF4-FFF2-40B4-BE49-F238E27FC236}">
                  <a16:creationId xmlns:a16="http://schemas.microsoft.com/office/drawing/2014/main" id="{00000000-0008-0000-0000-00003B000000}"/>
                </a:ext>
              </a:extLst>
            </xdr:cNvPr>
            <xdr:cNvSpPr txBox="1"/>
          </xdr:nvSpPr>
          <xdr:spPr>
            <a:xfrm>
              <a:off x="2800350" y="38930762"/>
              <a:ext cx="564688" cy="26869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noAutofit/>
            </a:bodyPr>
            <a:lstStyle/>
            <a:p>
              <a:r>
                <a:rPr lang="en-IN" sz="1100" b="0">
                  <a:solidFill>
                    <a:schemeClr val="tx1"/>
                  </a:solidFill>
                  <a:effectLst>
                    <a:outerShdw blurRad="38100" dist="25400" dir="5400000" algn="ctr" rotWithShape="0">
                      <a:srgbClr val="6E747A">
                        <a:alpha val="43000"/>
                      </a:srgbClr>
                    </a:outerShdw>
                  </a:effectLst>
                  <a:latin typeface="+mn-lt"/>
                  <a:ea typeface="+mn-ea"/>
                  <a:cs typeface="+mn-cs"/>
                </a:rPr>
                <a:t>Phase 3</a:t>
              </a:r>
              <a:endParaRPr lang="en-IN">
                <a:effectLst/>
              </a:endParaRPr>
            </a:p>
          </xdr:txBody>
        </xdr:sp>
        <xdr:sp macro="" textlink="">
          <xdr:nvSpPr>
            <xdr:cNvPr id="60" name="TextBox 59">
              <a:extLst>
                <a:ext uri="{FF2B5EF4-FFF2-40B4-BE49-F238E27FC236}">
                  <a16:creationId xmlns:a16="http://schemas.microsoft.com/office/drawing/2014/main" id="{00000000-0008-0000-0000-00003C000000}"/>
                </a:ext>
              </a:extLst>
            </xdr:cNvPr>
            <xdr:cNvSpPr txBox="1"/>
          </xdr:nvSpPr>
          <xdr:spPr>
            <a:xfrm>
              <a:off x="4429125" y="38959337"/>
              <a:ext cx="564688" cy="26869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noAutofit/>
            </a:bodyPr>
            <a:lstStyle/>
            <a:p>
              <a:r>
                <a:rPr lang="en-IN" sz="1100" b="0">
                  <a:solidFill>
                    <a:schemeClr val="tx1"/>
                  </a:solidFill>
                  <a:effectLst>
                    <a:outerShdw blurRad="38100" dist="25400" dir="5400000" algn="ctr" rotWithShape="0">
                      <a:srgbClr val="6E747A">
                        <a:alpha val="43000"/>
                      </a:srgbClr>
                    </a:outerShdw>
                  </a:effectLst>
                  <a:latin typeface="+mn-lt"/>
                  <a:ea typeface="+mn-ea"/>
                  <a:cs typeface="+mn-cs"/>
                </a:rPr>
                <a:t>Phase 4</a:t>
              </a:r>
              <a:endParaRPr lang="en-IN">
                <a:effectLst/>
              </a:endParaRPr>
            </a:p>
          </xdr:txBody>
        </xdr:sp>
        <xdr:sp macro="" textlink="">
          <xdr:nvSpPr>
            <xdr:cNvPr id="61" name="TextBox 60">
              <a:extLst>
                <a:ext uri="{FF2B5EF4-FFF2-40B4-BE49-F238E27FC236}">
                  <a16:creationId xmlns:a16="http://schemas.microsoft.com/office/drawing/2014/main" id="{00000000-0008-0000-0000-00003D000000}"/>
                </a:ext>
              </a:extLst>
            </xdr:cNvPr>
            <xdr:cNvSpPr txBox="1"/>
          </xdr:nvSpPr>
          <xdr:spPr>
            <a:xfrm>
              <a:off x="5229225" y="38978387"/>
              <a:ext cx="564688" cy="26869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noAutofit/>
            </a:bodyPr>
            <a:lstStyle/>
            <a:p>
              <a:r>
                <a:rPr lang="en-IN" sz="1100" b="0">
                  <a:solidFill>
                    <a:schemeClr val="tx1"/>
                  </a:solidFill>
                  <a:effectLst>
                    <a:outerShdw blurRad="38100" dist="25400" dir="5400000" algn="ctr" rotWithShape="0">
                      <a:srgbClr val="6E747A">
                        <a:alpha val="43000"/>
                      </a:srgbClr>
                    </a:outerShdw>
                  </a:effectLst>
                  <a:latin typeface="+mn-lt"/>
                  <a:ea typeface="+mn-ea"/>
                  <a:cs typeface="+mn-cs"/>
                </a:rPr>
                <a:t>Phase 4</a:t>
              </a:r>
              <a:endParaRPr lang="en-IN">
                <a:effectLst/>
              </a:endParaRPr>
            </a:p>
          </xdr:txBody>
        </xdr:sp>
      </xdr:grpSp>
      <xdr:pic>
        <xdr:nvPicPr>
          <xdr:cNvPr id="21" name="Picture 20" descr="https://vsjcllp.vsjadon.com/upload/insp-234019-849.jpg">
            <a:extLst>
              <a:ext uri="{FF2B5EF4-FFF2-40B4-BE49-F238E27FC236}">
                <a16:creationId xmlns:a16="http://schemas.microsoft.com/office/drawing/2014/main" id="{00000000-0008-0000-0000-000015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4991100" y="43348274"/>
            <a:ext cx="1624519" cy="2162175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 editAs="oneCell">
    <xdr:from>
      <xdr:col>11</xdr:col>
      <xdr:colOff>657225</xdr:colOff>
      <xdr:row>49</xdr:row>
      <xdr:rowOff>38100</xdr:rowOff>
    </xdr:from>
    <xdr:to>
      <xdr:col>30</xdr:col>
      <xdr:colOff>503306</xdr:colOff>
      <xdr:row>78</xdr:row>
      <xdr:rowOff>132533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0448925" y="10715625"/>
          <a:ext cx="12152381" cy="6533333"/>
        </a:xfrm>
        <a:prstGeom prst="rect">
          <a:avLst/>
        </a:prstGeom>
      </xdr:spPr>
    </xdr:pic>
    <xdr:clientData/>
  </xdr:twoCellAnchor>
  <xdr:twoCellAnchor>
    <xdr:from>
      <xdr:col>1</xdr:col>
      <xdr:colOff>390525</xdr:colOff>
      <xdr:row>192</xdr:row>
      <xdr:rowOff>80962</xdr:rowOff>
    </xdr:from>
    <xdr:to>
      <xdr:col>2</xdr:col>
      <xdr:colOff>276225</xdr:colOff>
      <xdr:row>193</xdr:row>
      <xdr:rowOff>149635</xdr:rowOff>
    </xdr:to>
    <xdr:sp macro="" textlink="">
      <xdr:nvSpPr>
        <xdr:cNvPr id="34" name="TextBox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152525" y="38895337"/>
          <a:ext cx="685800" cy="2686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IN" sz="1100" b="0" cap="none" spc="0">
              <a:ln w="0"/>
              <a:solidFill>
                <a:sysClr val="windowText" lastClr="00000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Phase 3</a:t>
          </a:r>
        </a:p>
      </xdr:txBody>
    </xdr:sp>
    <xdr:clientData/>
  </xdr:twoCellAnchor>
  <xdr:twoCellAnchor>
    <xdr:from>
      <xdr:col>4</xdr:col>
      <xdr:colOff>266700</xdr:colOff>
      <xdr:row>192</xdr:row>
      <xdr:rowOff>109537</xdr:rowOff>
    </xdr:from>
    <xdr:to>
      <xdr:col>5</xdr:col>
      <xdr:colOff>171450</xdr:colOff>
      <xdr:row>193</xdr:row>
      <xdr:rowOff>178210</xdr:rowOff>
    </xdr:to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/>
      </xdr:nvSpPr>
      <xdr:spPr>
        <a:xfrm>
          <a:off x="3619500" y="38923912"/>
          <a:ext cx="685800" cy="2686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IN" sz="1100" b="0" cap="none" spc="0">
              <a:ln w="0"/>
              <a:solidFill>
                <a:sysClr val="windowText" lastClr="00000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Phase 4</a:t>
          </a:r>
        </a:p>
      </xdr:txBody>
    </xdr:sp>
    <xdr:clientData/>
  </xdr:twoCellAnchor>
  <xdr:twoCellAnchor>
    <xdr:from>
      <xdr:col>0</xdr:col>
      <xdr:colOff>189342</xdr:colOff>
      <xdr:row>192</xdr:row>
      <xdr:rowOff>23812</xdr:rowOff>
    </xdr:from>
    <xdr:to>
      <xdr:col>7</xdr:col>
      <xdr:colOff>986454</xdr:colOff>
      <xdr:row>229</xdr:row>
      <xdr:rowOff>95250</xdr:rowOff>
    </xdr:to>
    <xdr:grpSp>
      <xdr:nvGrpSpPr>
        <xdr:cNvPr id="9" name="Group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pSpPr/>
      </xdr:nvGrpSpPr>
      <xdr:grpSpPr>
        <a:xfrm>
          <a:off x="189342" y="39099172"/>
          <a:ext cx="6641652" cy="7394258"/>
          <a:chOff x="208392" y="38885812"/>
          <a:chExt cx="6493062" cy="7462838"/>
        </a:xfrm>
      </xdr:grpSpPr>
      <xdr:grpSp>
        <xdr:nvGrpSpPr>
          <xdr:cNvPr id="8" name="Group 7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GrpSpPr/>
        </xdr:nvGrpSpPr>
        <xdr:grpSpPr>
          <a:xfrm>
            <a:off x="247650" y="38885812"/>
            <a:ext cx="6453804" cy="7422563"/>
            <a:chOff x="285750" y="38866762"/>
            <a:chExt cx="6453804" cy="7422563"/>
          </a:xfrm>
        </xdr:grpSpPr>
        <xdr:pic>
          <xdr:nvPicPr>
            <xdr:cNvPr id="24" name="Picture 23" descr="https://vsjcllp.vsjadon.com/upload/insp-243767-1525.jpg">
              <a:extLst>
                <a:ext uri="{FF2B5EF4-FFF2-40B4-BE49-F238E27FC236}">
                  <a16:creationId xmlns:a16="http://schemas.microsoft.com/office/drawing/2014/main" id="{00000000-0008-0000-0000-00001800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6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4419601" y="44538900"/>
              <a:ext cx="2319953" cy="1748838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25" name="Picture 24" descr="https://vsjcllp.vsjadon.com/upload/insp-243767-843.jpg">
              <a:extLst>
                <a:ext uri="{FF2B5EF4-FFF2-40B4-BE49-F238E27FC236}">
                  <a16:creationId xmlns:a16="http://schemas.microsoft.com/office/drawing/2014/main" id="{00000000-0008-0000-0000-00001900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7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2438400" y="41724262"/>
              <a:ext cx="2059557" cy="2738437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26" name="Picture 25" descr="https://vsjcllp.vsjadon.com/upload/insp-243767-844.jpg">
              <a:extLst>
                <a:ext uri="{FF2B5EF4-FFF2-40B4-BE49-F238E27FC236}">
                  <a16:creationId xmlns:a16="http://schemas.microsoft.com/office/drawing/2014/main" id="{00000000-0008-0000-0000-00001A00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8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285750" y="41705212"/>
              <a:ext cx="2059557" cy="2738437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27" name="Picture 26" descr="https://vsjcllp.vsjadon.com/upload/insp-243767-861.jpg">
              <a:extLst>
                <a:ext uri="{FF2B5EF4-FFF2-40B4-BE49-F238E27FC236}">
                  <a16:creationId xmlns:a16="http://schemas.microsoft.com/office/drawing/2014/main" id="{00000000-0008-0000-0000-00001B00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9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4600575" y="41695687"/>
              <a:ext cx="2059557" cy="2738437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28" name="Picture 27" descr="https://vsjcllp.vsjadon.com/upload/insp-243767-860.jpg">
              <a:extLst>
                <a:ext uri="{FF2B5EF4-FFF2-40B4-BE49-F238E27FC236}">
                  <a16:creationId xmlns:a16="http://schemas.microsoft.com/office/drawing/2014/main" id="{00000000-0008-0000-0000-00001C00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0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2457450" y="38876287"/>
              <a:ext cx="2059557" cy="2738437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29" name="Picture 28" descr="https://vsjcllp.vsjadon.com/upload/insp-243767-880.jpg">
              <a:extLst>
                <a:ext uri="{FF2B5EF4-FFF2-40B4-BE49-F238E27FC236}">
                  <a16:creationId xmlns:a16="http://schemas.microsoft.com/office/drawing/2014/main" id="{00000000-0008-0000-0000-00001D00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1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647826" y="44535725"/>
              <a:ext cx="1315287" cy="1748838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30" name="Picture 29" descr="https://vsjcllp.vsjadon.com/upload/insp-243767-883.jpg">
              <a:extLst>
                <a:ext uri="{FF2B5EF4-FFF2-40B4-BE49-F238E27FC236}">
                  <a16:creationId xmlns:a16="http://schemas.microsoft.com/office/drawing/2014/main" id="{00000000-0008-0000-0000-00001E00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2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304800" y="38885812"/>
              <a:ext cx="2059557" cy="2738437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31" name="Picture 30" descr="https://vsjcllp.vsjadon.com/upload/insp-243767-916.jpg">
              <a:extLst>
                <a:ext uri="{FF2B5EF4-FFF2-40B4-BE49-F238E27FC236}">
                  <a16:creationId xmlns:a16="http://schemas.microsoft.com/office/drawing/2014/main" id="{00000000-0008-0000-0000-00001F00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3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3028950" y="44540487"/>
              <a:ext cx="1309807" cy="1748838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32" name="Picture 31" descr="https://vsjcllp.vsjadon.com/upload/insp-243767-922.jpg">
              <a:extLst>
                <a:ext uri="{FF2B5EF4-FFF2-40B4-BE49-F238E27FC236}">
                  <a16:creationId xmlns:a16="http://schemas.microsoft.com/office/drawing/2014/main" id="{00000000-0008-0000-0000-00002000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4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4591050" y="38866762"/>
              <a:ext cx="2059557" cy="2738437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  <xdr:pic>
        <xdr:nvPicPr>
          <xdr:cNvPr id="37" name="Picture 36">
            <a:extLst>
              <a:ext uri="{FF2B5EF4-FFF2-40B4-BE49-F238E27FC236}">
                <a16:creationId xmlns:a16="http://schemas.microsoft.com/office/drawing/2014/main" id="{00000000-0008-0000-0000-000025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208392" y="44570067"/>
            <a:ext cx="1337659" cy="1778583"/>
          </a:xfrm>
          <a:prstGeom prst="rect">
            <a:avLst/>
          </a:prstGeom>
          <a:noFill/>
          <a:ln w="9525">
            <a:solidFill>
              <a:schemeClr val="tx1"/>
            </a:solidFill>
            <a:miter lim="800000"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accent1"/>
                </a:solidFill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chemeClr val="bg2"/>
                  </a:outerShdw>
                </a:effectLst>
              </a14:hiddenEffects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hqxys1ysf1Sug5qU9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N236"/>
  <sheetViews>
    <sheetView tabSelected="1" view="pageBreakPreview" topLeftCell="A174" zoomScaleNormal="100" zoomScaleSheetLayoutView="100" workbookViewId="0">
      <selection activeCell="I182" sqref="I182"/>
    </sheetView>
  </sheetViews>
  <sheetFormatPr defaultColWidth="9.109375" defaultRowHeight="15.6" x14ac:dyDescent="0.3"/>
  <cols>
    <col min="1" max="1" width="11.44140625" style="37" customWidth="1"/>
    <col min="2" max="2" width="12" style="37" customWidth="1"/>
    <col min="3" max="3" width="12.6640625" style="37" customWidth="1"/>
    <col min="4" max="4" width="14.109375" style="37" customWidth="1"/>
    <col min="5" max="7" width="11.6640625" style="37" customWidth="1"/>
    <col min="8" max="8" width="18.33203125" style="37" customWidth="1"/>
    <col min="9" max="9" width="17.44140625" style="18" customWidth="1"/>
    <col min="10" max="10" width="11.44140625" style="18" customWidth="1"/>
    <col min="11" max="11" width="14.33203125" style="18" bestFit="1" customWidth="1"/>
    <col min="12" max="12" width="10.5546875" style="18" customWidth="1"/>
    <col min="13" max="13" width="11.88671875" style="18" customWidth="1"/>
    <col min="14" max="14" width="12.5546875" style="18" customWidth="1"/>
    <col min="15" max="15" width="9.88671875" style="18" customWidth="1"/>
    <col min="16" max="16" width="11.6640625" style="18" customWidth="1"/>
    <col min="17" max="247" width="9.109375" style="18"/>
    <col min="248" max="248" width="8.6640625" style="18" customWidth="1"/>
    <col min="249" max="249" width="9.88671875" style="18" customWidth="1"/>
    <col min="250" max="250" width="14.44140625" style="18" customWidth="1"/>
    <col min="251" max="251" width="7.33203125" style="18" customWidth="1"/>
    <col min="252" max="252" width="5.5546875" style="18" customWidth="1"/>
    <col min="253" max="253" width="9" style="18" customWidth="1"/>
    <col min="254" max="255" width="9.88671875" style="18" customWidth="1"/>
    <col min="256" max="256" width="11.109375" style="18" customWidth="1"/>
    <col min="257" max="257" width="2.88671875" style="18" customWidth="1"/>
    <col min="258" max="258" width="3.5546875" style="18" customWidth="1"/>
    <col min="259" max="503" width="9.109375" style="18"/>
    <col min="504" max="504" width="8.6640625" style="18" customWidth="1"/>
    <col min="505" max="505" width="9.88671875" style="18" customWidth="1"/>
    <col min="506" max="506" width="14.44140625" style="18" customWidth="1"/>
    <col min="507" max="507" width="7.33203125" style="18" customWidth="1"/>
    <col min="508" max="508" width="5.5546875" style="18" customWidth="1"/>
    <col min="509" max="509" width="9" style="18" customWidth="1"/>
    <col min="510" max="511" width="9.88671875" style="18" customWidth="1"/>
    <col min="512" max="512" width="11.109375" style="18" customWidth="1"/>
    <col min="513" max="513" width="2.88671875" style="18" customWidth="1"/>
    <col min="514" max="514" width="3.5546875" style="18" customWidth="1"/>
    <col min="515" max="759" width="9.109375" style="18"/>
    <col min="760" max="760" width="8.6640625" style="18" customWidth="1"/>
    <col min="761" max="761" width="9.88671875" style="18" customWidth="1"/>
    <col min="762" max="762" width="14.44140625" style="18" customWidth="1"/>
    <col min="763" max="763" width="7.33203125" style="18" customWidth="1"/>
    <col min="764" max="764" width="5.5546875" style="18" customWidth="1"/>
    <col min="765" max="765" width="9" style="18" customWidth="1"/>
    <col min="766" max="767" width="9.88671875" style="18" customWidth="1"/>
    <col min="768" max="768" width="11.109375" style="18" customWidth="1"/>
    <col min="769" max="769" width="2.88671875" style="18" customWidth="1"/>
    <col min="770" max="770" width="3.5546875" style="18" customWidth="1"/>
    <col min="771" max="1015" width="9.109375" style="18"/>
    <col min="1016" max="1016" width="8.6640625" style="18" customWidth="1"/>
    <col min="1017" max="1017" width="9.88671875" style="18" customWidth="1"/>
    <col min="1018" max="1018" width="14.44140625" style="18" customWidth="1"/>
    <col min="1019" max="1019" width="7.33203125" style="18" customWidth="1"/>
    <col min="1020" max="1020" width="5.5546875" style="18" customWidth="1"/>
    <col min="1021" max="1021" width="9" style="18" customWidth="1"/>
    <col min="1022" max="1023" width="9.88671875" style="18" customWidth="1"/>
    <col min="1024" max="1024" width="11.109375" style="18" customWidth="1"/>
    <col min="1025" max="1025" width="2.88671875" style="18" customWidth="1"/>
    <col min="1026" max="1026" width="3.5546875" style="18" customWidth="1"/>
    <col min="1027" max="1271" width="9.109375" style="18"/>
    <col min="1272" max="1272" width="8.6640625" style="18" customWidth="1"/>
    <col min="1273" max="1273" width="9.88671875" style="18" customWidth="1"/>
    <col min="1274" max="1274" width="14.44140625" style="18" customWidth="1"/>
    <col min="1275" max="1275" width="7.33203125" style="18" customWidth="1"/>
    <col min="1276" max="1276" width="5.5546875" style="18" customWidth="1"/>
    <col min="1277" max="1277" width="9" style="18" customWidth="1"/>
    <col min="1278" max="1279" width="9.88671875" style="18" customWidth="1"/>
    <col min="1280" max="1280" width="11.109375" style="18" customWidth="1"/>
    <col min="1281" max="1281" width="2.88671875" style="18" customWidth="1"/>
    <col min="1282" max="1282" width="3.5546875" style="18" customWidth="1"/>
    <col min="1283" max="1527" width="9.109375" style="18"/>
    <col min="1528" max="1528" width="8.6640625" style="18" customWidth="1"/>
    <col min="1529" max="1529" width="9.88671875" style="18" customWidth="1"/>
    <col min="1530" max="1530" width="14.44140625" style="18" customWidth="1"/>
    <col min="1531" max="1531" width="7.33203125" style="18" customWidth="1"/>
    <col min="1532" max="1532" width="5.5546875" style="18" customWidth="1"/>
    <col min="1533" max="1533" width="9" style="18" customWidth="1"/>
    <col min="1534" max="1535" width="9.88671875" style="18" customWidth="1"/>
    <col min="1536" max="1536" width="11.109375" style="18" customWidth="1"/>
    <col min="1537" max="1537" width="2.88671875" style="18" customWidth="1"/>
    <col min="1538" max="1538" width="3.5546875" style="18" customWidth="1"/>
    <col min="1539" max="1783" width="9.109375" style="18"/>
    <col min="1784" max="1784" width="8.6640625" style="18" customWidth="1"/>
    <col min="1785" max="1785" width="9.88671875" style="18" customWidth="1"/>
    <col min="1786" max="1786" width="14.44140625" style="18" customWidth="1"/>
    <col min="1787" max="1787" width="7.33203125" style="18" customWidth="1"/>
    <col min="1788" max="1788" width="5.5546875" style="18" customWidth="1"/>
    <col min="1789" max="1789" width="9" style="18" customWidth="1"/>
    <col min="1790" max="1791" width="9.88671875" style="18" customWidth="1"/>
    <col min="1792" max="1792" width="11.109375" style="18" customWidth="1"/>
    <col min="1793" max="1793" width="2.88671875" style="18" customWidth="1"/>
    <col min="1794" max="1794" width="3.5546875" style="18" customWidth="1"/>
    <col min="1795" max="2039" width="9.109375" style="18"/>
    <col min="2040" max="2040" width="8.6640625" style="18" customWidth="1"/>
    <col min="2041" max="2041" width="9.88671875" style="18" customWidth="1"/>
    <col min="2042" max="2042" width="14.44140625" style="18" customWidth="1"/>
    <col min="2043" max="2043" width="7.33203125" style="18" customWidth="1"/>
    <col min="2044" max="2044" width="5.5546875" style="18" customWidth="1"/>
    <col min="2045" max="2045" width="9" style="18" customWidth="1"/>
    <col min="2046" max="2047" width="9.88671875" style="18" customWidth="1"/>
    <col min="2048" max="2048" width="11.109375" style="18" customWidth="1"/>
    <col min="2049" max="2049" width="2.88671875" style="18" customWidth="1"/>
    <col min="2050" max="2050" width="3.5546875" style="18" customWidth="1"/>
    <col min="2051" max="2295" width="9.109375" style="18"/>
    <col min="2296" max="2296" width="8.6640625" style="18" customWidth="1"/>
    <col min="2297" max="2297" width="9.88671875" style="18" customWidth="1"/>
    <col min="2298" max="2298" width="14.44140625" style="18" customWidth="1"/>
    <col min="2299" max="2299" width="7.33203125" style="18" customWidth="1"/>
    <col min="2300" max="2300" width="5.5546875" style="18" customWidth="1"/>
    <col min="2301" max="2301" width="9" style="18" customWidth="1"/>
    <col min="2302" max="2303" width="9.88671875" style="18" customWidth="1"/>
    <col min="2304" max="2304" width="11.109375" style="18" customWidth="1"/>
    <col min="2305" max="2305" width="2.88671875" style="18" customWidth="1"/>
    <col min="2306" max="2306" width="3.5546875" style="18" customWidth="1"/>
    <col min="2307" max="2551" width="9.109375" style="18"/>
    <col min="2552" max="2552" width="8.6640625" style="18" customWidth="1"/>
    <col min="2553" max="2553" width="9.88671875" style="18" customWidth="1"/>
    <col min="2554" max="2554" width="14.44140625" style="18" customWidth="1"/>
    <col min="2555" max="2555" width="7.33203125" style="18" customWidth="1"/>
    <col min="2556" max="2556" width="5.5546875" style="18" customWidth="1"/>
    <col min="2557" max="2557" width="9" style="18" customWidth="1"/>
    <col min="2558" max="2559" width="9.88671875" style="18" customWidth="1"/>
    <col min="2560" max="2560" width="11.109375" style="18" customWidth="1"/>
    <col min="2561" max="2561" width="2.88671875" style="18" customWidth="1"/>
    <col min="2562" max="2562" width="3.5546875" style="18" customWidth="1"/>
    <col min="2563" max="2807" width="9.109375" style="18"/>
    <col min="2808" max="2808" width="8.6640625" style="18" customWidth="1"/>
    <col min="2809" max="2809" width="9.88671875" style="18" customWidth="1"/>
    <col min="2810" max="2810" width="14.44140625" style="18" customWidth="1"/>
    <col min="2811" max="2811" width="7.33203125" style="18" customWidth="1"/>
    <col min="2812" max="2812" width="5.5546875" style="18" customWidth="1"/>
    <col min="2813" max="2813" width="9" style="18" customWidth="1"/>
    <col min="2814" max="2815" width="9.88671875" style="18" customWidth="1"/>
    <col min="2816" max="2816" width="11.109375" style="18" customWidth="1"/>
    <col min="2817" max="2817" width="2.88671875" style="18" customWidth="1"/>
    <col min="2818" max="2818" width="3.5546875" style="18" customWidth="1"/>
    <col min="2819" max="3063" width="9.109375" style="18"/>
    <col min="3064" max="3064" width="8.6640625" style="18" customWidth="1"/>
    <col min="3065" max="3065" width="9.88671875" style="18" customWidth="1"/>
    <col min="3066" max="3066" width="14.44140625" style="18" customWidth="1"/>
    <col min="3067" max="3067" width="7.33203125" style="18" customWidth="1"/>
    <col min="3068" max="3068" width="5.5546875" style="18" customWidth="1"/>
    <col min="3069" max="3069" width="9" style="18" customWidth="1"/>
    <col min="3070" max="3071" width="9.88671875" style="18" customWidth="1"/>
    <col min="3072" max="3072" width="11.109375" style="18" customWidth="1"/>
    <col min="3073" max="3073" width="2.88671875" style="18" customWidth="1"/>
    <col min="3074" max="3074" width="3.5546875" style="18" customWidth="1"/>
    <col min="3075" max="3319" width="9.109375" style="18"/>
    <col min="3320" max="3320" width="8.6640625" style="18" customWidth="1"/>
    <col min="3321" max="3321" width="9.88671875" style="18" customWidth="1"/>
    <col min="3322" max="3322" width="14.44140625" style="18" customWidth="1"/>
    <col min="3323" max="3323" width="7.33203125" style="18" customWidth="1"/>
    <col min="3324" max="3324" width="5.5546875" style="18" customWidth="1"/>
    <col min="3325" max="3325" width="9" style="18" customWidth="1"/>
    <col min="3326" max="3327" width="9.88671875" style="18" customWidth="1"/>
    <col min="3328" max="3328" width="11.109375" style="18" customWidth="1"/>
    <col min="3329" max="3329" width="2.88671875" style="18" customWidth="1"/>
    <col min="3330" max="3330" width="3.5546875" style="18" customWidth="1"/>
    <col min="3331" max="3575" width="9.109375" style="18"/>
    <col min="3576" max="3576" width="8.6640625" style="18" customWidth="1"/>
    <col min="3577" max="3577" width="9.88671875" style="18" customWidth="1"/>
    <col min="3578" max="3578" width="14.44140625" style="18" customWidth="1"/>
    <col min="3579" max="3579" width="7.33203125" style="18" customWidth="1"/>
    <col min="3580" max="3580" width="5.5546875" style="18" customWidth="1"/>
    <col min="3581" max="3581" width="9" style="18" customWidth="1"/>
    <col min="3582" max="3583" width="9.88671875" style="18" customWidth="1"/>
    <col min="3584" max="3584" width="11.109375" style="18" customWidth="1"/>
    <col min="3585" max="3585" width="2.88671875" style="18" customWidth="1"/>
    <col min="3586" max="3586" width="3.5546875" style="18" customWidth="1"/>
    <col min="3587" max="3831" width="9.109375" style="18"/>
    <col min="3832" max="3832" width="8.6640625" style="18" customWidth="1"/>
    <col min="3833" max="3833" width="9.88671875" style="18" customWidth="1"/>
    <col min="3834" max="3834" width="14.44140625" style="18" customWidth="1"/>
    <col min="3835" max="3835" width="7.33203125" style="18" customWidth="1"/>
    <col min="3836" max="3836" width="5.5546875" style="18" customWidth="1"/>
    <col min="3837" max="3837" width="9" style="18" customWidth="1"/>
    <col min="3838" max="3839" width="9.88671875" style="18" customWidth="1"/>
    <col min="3840" max="3840" width="11.109375" style="18" customWidth="1"/>
    <col min="3841" max="3841" width="2.88671875" style="18" customWidth="1"/>
    <col min="3842" max="3842" width="3.5546875" style="18" customWidth="1"/>
    <col min="3843" max="4087" width="9.109375" style="18"/>
    <col min="4088" max="4088" width="8.6640625" style="18" customWidth="1"/>
    <col min="4089" max="4089" width="9.88671875" style="18" customWidth="1"/>
    <col min="4090" max="4090" width="14.44140625" style="18" customWidth="1"/>
    <col min="4091" max="4091" width="7.33203125" style="18" customWidth="1"/>
    <col min="4092" max="4092" width="5.5546875" style="18" customWidth="1"/>
    <col min="4093" max="4093" width="9" style="18" customWidth="1"/>
    <col min="4094" max="4095" width="9.88671875" style="18" customWidth="1"/>
    <col min="4096" max="4096" width="11.109375" style="18" customWidth="1"/>
    <col min="4097" max="4097" width="2.88671875" style="18" customWidth="1"/>
    <col min="4098" max="4098" width="3.5546875" style="18" customWidth="1"/>
    <col min="4099" max="4343" width="9.109375" style="18"/>
    <col min="4344" max="4344" width="8.6640625" style="18" customWidth="1"/>
    <col min="4345" max="4345" width="9.88671875" style="18" customWidth="1"/>
    <col min="4346" max="4346" width="14.44140625" style="18" customWidth="1"/>
    <col min="4347" max="4347" width="7.33203125" style="18" customWidth="1"/>
    <col min="4348" max="4348" width="5.5546875" style="18" customWidth="1"/>
    <col min="4349" max="4349" width="9" style="18" customWidth="1"/>
    <col min="4350" max="4351" width="9.88671875" style="18" customWidth="1"/>
    <col min="4352" max="4352" width="11.109375" style="18" customWidth="1"/>
    <col min="4353" max="4353" width="2.88671875" style="18" customWidth="1"/>
    <col min="4354" max="4354" width="3.5546875" style="18" customWidth="1"/>
    <col min="4355" max="4599" width="9.109375" style="18"/>
    <col min="4600" max="4600" width="8.6640625" style="18" customWidth="1"/>
    <col min="4601" max="4601" width="9.88671875" style="18" customWidth="1"/>
    <col min="4602" max="4602" width="14.44140625" style="18" customWidth="1"/>
    <col min="4603" max="4603" width="7.33203125" style="18" customWidth="1"/>
    <col min="4604" max="4604" width="5.5546875" style="18" customWidth="1"/>
    <col min="4605" max="4605" width="9" style="18" customWidth="1"/>
    <col min="4606" max="4607" width="9.88671875" style="18" customWidth="1"/>
    <col min="4608" max="4608" width="11.109375" style="18" customWidth="1"/>
    <col min="4609" max="4609" width="2.88671875" style="18" customWidth="1"/>
    <col min="4610" max="4610" width="3.5546875" style="18" customWidth="1"/>
    <col min="4611" max="4855" width="9.109375" style="18"/>
    <col min="4856" max="4856" width="8.6640625" style="18" customWidth="1"/>
    <col min="4857" max="4857" width="9.88671875" style="18" customWidth="1"/>
    <col min="4858" max="4858" width="14.44140625" style="18" customWidth="1"/>
    <col min="4859" max="4859" width="7.33203125" style="18" customWidth="1"/>
    <col min="4860" max="4860" width="5.5546875" style="18" customWidth="1"/>
    <col min="4861" max="4861" width="9" style="18" customWidth="1"/>
    <col min="4862" max="4863" width="9.88671875" style="18" customWidth="1"/>
    <col min="4864" max="4864" width="11.109375" style="18" customWidth="1"/>
    <col min="4865" max="4865" width="2.88671875" style="18" customWidth="1"/>
    <col min="4866" max="4866" width="3.5546875" style="18" customWidth="1"/>
    <col min="4867" max="5111" width="9.109375" style="18"/>
    <col min="5112" max="5112" width="8.6640625" style="18" customWidth="1"/>
    <col min="5113" max="5113" width="9.88671875" style="18" customWidth="1"/>
    <col min="5114" max="5114" width="14.44140625" style="18" customWidth="1"/>
    <col min="5115" max="5115" width="7.33203125" style="18" customWidth="1"/>
    <col min="5116" max="5116" width="5.5546875" style="18" customWidth="1"/>
    <col min="5117" max="5117" width="9" style="18" customWidth="1"/>
    <col min="5118" max="5119" width="9.88671875" style="18" customWidth="1"/>
    <col min="5120" max="5120" width="11.109375" style="18" customWidth="1"/>
    <col min="5121" max="5121" width="2.88671875" style="18" customWidth="1"/>
    <col min="5122" max="5122" width="3.5546875" style="18" customWidth="1"/>
    <col min="5123" max="5367" width="9.109375" style="18"/>
    <col min="5368" max="5368" width="8.6640625" style="18" customWidth="1"/>
    <col min="5369" max="5369" width="9.88671875" style="18" customWidth="1"/>
    <col min="5370" max="5370" width="14.44140625" style="18" customWidth="1"/>
    <col min="5371" max="5371" width="7.33203125" style="18" customWidth="1"/>
    <col min="5372" max="5372" width="5.5546875" style="18" customWidth="1"/>
    <col min="5373" max="5373" width="9" style="18" customWidth="1"/>
    <col min="5374" max="5375" width="9.88671875" style="18" customWidth="1"/>
    <col min="5376" max="5376" width="11.109375" style="18" customWidth="1"/>
    <col min="5377" max="5377" width="2.88671875" style="18" customWidth="1"/>
    <col min="5378" max="5378" width="3.5546875" style="18" customWidth="1"/>
    <col min="5379" max="5623" width="9.109375" style="18"/>
    <col min="5624" max="5624" width="8.6640625" style="18" customWidth="1"/>
    <col min="5625" max="5625" width="9.88671875" style="18" customWidth="1"/>
    <col min="5626" max="5626" width="14.44140625" style="18" customWidth="1"/>
    <col min="5627" max="5627" width="7.33203125" style="18" customWidth="1"/>
    <col min="5628" max="5628" width="5.5546875" style="18" customWidth="1"/>
    <col min="5629" max="5629" width="9" style="18" customWidth="1"/>
    <col min="5630" max="5631" width="9.88671875" style="18" customWidth="1"/>
    <col min="5632" max="5632" width="11.109375" style="18" customWidth="1"/>
    <col min="5633" max="5633" width="2.88671875" style="18" customWidth="1"/>
    <col min="5634" max="5634" width="3.5546875" style="18" customWidth="1"/>
    <col min="5635" max="5879" width="9.109375" style="18"/>
    <col min="5880" max="5880" width="8.6640625" style="18" customWidth="1"/>
    <col min="5881" max="5881" width="9.88671875" style="18" customWidth="1"/>
    <col min="5882" max="5882" width="14.44140625" style="18" customWidth="1"/>
    <col min="5883" max="5883" width="7.33203125" style="18" customWidth="1"/>
    <col min="5884" max="5884" width="5.5546875" style="18" customWidth="1"/>
    <col min="5885" max="5885" width="9" style="18" customWidth="1"/>
    <col min="5886" max="5887" width="9.88671875" style="18" customWidth="1"/>
    <col min="5888" max="5888" width="11.109375" style="18" customWidth="1"/>
    <col min="5889" max="5889" width="2.88671875" style="18" customWidth="1"/>
    <col min="5890" max="5890" width="3.5546875" style="18" customWidth="1"/>
    <col min="5891" max="6135" width="9.109375" style="18"/>
    <col min="6136" max="6136" width="8.6640625" style="18" customWidth="1"/>
    <col min="6137" max="6137" width="9.88671875" style="18" customWidth="1"/>
    <col min="6138" max="6138" width="14.44140625" style="18" customWidth="1"/>
    <col min="6139" max="6139" width="7.33203125" style="18" customWidth="1"/>
    <col min="6140" max="6140" width="5.5546875" style="18" customWidth="1"/>
    <col min="6141" max="6141" width="9" style="18" customWidth="1"/>
    <col min="6142" max="6143" width="9.88671875" style="18" customWidth="1"/>
    <col min="6144" max="6144" width="11.109375" style="18" customWidth="1"/>
    <col min="6145" max="6145" width="2.88671875" style="18" customWidth="1"/>
    <col min="6146" max="6146" width="3.5546875" style="18" customWidth="1"/>
    <col min="6147" max="6391" width="9.109375" style="18"/>
    <col min="6392" max="6392" width="8.6640625" style="18" customWidth="1"/>
    <col min="6393" max="6393" width="9.88671875" style="18" customWidth="1"/>
    <col min="6394" max="6394" width="14.44140625" style="18" customWidth="1"/>
    <col min="6395" max="6395" width="7.33203125" style="18" customWidth="1"/>
    <col min="6396" max="6396" width="5.5546875" style="18" customWidth="1"/>
    <col min="6397" max="6397" width="9" style="18" customWidth="1"/>
    <col min="6398" max="6399" width="9.88671875" style="18" customWidth="1"/>
    <col min="6400" max="6400" width="11.109375" style="18" customWidth="1"/>
    <col min="6401" max="6401" width="2.88671875" style="18" customWidth="1"/>
    <col min="6402" max="6402" width="3.5546875" style="18" customWidth="1"/>
    <col min="6403" max="6647" width="9.109375" style="18"/>
    <col min="6648" max="6648" width="8.6640625" style="18" customWidth="1"/>
    <col min="6649" max="6649" width="9.88671875" style="18" customWidth="1"/>
    <col min="6650" max="6650" width="14.44140625" style="18" customWidth="1"/>
    <col min="6651" max="6651" width="7.33203125" style="18" customWidth="1"/>
    <col min="6652" max="6652" width="5.5546875" style="18" customWidth="1"/>
    <col min="6653" max="6653" width="9" style="18" customWidth="1"/>
    <col min="6654" max="6655" width="9.88671875" style="18" customWidth="1"/>
    <col min="6656" max="6656" width="11.109375" style="18" customWidth="1"/>
    <col min="6657" max="6657" width="2.88671875" style="18" customWidth="1"/>
    <col min="6658" max="6658" width="3.5546875" style="18" customWidth="1"/>
    <col min="6659" max="6903" width="9.109375" style="18"/>
    <col min="6904" max="6904" width="8.6640625" style="18" customWidth="1"/>
    <col min="6905" max="6905" width="9.88671875" style="18" customWidth="1"/>
    <col min="6906" max="6906" width="14.44140625" style="18" customWidth="1"/>
    <col min="6907" max="6907" width="7.33203125" style="18" customWidth="1"/>
    <col min="6908" max="6908" width="5.5546875" style="18" customWidth="1"/>
    <col min="6909" max="6909" width="9" style="18" customWidth="1"/>
    <col min="6910" max="6911" width="9.88671875" style="18" customWidth="1"/>
    <col min="6912" max="6912" width="11.109375" style="18" customWidth="1"/>
    <col min="6913" max="6913" width="2.88671875" style="18" customWidth="1"/>
    <col min="6914" max="6914" width="3.5546875" style="18" customWidth="1"/>
    <col min="6915" max="7159" width="9.109375" style="18"/>
    <col min="7160" max="7160" width="8.6640625" style="18" customWidth="1"/>
    <col min="7161" max="7161" width="9.88671875" style="18" customWidth="1"/>
    <col min="7162" max="7162" width="14.44140625" style="18" customWidth="1"/>
    <col min="7163" max="7163" width="7.33203125" style="18" customWidth="1"/>
    <col min="7164" max="7164" width="5.5546875" style="18" customWidth="1"/>
    <col min="7165" max="7165" width="9" style="18" customWidth="1"/>
    <col min="7166" max="7167" width="9.88671875" style="18" customWidth="1"/>
    <col min="7168" max="7168" width="11.109375" style="18" customWidth="1"/>
    <col min="7169" max="7169" width="2.88671875" style="18" customWidth="1"/>
    <col min="7170" max="7170" width="3.5546875" style="18" customWidth="1"/>
    <col min="7171" max="7415" width="9.109375" style="18"/>
    <col min="7416" max="7416" width="8.6640625" style="18" customWidth="1"/>
    <col min="7417" max="7417" width="9.88671875" style="18" customWidth="1"/>
    <col min="7418" max="7418" width="14.44140625" style="18" customWidth="1"/>
    <col min="7419" max="7419" width="7.33203125" style="18" customWidth="1"/>
    <col min="7420" max="7420" width="5.5546875" style="18" customWidth="1"/>
    <col min="7421" max="7421" width="9" style="18" customWidth="1"/>
    <col min="7422" max="7423" width="9.88671875" style="18" customWidth="1"/>
    <col min="7424" max="7424" width="11.109375" style="18" customWidth="1"/>
    <col min="7425" max="7425" width="2.88671875" style="18" customWidth="1"/>
    <col min="7426" max="7426" width="3.5546875" style="18" customWidth="1"/>
    <col min="7427" max="7671" width="9.109375" style="18"/>
    <col min="7672" max="7672" width="8.6640625" style="18" customWidth="1"/>
    <col min="7673" max="7673" width="9.88671875" style="18" customWidth="1"/>
    <col min="7674" max="7674" width="14.44140625" style="18" customWidth="1"/>
    <col min="7675" max="7675" width="7.33203125" style="18" customWidth="1"/>
    <col min="7676" max="7676" width="5.5546875" style="18" customWidth="1"/>
    <col min="7677" max="7677" width="9" style="18" customWidth="1"/>
    <col min="7678" max="7679" width="9.88671875" style="18" customWidth="1"/>
    <col min="7680" max="7680" width="11.109375" style="18" customWidth="1"/>
    <col min="7681" max="7681" width="2.88671875" style="18" customWidth="1"/>
    <col min="7682" max="7682" width="3.5546875" style="18" customWidth="1"/>
    <col min="7683" max="7927" width="9.109375" style="18"/>
    <col min="7928" max="7928" width="8.6640625" style="18" customWidth="1"/>
    <col min="7929" max="7929" width="9.88671875" style="18" customWidth="1"/>
    <col min="7930" max="7930" width="14.44140625" style="18" customWidth="1"/>
    <col min="7931" max="7931" width="7.33203125" style="18" customWidth="1"/>
    <col min="7932" max="7932" width="5.5546875" style="18" customWidth="1"/>
    <col min="7933" max="7933" width="9" style="18" customWidth="1"/>
    <col min="7934" max="7935" width="9.88671875" style="18" customWidth="1"/>
    <col min="7936" max="7936" width="11.109375" style="18" customWidth="1"/>
    <col min="7937" max="7937" width="2.88671875" style="18" customWidth="1"/>
    <col min="7938" max="7938" width="3.5546875" style="18" customWidth="1"/>
    <col min="7939" max="8183" width="9.109375" style="18"/>
    <col min="8184" max="8184" width="8.6640625" style="18" customWidth="1"/>
    <col min="8185" max="8185" width="9.88671875" style="18" customWidth="1"/>
    <col min="8186" max="8186" width="14.44140625" style="18" customWidth="1"/>
    <col min="8187" max="8187" width="7.33203125" style="18" customWidth="1"/>
    <col min="8188" max="8188" width="5.5546875" style="18" customWidth="1"/>
    <col min="8189" max="8189" width="9" style="18" customWidth="1"/>
    <col min="8190" max="8191" width="9.88671875" style="18" customWidth="1"/>
    <col min="8192" max="8192" width="11.109375" style="18" customWidth="1"/>
    <col min="8193" max="8193" width="2.88671875" style="18" customWidth="1"/>
    <col min="8194" max="8194" width="3.5546875" style="18" customWidth="1"/>
    <col min="8195" max="8439" width="9.109375" style="18"/>
    <col min="8440" max="8440" width="8.6640625" style="18" customWidth="1"/>
    <col min="8441" max="8441" width="9.88671875" style="18" customWidth="1"/>
    <col min="8442" max="8442" width="14.44140625" style="18" customWidth="1"/>
    <col min="8443" max="8443" width="7.33203125" style="18" customWidth="1"/>
    <col min="8444" max="8444" width="5.5546875" style="18" customWidth="1"/>
    <col min="8445" max="8445" width="9" style="18" customWidth="1"/>
    <col min="8446" max="8447" width="9.88671875" style="18" customWidth="1"/>
    <col min="8448" max="8448" width="11.109375" style="18" customWidth="1"/>
    <col min="8449" max="8449" width="2.88671875" style="18" customWidth="1"/>
    <col min="8450" max="8450" width="3.5546875" style="18" customWidth="1"/>
    <col min="8451" max="8695" width="9.109375" style="18"/>
    <col min="8696" max="8696" width="8.6640625" style="18" customWidth="1"/>
    <col min="8697" max="8697" width="9.88671875" style="18" customWidth="1"/>
    <col min="8698" max="8698" width="14.44140625" style="18" customWidth="1"/>
    <col min="8699" max="8699" width="7.33203125" style="18" customWidth="1"/>
    <col min="8700" max="8700" width="5.5546875" style="18" customWidth="1"/>
    <col min="8701" max="8701" width="9" style="18" customWidth="1"/>
    <col min="8702" max="8703" width="9.88671875" style="18" customWidth="1"/>
    <col min="8704" max="8704" width="11.109375" style="18" customWidth="1"/>
    <col min="8705" max="8705" width="2.88671875" style="18" customWidth="1"/>
    <col min="8706" max="8706" width="3.5546875" style="18" customWidth="1"/>
    <col min="8707" max="8951" width="9.109375" style="18"/>
    <col min="8952" max="8952" width="8.6640625" style="18" customWidth="1"/>
    <col min="8953" max="8953" width="9.88671875" style="18" customWidth="1"/>
    <col min="8954" max="8954" width="14.44140625" style="18" customWidth="1"/>
    <col min="8955" max="8955" width="7.33203125" style="18" customWidth="1"/>
    <col min="8956" max="8956" width="5.5546875" style="18" customWidth="1"/>
    <col min="8957" max="8957" width="9" style="18" customWidth="1"/>
    <col min="8958" max="8959" width="9.88671875" style="18" customWidth="1"/>
    <col min="8960" max="8960" width="11.109375" style="18" customWidth="1"/>
    <col min="8961" max="8961" width="2.88671875" style="18" customWidth="1"/>
    <col min="8962" max="8962" width="3.5546875" style="18" customWidth="1"/>
    <col min="8963" max="9207" width="9.109375" style="18"/>
    <col min="9208" max="9208" width="8.6640625" style="18" customWidth="1"/>
    <col min="9209" max="9209" width="9.88671875" style="18" customWidth="1"/>
    <col min="9210" max="9210" width="14.44140625" style="18" customWidth="1"/>
    <col min="9211" max="9211" width="7.33203125" style="18" customWidth="1"/>
    <col min="9212" max="9212" width="5.5546875" style="18" customWidth="1"/>
    <col min="9213" max="9213" width="9" style="18" customWidth="1"/>
    <col min="9214" max="9215" width="9.88671875" style="18" customWidth="1"/>
    <col min="9216" max="9216" width="11.109375" style="18" customWidth="1"/>
    <col min="9217" max="9217" width="2.88671875" style="18" customWidth="1"/>
    <col min="9218" max="9218" width="3.5546875" style="18" customWidth="1"/>
    <col min="9219" max="9463" width="9.109375" style="18"/>
    <col min="9464" max="9464" width="8.6640625" style="18" customWidth="1"/>
    <col min="9465" max="9465" width="9.88671875" style="18" customWidth="1"/>
    <col min="9466" max="9466" width="14.44140625" style="18" customWidth="1"/>
    <col min="9467" max="9467" width="7.33203125" style="18" customWidth="1"/>
    <col min="9468" max="9468" width="5.5546875" style="18" customWidth="1"/>
    <col min="9469" max="9469" width="9" style="18" customWidth="1"/>
    <col min="9470" max="9471" width="9.88671875" style="18" customWidth="1"/>
    <col min="9472" max="9472" width="11.109375" style="18" customWidth="1"/>
    <col min="9473" max="9473" width="2.88671875" style="18" customWidth="1"/>
    <col min="9474" max="9474" width="3.5546875" style="18" customWidth="1"/>
    <col min="9475" max="9719" width="9.109375" style="18"/>
    <col min="9720" max="9720" width="8.6640625" style="18" customWidth="1"/>
    <col min="9721" max="9721" width="9.88671875" style="18" customWidth="1"/>
    <col min="9722" max="9722" width="14.44140625" style="18" customWidth="1"/>
    <col min="9723" max="9723" width="7.33203125" style="18" customWidth="1"/>
    <col min="9724" max="9724" width="5.5546875" style="18" customWidth="1"/>
    <col min="9725" max="9725" width="9" style="18" customWidth="1"/>
    <col min="9726" max="9727" width="9.88671875" style="18" customWidth="1"/>
    <col min="9728" max="9728" width="11.109375" style="18" customWidth="1"/>
    <col min="9729" max="9729" width="2.88671875" style="18" customWidth="1"/>
    <col min="9730" max="9730" width="3.5546875" style="18" customWidth="1"/>
    <col min="9731" max="9975" width="9.109375" style="18"/>
    <col min="9976" max="9976" width="8.6640625" style="18" customWidth="1"/>
    <col min="9977" max="9977" width="9.88671875" style="18" customWidth="1"/>
    <col min="9978" max="9978" width="14.44140625" style="18" customWidth="1"/>
    <col min="9979" max="9979" width="7.33203125" style="18" customWidth="1"/>
    <col min="9980" max="9980" width="5.5546875" style="18" customWidth="1"/>
    <col min="9981" max="9981" width="9" style="18" customWidth="1"/>
    <col min="9982" max="9983" width="9.88671875" style="18" customWidth="1"/>
    <col min="9984" max="9984" width="11.109375" style="18" customWidth="1"/>
    <col min="9985" max="9985" width="2.88671875" style="18" customWidth="1"/>
    <col min="9986" max="9986" width="3.5546875" style="18" customWidth="1"/>
    <col min="9987" max="10231" width="9.109375" style="18"/>
    <col min="10232" max="10232" width="8.6640625" style="18" customWidth="1"/>
    <col min="10233" max="10233" width="9.88671875" style="18" customWidth="1"/>
    <col min="10234" max="10234" width="14.44140625" style="18" customWidth="1"/>
    <col min="10235" max="10235" width="7.33203125" style="18" customWidth="1"/>
    <col min="10236" max="10236" width="5.5546875" style="18" customWidth="1"/>
    <col min="10237" max="10237" width="9" style="18" customWidth="1"/>
    <col min="10238" max="10239" width="9.88671875" style="18" customWidth="1"/>
    <col min="10240" max="10240" width="11.109375" style="18" customWidth="1"/>
    <col min="10241" max="10241" width="2.88671875" style="18" customWidth="1"/>
    <col min="10242" max="10242" width="3.5546875" style="18" customWidth="1"/>
    <col min="10243" max="10487" width="9.109375" style="18"/>
    <col min="10488" max="10488" width="8.6640625" style="18" customWidth="1"/>
    <col min="10489" max="10489" width="9.88671875" style="18" customWidth="1"/>
    <col min="10490" max="10490" width="14.44140625" style="18" customWidth="1"/>
    <col min="10491" max="10491" width="7.33203125" style="18" customWidth="1"/>
    <col min="10492" max="10492" width="5.5546875" style="18" customWidth="1"/>
    <col min="10493" max="10493" width="9" style="18" customWidth="1"/>
    <col min="10494" max="10495" width="9.88671875" style="18" customWidth="1"/>
    <col min="10496" max="10496" width="11.109375" style="18" customWidth="1"/>
    <col min="10497" max="10497" width="2.88671875" style="18" customWidth="1"/>
    <col min="10498" max="10498" width="3.5546875" style="18" customWidth="1"/>
    <col min="10499" max="10743" width="9.109375" style="18"/>
    <col min="10744" max="10744" width="8.6640625" style="18" customWidth="1"/>
    <col min="10745" max="10745" width="9.88671875" style="18" customWidth="1"/>
    <col min="10746" max="10746" width="14.44140625" style="18" customWidth="1"/>
    <col min="10747" max="10747" width="7.33203125" style="18" customWidth="1"/>
    <col min="10748" max="10748" width="5.5546875" style="18" customWidth="1"/>
    <col min="10749" max="10749" width="9" style="18" customWidth="1"/>
    <col min="10750" max="10751" width="9.88671875" style="18" customWidth="1"/>
    <col min="10752" max="10752" width="11.109375" style="18" customWidth="1"/>
    <col min="10753" max="10753" width="2.88671875" style="18" customWidth="1"/>
    <col min="10754" max="10754" width="3.5546875" style="18" customWidth="1"/>
    <col min="10755" max="10999" width="9.109375" style="18"/>
    <col min="11000" max="11000" width="8.6640625" style="18" customWidth="1"/>
    <col min="11001" max="11001" width="9.88671875" style="18" customWidth="1"/>
    <col min="11002" max="11002" width="14.44140625" style="18" customWidth="1"/>
    <col min="11003" max="11003" width="7.33203125" style="18" customWidth="1"/>
    <col min="11004" max="11004" width="5.5546875" style="18" customWidth="1"/>
    <col min="11005" max="11005" width="9" style="18" customWidth="1"/>
    <col min="11006" max="11007" width="9.88671875" style="18" customWidth="1"/>
    <col min="11008" max="11008" width="11.109375" style="18" customWidth="1"/>
    <col min="11009" max="11009" width="2.88671875" style="18" customWidth="1"/>
    <col min="11010" max="11010" width="3.5546875" style="18" customWidth="1"/>
    <col min="11011" max="11255" width="9.109375" style="18"/>
    <col min="11256" max="11256" width="8.6640625" style="18" customWidth="1"/>
    <col min="11257" max="11257" width="9.88671875" style="18" customWidth="1"/>
    <col min="11258" max="11258" width="14.44140625" style="18" customWidth="1"/>
    <col min="11259" max="11259" width="7.33203125" style="18" customWidth="1"/>
    <col min="11260" max="11260" width="5.5546875" style="18" customWidth="1"/>
    <col min="11261" max="11261" width="9" style="18" customWidth="1"/>
    <col min="11262" max="11263" width="9.88671875" style="18" customWidth="1"/>
    <col min="11264" max="11264" width="11.109375" style="18" customWidth="1"/>
    <col min="11265" max="11265" width="2.88671875" style="18" customWidth="1"/>
    <col min="11266" max="11266" width="3.5546875" style="18" customWidth="1"/>
    <col min="11267" max="11511" width="9.109375" style="18"/>
    <col min="11512" max="11512" width="8.6640625" style="18" customWidth="1"/>
    <col min="11513" max="11513" width="9.88671875" style="18" customWidth="1"/>
    <col min="11514" max="11514" width="14.44140625" style="18" customWidth="1"/>
    <col min="11515" max="11515" width="7.33203125" style="18" customWidth="1"/>
    <col min="11516" max="11516" width="5.5546875" style="18" customWidth="1"/>
    <col min="11517" max="11517" width="9" style="18" customWidth="1"/>
    <col min="11518" max="11519" width="9.88671875" style="18" customWidth="1"/>
    <col min="11520" max="11520" width="11.109375" style="18" customWidth="1"/>
    <col min="11521" max="11521" width="2.88671875" style="18" customWidth="1"/>
    <col min="11522" max="11522" width="3.5546875" style="18" customWidth="1"/>
    <col min="11523" max="11767" width="9.109375" style="18"/>
    <col min="11768" max="11768" width="8.6640625" style="18" customWidth="1"/>
    <col min="11769" max="11769" width="9.88671875" style="18" customWidth="1"/>
    <col min="11770" max="11770" width="14.44140625" style="18" customWidth="1"/>
    <col min="11771" max="11771" width="7.33203125" style="18" customWidth="1"/>
    <col min="11772" max="11772" width="5.5546875" style="18" customWidth="1"/>
    <col min="11773" max="11773" width="9" style="18" customWidth="1"/>
    <col min="11774" max="11775" width="9.88671875" style="18" customWidth="1"/>
    <col min="11776" max="11776" width="11.109375" style="18" customWidth="1"/>
    <col min="11777" max="11777" width="2.88671875" style="18" customWidth="1"/>
    <col min="11778" max="11778" width="3.5546875" style="18" customWidth="1"/>
    <col min="11779" max="12023" width="9.109375" style="18"/>
    <col min="12024" max="12024" width="8.6640625" style="18" customWidth="1"/>
    <col min="12025" max="12025" width="9.88671875" style="18" customWidth="1"/>
    <col min="12026" max="12026" width="14.44140625" style="18" customWidth="1"/>
    <col min="12027" max="12027" width="7.33203125" style="18" customWidth="1"/>
    <col min="12028" max="12028" width="5.5546875" style="18" customWidth="1"/>
    <col min="12029" max="12029" width="9" style="18" customWidth="1"/>
    <col min="12030" max="12031" width="9.88671875" style="18" customWidth="1"/>
    <col min="12032" max="12032" width="11.109375" style="18" customWidth="1"/>
    <col min="12033" max="12033" width="2.88671875" style="18" customWidth="1"/>
    <col min="12034" max="12034" width="3.5546875" style="18" customWidth="1"/>
    <col min="12035" max="12279" width="9.109375" style="18"/>
    <col min="12280" max="12280" width="8.6640625" style="18" customWidth="1"/>
    <col min="12281" max="12281" width="9.88671875" style="18" customWidth="1"/>
    <col min="12282" max="12282" width="14.44140625" style="18" customWidth="1"/>
    <col min="12283" max="12283" width="7.33203125" style="18" customWidth="1"/>
    <col min="12284" max="12284" width="5.5546875" style="18" customWidth="1"/>
    <col min="12285" max="12285" width="9" style="18" customWidth="1"/>
    <col min="12286" max="12287" width="9.88671875" style="18" customWidth="1"/>
    <col min="12288" max="12288" width="11.109375" style="18" customWidth="1"/>
    <col min="12289" max="12289" width="2.88671875" style="18" customWidth="1"/>
    <col min="12290" max="12290" width="3.5546875" style="18" customWidth="1"/>
    <col min="12291" max="12535" width="9.109375" style="18"/>
    <col min="12536" max="12536" width="8.6640625" style="18" customWidth="1"/>
    <col min="12537" max="12537" width="9.88671875" style="18" customWidth="1"/>
    <col min="12538" max="12538" width="14.44140625" style="18" customWidth="1"/>
    <col min="12539" max="12539" width="7.33203125" style="18" customWidth="1"/>
    <col min="12540" max="12540" width="5.5546875" style="18" customWidth="1"/>
    <col min="12541" max="12541" width="9" style="18" customWidth="1"/>
    <col min="12542" max="12543" width="9.88671875" style="18" customWidth="1"/>
    <col min="12544" max="12544" width="11.109375" style="18" customWidth="1"/>
    <col min="12545" max="12545" width="2.88671875" style="18" customWidth="1"/>
    <col min="12546" max="12546" width="3.5546875" style="18" customWidth="1"/>
    <col min="12547" max="12791" width="9.109375" style="18"/>
    <col min="12792" max="12792" width="8.6640625" style="18" customWidth="1"/>
    <col min="12793" max="12793" width="9.88671875" style="18" customWidth="1"/>
    <col min="12794" max="12794" width="14.44140625" style="18" customWidth="1"/>
    <col min="12795" max="12795" width="7.33203125" style="18" customWidth="1"/>
    <col min="12796" max="12796" width="5.5546875" style="18" customWidth="1"/>
    <col min="12797" max="12797" width="9" style="18" customWidth="1"/>
    <col min="12798" max="12799" width="9.88671875" style="18" customWidth="1"/>
    <col min="12800" max="12800" width="11.109375" style="18" customWidth="1"/>
    <col min="12801" max="12801" width="2.88671875" style="18" customWidth="1"/>
    <col min="12802" max="12802" width="3.5546875" style="18" customWidth="1"/>
    <col min="12803" max="13047" width="9.109375" style="18"/>
    <col min="13048" max="13048" width="8.6640625" style="18" customWidth="1"/>
    <col min="13049" max="13049" width="9.88671875" style="18" customWidth="1"/>
    <col min="13050" max="13050" width="14.44140625" style="18" customWidth="1"/>
    <col min="13051" max="13051" width="7.33203125" style="18" customWidth="1"/>
    <col min="13052" max="13052" width="5.5546875" style="18" customWidth="1"/>
    <col min="13053" max="13053" width="9" style="18" customWidth="1"/>
    <col min="13054" max="13055" width="9.88671875" style="18" customWidth="1"/>
    <col min="13056" max="13056" width="11.109375" style="18" customWidth="1"/>
    <col min="13057" max="13057" width="2.88671875" style="18" customWidth="1"/>
    <col min="13058" max="13058" width="3.5546875" style="18" customWidth="1"/>
    <col min="13059" max="13303" width="9.109375" style="18"/>
    <col min="13304" max="13304" width="8.6640625" style="18" customWidth="1"/>
    <col min="13305" max="13305" width="9.88671875" style="18" customWidth="1"/>
    <col min="13306" max="13306" width="14.44140625" style="18" customWidth="1"/>
    <col min="13307" max="13307" width="7.33203125" style="18" customWidth="1"/>
    <col min="13308" max="13308" width="5.5546875" style="18" customWidth="1"/>
    <col min="13309" max="13309" width="9" style="18" customWidth="1"/>
    <col min="13310" max="13311" width="9.88671875" style="18" customWidth="1"/>
    <col min="13312" max="13312" width="11.109375" style="18" customWidth="1"/>
    <col min="13313" max="13313" width="2.88671875" style="18" customWidth="1"/>
    <col min="13314" max="13314" width="3.5546875" style="18" customWidth="1"/>
    <col min="13315" max="13559" width="9.109375" style="18"/>
    <col min="13560" max="13560" width="8.6640625" style="18" customWidth="1"/>
    <col min="13561" max="13561" width="9.88671875" style="18" customWidth="1"/>
    <col min="13562" max="13562" width="14.44140625" style="18" customWidth="1"/>
    <col min="13563" max="13563" width="7.33203125" style="18" customWidth="1"/>
    <col min="13564" max="13564" width="5.5546875" style="18" customWidth="1"/>
    <col min="13565" max="13565" width="9" style="18" customWidth="1"/>
    <col min="13566" max="13567" width="9.88671875" style="18" customWidth="1"/>
    <col min="13568" max="13568" width="11.109375" style="18" customWidth="1"/>
    <col min="13569" max="13569" width="2.88671875" style="18" customWidth="1"/>
    <col min="13570" max="13570" width="3.5546875" style="18" customWidth="1"/>
    <col min="13571" max="13815" width="9.109375" style="18"/>
    <col min="13816" max="13816" width="8.6640625" style="18" customWidth="1"/>
    <col min="13817" max="13817" width="9.88671875" style="18" customWidth="1"/>
    <col min="13818" max="13818" width="14.44140625" style="18" customWidth="1"/>
    <col min="13819" max="13819" width="7.33203125" style="18" customWidth="1"/>
    <col min="13820" max="13820" width="5.5546875" style="18" customWidth="1"/>
    <col min="13821" max="13821" width="9" style="18" customWidth="1"/>
    <col min="13822" max="13823" width="9.88671875" style="18" customWidth="1"/>
    <col min="13824" max="13824" width="11.109375" style="18" customWidth="1"/>
    <col min="13825" max="13825" width="2.88671875" style="18" customWidth="1"/>
    <col min="13826" max="13826" width="3.5546875" style="18" customWidth="1"/>
    <col min="13827" max="14071" width="9.109375" style="18"/>
    <col min="14072" max="14072" width="8.6640625" style="18" customWidth="1"/>
    <col min="14073" max="14073" width="9.88671875" style="18" customWidth="1"/>
    <col min="14074" max="14074" width="14.44140625" style="18" customWidth="1"/>
    <col min="14075" max="14075" width="7.33203125" style="18" customWidth="1"/>
    <col min="14076" max="14076" width="5.5546875" style="18" customWidth="1"/>
    <col min="14077" max="14077" width="9" style="18" customWidth="1"/>
    <col min="14078" max="14079" width="9.88671875" style="18" customWidth="1"/>
    <col min="14080" max="14080" width="11.109375" style="18" customWidth="1"/>
    <col min="14081" max="14081" width="2.88671875" style="18" customWidth="1"/>
    <col min="14082" max="14082" width="3.5546875" style="18" customWidth="1"/>
    <col min="14083" max="14327" width="9.109375" style="18"/>
    <col min="14328" max="14328" width="8.6640625" style="18" customWidth="1"/>
    <col min="14329" max="14329" width="9.88671875" style="18" customWidth="1"/>
    <col min="14330" max="14330" width="14.44140625" style="18" customWidth="1"/>
    <col min="14331" max="14331" width="7.33203125" style="18" customWidth="1"/>
    <col min="14332" max="14332" width="5.5546875" style="18" customWidth="1"/>
    <col min="14333" max="14333" width="9" style="18" customWidth="1"/>
    <col min="14334" max="14335" width="9.88671875" style="18" customWidth="1"/>
    <col min="14336" max="14336" width="11.109375" style="18" customWidth="1"/>
    <col min="14337" max="14337" width="2.88671875" style="18" customWidth="1"/>
    <col min="14338" max="14338" width="3.5546875" style="18" customWidth="1"/>
    <col min="14339" max="14583" width="9.109375" style="18"/>
    <col min="14584" max="14584" width="8.6640625" style="18" customWidth="1"/>
    <col min="14585" max="14585" width="9.88671875" style="18" customWidth="1"/>
    <col min="14586" max="14586" width="14.44140625" style="18" customWidth="1"/>
    <col min="14587" max="14587" width="7.33203125" style="18" customWidth="1"/>
    <col min="14588" max="14588" width="5.5546875" style="18" customWidth="1"/>
    <col min="14589" max="14589" width="9" style="18" customWidth="1"/>
    <col min="14590" max="14591" width="9.88671875" style="18" customWidth="1"/>
    <col min="14592" max="14592" width="11.109375" style="18" customWidth="1"/>
    <col min="14593" max="14593" width="2.88671875" style="18" customWidth="1"/>
    <col min="14594" max="14594" width="3.5546875" style="18" customWidth="1"/>
    <col min="14595" max="14839" width="9.109375" style="18"/>
    <col min="14840" max="14840" width="8.6640625" style="18" customWidth="1"/>
    <col min="14841" max="14841" width="9.88671875" style="18" customWidth="1"/>
    <col min="14842" max="14842" width="14.44140625" style="18" customWidth="1"/>
    <col min="14843" max="14843" width="7.33203125" style="18" customWidth="1"/>
    <col min="14844" max="14844" width="5.5546875" style="18" customWidth="1"/>
    <col min="14845" max="14845" width="9" style="18" customWidth="1"/>
    <col min="14846" max="14847" width="9.88671875" style="18" customWidth="1"/>
    <col min="14848" max="14848" width="11.109375" style="18" customWidth="1"/>
    <col min="14849" max="14849" width="2.88671875" style="18" customWidth="1"/>
    <col min="14850" max="14850" width="3.5546875" style="18" customWidth="1"/>
    <col min="14851" max="15095" width="9.109375" style="18"/>
    <col min="15096" max="15096" width="8.6640625" style="18" customWidth="1"/>
    <col min="15097" max="15097" width="9.88671875" style="18" customWidth="1"/>
    <col min="15098" max="15098" width="14.44140625" style="18" customWidth="1"/>
    <col min="15099" max="15099" width="7.33203125" style="18" customWidth="1"/>
    <col min="15100" max="15100" width="5.5546875" style="18" customWidth="1"/>
    <col min="15101" max="15101" width="9" style="18" customWidth="1"/>
    <col min="15102" max="15103" width="9.88671875" style="18" customWidth="1"/>
    <col min="15104" max="15104" width="11.109375" style="18" customWidth="1"/>
    <col min="15105" max="15105" width="2.88671875" style="18" customWidth="1"/>
    <col min="15106" max="15106" width="3.5546875" style="18" customWidth="1"/>
    <col min="15107" max="15351" width="9.109375" style="18"/>
    <col min="15352" max="15352" width="8.6640625" style="18" customWidth="1"/>
    <col min="15353" max="15353" width="9.88671875" style="18" customWidth="1"/>
    <col min="15354" max="15354" width="14.44140625" style="18" customWidth="1"/>
    <col min="15355" max="15355" width="7.33203125" style="18" customWidth="1"/>
    <col min="15356" max="15356" width="5.5546875" style="18" customWidth="1"/>
    <col min="15357" max="15357" width="9" style="18" customWidth="1"/>
    <col min="15358" max="15359" width="9.88671875" style="18" customWidth="1"/>
    <col min="15360" max="15360" width="11.109375" style="18" customWidth="1"/>
    <col min="15361" max="15361" width="2.88671875" style="18" customWidth="1"/>
    <col min="15362" max="15362" width="3.5546875" style="18" customWidth="1"/>
    <col min="15363" max="15607" width="9.109375" style="18"/>
    <col min="15608" max="15608" width="8.6640625" style="18" customWidth="1"/>
    <col min="15609" max="15609" width="9.88671875" style="18" customWidth="1"/>
    <col min="15610" max="15610" width="14.44140625" style="18" customWidth="1"/>
    <col min="15611" max="15611" width="7.33203125" style="18" customWidth="1"/>
    <col min="15612" max="15612" width="5.5546875" style="18" customWidth="1"/>
    <col min="15613" max="15613" width="9" style="18" customWidth="1"/>
    <col min="15614" max="15615" width="9.88671875" style="18" customWidth="1"/>
    <col min="15616" max="15616" width="11.109375" style="18" customWidth="1"/>
    <col min="15617" max="15617" width="2.88671875" style="18" customWidth="1"/>
    <col min="15618" max="15618" width="3.5546875" style="18" customWidth="1"/>
    <col min="15619" max="15863" width="9.109375" style="18"/>
    <col min="15864" max="15864" width="8.6640625" style="18" customWidth="1"/>
    <col min="15865" max="15865" width="9.88671875" style="18" customWidth="1"/>
    <col min="15866" max="15866" width="14.44140625" style="18" customWidth="1"/>
    <col min="15867" max="15867" width="7.33203125" style="18" customWidth="1"/>
    <col min="15868" max="15868" width="5.5546875" style="18" customWidth="1"/>
    <col min="15869" max="15869" width="9" style="18" customWidth="1"/>
    <col min="15870" max="15871" width="9.88671875" style="18" customWidth="1"/>
    <col min="15872" max="15872" width="11.109375" style="18" customWidth="1"/>
    <col min="15873" max="15873" width="2.88671875" style="18" customWidth="1"/>
    <col min="15874" max="15874" width="3.5546875" style="18" customWidth="1"/>
    <col min="15875" max="16119" width="9.109375" style="18"/>
    <col min="16120" max="16120" width="8.6640625" style="18" customWidth="1"/>
    <col min="16121" max="16121" width="9.88671875" style="18" customWidth="1"/>
    <col min="16122" max="16122" width="14.44140625" style="18" customWidth="1"/>
    <col min="16123" max="16123" width="7.33203125" style="18" customWidth="1"/>
    <col min="16124" max="16124" width="5.5546875" style="18" customWidth="1"/>
    <col min="16125" max="16125" width="9" style="18" customWidth="1"/>
    <col min="16126" max="16127" width="9.88671875" style="18" customWidth="1"/>
    <col min="16128" max="16128" width="11.109375" style="18" customWidth="1"/>
    <col min="16129" max="16129" width="2.88671875" style="18" customWidth="1"/>
    <col min="16130" max="16130" width="3.5546875" style="18" customWidth="1"/>
    <col min="16131" max="16384" width="9.109375" style="18"/>
  </cols>
  <sheetData>
    <row r="1" spans="1:8" ht="46.5" customHeight="1" x14ac:dyDescent="0.3">
      <c r="A1" s="123" t="s">
        <v>204</v>
      </c>
      <c r="B1" s="123"/>
      <c r="C1" s="123"/>
      <c r="D1" s="123"/>
      <c r="E1" s="123"/>
      <c r="F1" s="123"/>
      <c r="G1" s="123"/>
      <c r="H1" s="123"/>
    </row>
    <row r="2" spans="1:8" ht="16.5" customHeight="1" x14ac:dyDescent="0.3">
      <c r="A2" s="70" t="s">
        <v>0</v>
      </c>
      <c r="B2" s="70"/>
      <c r="C2" s="70"/>
      <c r="D2" s="70"/>
      <c r="E2" s="70"/>
      <c r="F2" s="70"/>
      <c r="G2" s="70"/>
      <c r="H2" s="70"/>
    </row>
    <row r="3" spans="1:8" x14ac:dyDescent="0.3">
      <c r="A3" s="83" t="s">
        <v>1</v>
      </c>
      <c r="B3" s="83"/>
      <c r="C3" s="83"/>
      <c r="D3" s="83"/>
      <c r="E3" s="83" t="str">
        <f ca="1">TEXT(TODAY(),"DD/MM/YYYY")</f>
        <v>20/08/2025</v>
      </c>
      <c r="F3" s="83"/>
      <c r="G3" s="83"/>
      <c r="H3" s="83"/>
    </row>
    <row r="4" spans="1:8" ht="15" customHeight="1" x14ac:dyDescent="0.3">
      <c r="A4" s="83" t="s">
        <v>2</v>
      </c>
      <c r="B4" s="83"/>
      <c r="C4" s="83"/>
      <c r="D4" s="83"/>
      <c r="E4" s="83" t="s">
        <v>168</v>
      </c>
      <c r="F4" s="83"/>
      <c r="G4" s="83"/>
      <c r="H4" s="83"/>
    </row>
    <row r="5" spans="1:8" x14ac:dyDescent="0.3">
      <c r="A5" s="83" t="s">
        <v>3</v>
      </c>
      <c r="B5" s="83"/>
      <c r="C5" s="83"/>
      <c r="D5" s="83"/>
      <c r="E5" s="122">
        <v>45882</v>
      </c>
      <c r="F5" s="83"/>
      <c r="G5" s="83"/>
      <c r="H5" s="83"/>
    </row>
    <row r="6" spans="1:8" ht="16.5" customHeight="1" x14ac:dyDescent="0.3">
      <c r="A6" s="83" t="s">
        <v>4</v>
      </c>
      <c r="B6" s="83"/>
      <c r="C6" s="83"/>
      <c r="D6" s="83"/>
      <c r="E6" s="83" t="s">
        <v>169</v>
      </c>
      <c r="F6" s="83"/>
      <c r="G6" s="83"/>
      <c r="H6" s="83"/>
    </row>
    <row r="7" spans="1:8" ht="15" customHeight="1" x14ac:dyDescent="0.3">
      <c r="A7" s="83" t="s">
        <v>5</v>
      </c>
      <c r="B7" s="83"/>
      <c r="C7" s="83"/>
      <c r="D7" s="83"/>
      <c r="E7" s="83" t="str">
        <f>E6</f>
        <v>M/s. Sadguru Associate</v>
      </c>
      <c r="F7" s="83"/>
      <c r="G7" s="83"/>
      <c r="H7" s="83"/>
    </row>
    <row r="8" spans="1:8" x14ac:dyDescent="0.3">
      <c r="A8" s="83" t="s">
        <v>6</v>
      </c>
      <c r="B8" s="83"/>
      <c r="C8" s="83"/>
      <c r="D8" s="83"/>
      <c r="E8" s="103" t="s">
        <v>170</v>
      </c>
      <c r="F8" s="103"/>
      <c r="G8" s="103"/>
      <c r="H8" s="103"/>
    </row>
    <row r="9" spans="1:8" x14ac:dyDescent="0.3">
      <c r="A9" s="83" t="s">
        <v>124</v>
      </c>
      <c r="B9" s="83"/>
      <c r="C9" s="83"/>
      <c r="D9" s="83"/>
      <c r="E9" s="83" t="s">
        <v>214</v>
      </c>
      <c r="F9" s="83"/>
      <c r="G9" s="83"/>
      <c r="H9" s="83"/>
    </row>
    <row r="10" spans="1:8" hidden="1" x14ac:dyDescent="0.3">
      <c r="A10" s="83" t="s">
        <v>207</v>
      </c>
      <c r="B10" s="83"/>
      <c r="C10" s="83"/>
      <c r="D10" s="83"/>
      <c r="E10" s="83" t="s">
        <v>208</v>
      </c>
      <c r="F10" s="83"/>
      <c r="G10" s="83"/>
      <c r="H10" s="83"/>
    </row>
    <row r="11" spans="1:8" x14ac:dyDescent="0.3">
      <c r="A11" s="83" t="s">
        <v>7</v>
      </c>
      <c r="B11" s="83"/>
      <c r="C11" s="83"/>
      <c r="D11" s="83"/>
      <c r="E11" s="83" t="s">
        <v>171</v>
      </c>
      <c r="F11" s="83"/>
      <c r="G11" s="83"/>
      <c r="H11" s="83"/>
    </row>
    <row r="12" spans="1:8" x14ac:dyDescent="0.3">
      <c r="A12" s="109" t="s">
        <v>8</v>
      </c>
      <c r="B12" s="109"/>
      <c r="C12" s="109"/>
      <c r="D12" s="109"/>
      <c r="E12" s="72" t="s">
        <v>172</v>
      </c>
      <c r="F12" s="72"/>
      <c r="G12" s="72"/>
      <c r="H12" s="72"/>
    </row>
    <row r="13" spans="1:8" ht="33.75" customHeight="1" x14ac:dyDescent="0.3">
      <c r="A13" s="109" t="s">
        <v>9</v>
      </c>
      <c r="B13" s="109"/>
      <c r="C13" s="109"/>
      <c r="D13" s="109"/>
      <c r="E13" s="72" t="s">
        <v>194</v>
      </c>
      <c r="F13" s="83"/>
      <c r="G13" s="83"/>
      <c r="H13" s="83"/>
    </row>
    <row r="14" spans="1:8" ht="33" customHeight="1" x14ac:dyDescent="0.3">
      <c r="A14" s="72" t="s">
        <v>10</v>
      </c>
      <c r="B14" s="72"/>
      <c r="C14" s="72" t="str">
        <f>CONCATENATE((IF(OR(E8="",E8="NA"),"",E8)),", ",(IF(OR(A15="",A15="NA"),"",A15)),".",(IF(OR(C15="",C15="NA"),"",C15)),", near ",(IF(OR(C20="",C20="NA"),"",C20)),", ",(IF(OR(C17="",C17="NA"),"",C17)),", ",(IF(OR(C16="",C16="NA"),"",C16)),", ",(IF(OR(G17="",G17="NA"),"",G17)),", ",(IF(OR(C18="",C18="NA"),"",C18)),", ",(IF(OR(C19="",C19="NA"),"",C19)),", ",(IF(OR(G18="",G18="NA"),"",G18))," - ",(IF(OR(G19="",G19="NA"),"",G19)),".")</f>
        <v>Sadguru Harmony Phase 3 &amp; 4, Gut No.158/2, 4, 6 &amp; 218, 219/1/2, near Deep Aagan Co. Housing Society, Internal Road, , Valivali, Badlapur, Ambarnath, Thane - 421503.</v>
      </c>
      <c r="D14" s="72"/>
      <c r="E14" s="72"/>
      <c r="F14" s="72"/>
      <c r="G14" s="72"/>
      <c r="H14" s="72"/>
    </row>
    <row r="15" spans="1:8" x14ac:dyDescent="0.3">
      <c r="A15" s="72" t="s">
        <v>173</v>
      </c>
      <c r="B15" s="72"/>
      <c r="C15" s="72" t="s">
        <v>174</v>
      </c>
      <c r="D15" s="72"/>
      <c r="E15" s="72"/>
      <c r="F15" s="72"/>
      <c r="G15" s="72"/>
      <c r="H15" s="72"/>
    </row>
    <row r="16" spans="1:8" ht="15.75" hidden="1" customHeight="1" x14ac:dyDescent="0.3">
      <c r="A16" s="77" t="s">
        <v>167</v>
      </c>
      <c r="B16" s="78"/>
      <c r="C16" s="77" t="s">
        <v>30</v>
      </c>
      <c r="D16" s="148"/>
      <c r="E16" s="148"/>
      <c r="F16" s="148"/>
      <c r="G16" s="148"/>
      <c r="H16" s="78"/>
    </row>
    <row r="17" spans="1:8" ht="15.75" customHeight="1" x14ac:dyDescent="0.3">
      <c r="A17" s="72" t="s">
        <v>11</v>
      </c>
      <c r="B17" s="72"/>
      <c r="C17" s="83" t="s">
        <v>179</v>
      </c>
      <c r="D17" s="83"/>
      <c r="E17" s="72" t="s">
        <v>75</v>
      </c>
      <c r="F17" s="72"/>
      <c r="G17" s="72" t="s">
        <v>175</v>
      </c>
      <c r="H17" s="72"/>
    </row>
    <row r="18" spans="1:8" x14ac:dyDescent="0.3">
      <c r="A18" s="83" t="s">
        <v>13</v>
      </c>
      <c r="B18" s="83"/>
      <c r="C18" s="72" t="s">
        <v>185</v>
      </c>
      <c r="D18" s="72"/>
      <c r="E18" s="72" t="s">
        <v>12</v>
      </c>
      <c r="F18" s="72"/>
      <c r="G18" s="121" t="s">
        <v>176</v>
      </c>
      <c r="H18" s="121"/>
    </row>
    <row r="19" spans="1:8" x14ac:dyDescent="0.3">
      <c r="A19" s="83" t="s">
        <v>76</v>
      </c>
      <c r="B19" s="83"/>
      <c r="C19" s="72" t="s">
        <v>177</v>
      </c>
      <c r="D19" s="72"/>
      <c r="E19" s="72" t="s">
        <v>14</v>
      </c>
      <c r="F19" s="72"/>
      <c r="G19" s="72">
        <v>421503</v>
      </c>
      <c r="H19" s="72"/>
    </row>
    <row r="20" spans="1:8" ht="32.25" customHeight="1" x14ac:dyDescent="0.3">
      <c r="A20" s="83" t="s">
        <v>125</v>
      </c>
      <c r="B20" s="83"/>
      <c r="C20" s="72" t="s">
        <v>182</v>
      </c>
      <c r="D20" s="72"/>
      <c r="E20" s="72" t="s">
        <v>15</v>
      </c>
      <c r="F20" s="72"/>
      <c r="G20" s="72" t="s">
        <v>184</v>
      </c>
      <c r="H20" s="72"/>
    </row>
    <row r="21" spans="1:8" ht="15" customHeight="1" x14ac:dyDescent="0.3">
      <c r="A21" s="110" t="s">
        <v>78</v>
      </c>
      <c r="B21" s="110"/>
      <c r="C21" s="110"/>
      <c r="D21" s="110"/>
      <c r="E21" s="83" t="s">
        <v>16</v>
      </c>
      <c r="F21" s="83"/>
      <c r="G21" s="83"/>
      <c r="H21" s="83"/>
    </row>
    <row r="22" spans="1:8" ht="18.75" customHeight="1" x14ac:dyDescent="0.3">
      <c r="A22" s="110"/>
      <c r="B22" s="110"/>
      <c r="C22" s="110"/>
      <c r="D22" s="110"/>
      <c r="E22" s="83"/>
      <c r="F22" s="83"/>
      <c r="G22" s="83"/>
      <c r="H22" s="83"/>
    </row>
    <row r="23" spans="1:8" ht="15" customHeight="1" x14ac:dyDescent="0.3">
      <c r="A23" s="110" t="s">
        <v>17</v>
      </c>
      <c r="B23" s="110"/>
      <c r="C23" s="110"/>
      <c r="D23" s="110"/>
      <c r="E23" s="72" t="s">
        <v>18</v>
      </c>
      <c r="F23" s="72"/>
      <c r="G23" s="72"/>
      <c r="H23" s="72"/>
    </row>
    <row r="24" spans="1:8" ht="15" customHeight="1" x14ac:dyDescent="0.3">
      <c r="A24" s="109" t="s">
        <v>19</v>
      </c>
      <c r="B24" s="109"/>
      <c r="C24" s="109"/>
      <c r="D24" s="109"/>
      <c r="E24" s="72" t="str">
        <f>IF(AND(G18="Mumbai"),"Upper Class","Middle Class")</f>
        <v>Middle Class</v>
      </c>
      <c r="F24" s="72"/>
      <c r="G24" s="72"/>
      <c r="H24" s="72"/>
    </row>
    <row r="25" spans="1:8" x14ac:dyDescent="0.3">
      <c r="A25" s="109" t="s">
        <v>20</v>
      </c>
      <c r="B25" s="109"/>
      <c r="C25" s="109"/>
      <c r="D25" s="109"/>
      <c r="E25" s="72" t="s">
        <v>21</v>
      </c>
      <c r="F25" s="72"/>
      <c r="G25" s="72"/>
      <c r="H25" s="72"/>
    </row>
    <row r="26" spans="1:8" ht="15.75" customHeight="1" x14ac:dyDescent="0.3">
      <c r="A26" s="109" t="s">
        <v>22</v>
      </c>
      <c r="B26" s="109"/>
      <c r="C26" s="109"/>
      <c r="D26" s="109"/>
      <c r="E26" s="72" t="str">
        <f>IF(AND(G18="Mumbai"),"Developed","Developing")</f>
        <v>Developing</v>
      </c>
      <c r="F26" s="72"/>
      <c r="G26" s="72"/>
      <c r="H26" s="72"/>
    </row>
    <row r="27" spans="1:8" x14ac:dyDescent="0.3">
      <c r="A27" s="109" t="s">
        <v>23</v>
      </c>
      <c r="B27" s="109"/>
      <c r="C27" s="109"/>
      <c r="D27" s="109"/>
      <c r="E27" s="72" t="s">
        <v>24</v>
      </c>
      <c r="F27" s="72"/>
      <c r="G27" s="72"/>
      <c r="H27" s="72"/>
    </row>
    <row r="28" spans="1:8" ht="15.75" customHeight="1" x14ac:dyDescent="0.3">
      <c r="A28" s="109" t="s">
        <v>83</v>
      </c>
      <c r="B28" s="109"/>
      <c r="C28" s="109"/>
      <c r="D28" s="109"/>
      <c r="E28" s="72" t="s">
        <v>84</v>
      </c>
      <c r="F28" s="72"/>
      <c r="G28" s="72"/>
      <c r="H28" s="72"/>
    </row>
    <row r="29" spans="1:8" ht="15" customHeight="1" x14ac:dyDescent="0.3">
      <c r="A29" s="109" t="s">
        <v>33</v>
      </c>
      <c r="B29" s="109"/>
      <c r="C29" s="109"/>
      <c r="D29" s="109"/>
      <c r="E29" s="72" t="str">
        <f>IF(AND(ISNUMBER(SEARCH("Flat",D55)),ISNUMBER(SEARCH("Shop",D55)),ISNUMBER(SEARCH("Office",D55))),"Residential + Commercial",IF(AND(ISNUMBER(SEARCH("Flat",D55)),ISNUMBER(SEARCH("Shop",D55))),"Residential + Commercial",IF(AND(ISNUMBER(SEARCH("Flat",D55)),ISNUMBER(SEARCH("Office",D55))),"Residential + Commercial",IF(AND(ISNUMBER(SEARCH("Shop",D55)),ISNUMBER(SEARCH("Office",D55))),"Commercial",IF(ISNUMBER(SEARCH("Shop",D55)),"Commercial",IF(ISNUMBER(SEARCH("Office",D55)),"Commercial",IF(ISNUMBER(SEARCH("Flat",D55)),"Residential")))))))</f>
        <v>Residential</v>
      </c>
      <c r="F29" s="72"/>
      <c r="G29" s="72"/>
      <c r="H29" s="72"/>
    </row>
    <row r="30" spans="1:8" ht="15.75" customHeight="1" x14ac:dyDescent="0.3">
      <c r="A30" s="109" t="s">
        <v>95</v>
      </c>
      <c r="B30" s="109"/>
      <c r="C30" s="109"/>
      <c r="D30" s="109"/>
      <c r="E30" s="72" t="s">
        <v>34</v>
      </c>
      <c r="F30" s="72"/>
      <c r="G30" s="72"/>
      <c r="H30" s="72"/>
    </row>
    <row r="31" spans="1:8" s="19" customFormat="1" x14ac:dyDescent="0.3">
      <c r="A31" s="120" t="s">
        <v>96</v>
      </c>
      <c r="B31" s="120"/>
      <c r="C31" s="119" t="s">
        <v>29</v>
      </c>
      <c r="D31" s="119"/>
      <c r="E31" s="119"/>
      <c r="F31" s="119" t="s">
        <v>31</v>
      </c>
      <c r="G31" s="119"/>
      <c r="H31" s="119"/>
    </row>
    <row r="32" spans="1:8" s="19" customFormat="1" x14ac:dyDescent="0.3">
      <c r="A32" s="113" t="s">
        <v>25</v>
      </c>
      <c r="B32" s="113" t="s">
        <v>30</v>
      </c>
      <c r="C32" s="114" t="s">
        <v>30</v>
      </c>
      <c r="D32" s="114"/>
      <c r="E32" s="114"/>
      <c r="F32" s="114" t="s">
        <v>183</v>
      </c>
      <c r="G32" s="114"/>
      <c r="H32" s="114"/>
    </row>
    <row r="33" spans="1:8" x14ac:dyDescent="0.3">
      <c r="A33" s="113" t="s">
        <v>26</v>
      </c>
      <c r="B33" s="113" t="s">
        <v>30</v>
      </c>
      <c r="C33" s="114" t="s">
        <v>30</v>
      </c>
      <c r="D33" s="114"/>
      <c r="E33" s="114"/>
      <c r="F33" s="114" t="s">
        <v>182</v>
      </c>
      <c r="G33" s="114"/>
      <c r="H33" s="114"/>
    </row>
    <row r="34" spans="1:8" s="19" customFormat="1" x14ac:dyDescent="0.3">
      <c r="A34" s="113" t="s">
        <v>28</v>
      </c>
      <c r="B34" s="113" t="s">
        <v>30</v>
      </c>
      <c r="C34" s="114" t="s">
        <v>30</v>
      </c>
      <c r="D34" s="114"/>
      <c r="E34" s="114"/>
      <c r="F34" s="114" t="s">
        <v>180</v>
      </c>
      <c r="G34" s="114"/>
      <c r="H34" s="114"/>
    </row>
    <row r="35" spans="1:8" x14ac:dyDescent="0.3">
      <c r="A35" s="113" t="s">
        <v>27</v>
      </c>
      <c r="B35" s="113" t="s">
        <v>30</v>
      </c>
      <c r="C35" s="114" t="s">
        <v>30</v>
      </c>
      <c r="D35" s="114"/>
      <c r="E35" s="114"/>
      <c r="F35" s="114" t="s">
        <v>181</v>
      </c>
      <c r="G35" s="114"/>
      <c r="H35" s="114"/>
    </row>
    <row r="36" spans="1:8" x14ac:dyDescent="0.3">
      <c r="A36" s="109" t="s">
        <v>32</v>
      </c>
      <c r="B36" s="109"/>
      <c r="C36" s="109"/>
      <c r="D36" s="109"/>
      <c r="E36" s="109"/>
      <c r="F36" s="109"/>
      <c r="G36" s="109"/>
      <c r="H36" s="109"/>
    </row>
    <row r="37" spans="1:8" ht="15.75" customHeight="1" x14ac:dyDescent="0.3">
      <c r="A37" s="109" t="s">
        <v>209</v>
      </c>
      <c r="B37" s="109"/>
      <c r="C37" s="64" t="s">
        <v>210</v>
      </c>
      <c r="D37" s="65"/>
      <c r="E37" s="65"/>
      <c r="F37" s="65"/>
      <c r="G37" s="65"/>
      <c r="H37" s="66"/>
    </row>
    <row r="38" spans="1:8" s="48" customFormat="1" x14ac:dyDescent="0.3">
      <c r="A38" s="109" t="s">
        <v>166</v>
      </c>
      <c r="B38" s="109"/>
      <c r="C38" s="71" t="s">
        <v>178</v>
      </c>
      <c r="D38" s="72"/>
      <c r="E38" s="72"/>
      <c r="F38" s="72"/>
      <c r="G38" s="72"/>
      <c r="H38" s="72"/>
    </row>
    <row r="39" spans="1:8" x14ac:dyDescent="0.3">
      <c r="A39" s="103" t="s">
        <v>35</v>
      </c>
      <c r="B39" s="103"/>
      <c r="C39" s="103"/>
      <c r="D39" s="103"/>
      <c r="E39" s="103"/>
      <c r="F39" s="103"/>
      <c r="G39" s="103"/>
      <c r="H39" s="103"/>
    </row>
    <row r="40" spans="1:8" x14ac:dyDescent="0.3">
      <c r="A40" s="83" t="s">
        <v>36</v>
      </c>
      <c r="B40" s="83"/>
      <c r="C40" s="83"/>
      <c r="D40" s="83"/>
      <c r="E40" s="90">
        <v>7192.34</v>
      </c>
      <c r="F40" s="90"/>
      <c r="G40" s="90"/>
      <c r="H40" s="90"/>
    </row>
    <row r="41" spans="1:8" x14ac:dyDescent="0.3">
      <c r="A41" s="83" t="s">
        <v>37</v>
      </c>
      <c r="B41" s="83"/>
      <c r="C41" s="83"/>
      <c r="D41" s="83"/>
      <c r="E41" s="117">
        <v>1.1000000000000001</v>
      </c>
      <c r="F41" s="117"/>
      <c r="G41" s="117"/>
      <c r="H41" s="117"/>
    </row>
    <row r="42" spans="1:8" x14ac:dyDescent="0.3">
      <c r="A42" s="83" t="s">
        <v>38</v>
      </c>
      <c r="B42" s="83"/>
      <c r="C42" s="83"/>
      <c r="D42" s="83"/>
      <c r="E42" s="117">
        <f>E44/E40-E41</f>
        <v>1.6774660263558174</v>
      </c>
      <c r="F42" s="117"/>
      <c r="G42" s="117"/>
      <c r="H42" s="117"/>
    </row>
    <row r="43" spans="1:8" x14ac:dyDescent="0.3">
      <c r="A43" s="83" t="s">
        <v>39</v>
      </c>
      <c r="B43" s="83"/>
      <c r="C43" s="83"/>
      <c r="D43" s="83"/>
      <c r="E43" s="117">
        <f>E41+E42</f>
        <v>2.7774660263558175</v>
      </c>
      <c r="F43" s="117"/>
      <c r="G43" s="117"/>
      <c r="H43" s="117"/>
    </row>
    <row r="44" spans="1:8" x14ac:dyDescent="0.3">
      <c r="A44" s="83" t="s">
        <v>94</v>
      </c>
      <c r="B44" s="83"/>
      <c r="C44" s="83"/>
      <c r="D44" s="83"/>
      <c r="E44" s="118">
        <v>19976.48</v>
      </c>
      <c r="F44" s="118"/>
      <c r="G44" s="118"/>
      <c r="H44" s="118"/>
    </row>
    <row r="45" spans="1:8" x14ac:dyDescent="0.3">
      <c r="A45" s="83" t="s">
        <v>40</v>
      </c>
      <c r="B45" s="83"/>
      <c r="C45" s="83"/>
      <c r="D45" s="83"/>
      <c r="E45" s="83" t="s">
        <v>186</v>
      </c>
      <c r="F45" s="83"/>
      <c r="G45" s="83"/>
      <c r="H45" s="83"/>
    </row>
    <row r="46" spans="1:8" x14ac:dyDescent="0.3">
      <c r="A46" s="91" t="s">
        <v>41</v>
      </c>
      <c r="B46" s="91"/>
      <c r="C46" s="91"/>
      <c r="D46" s="91"/>
      <c r="E46" s="91"/>
      <c r="F46" s="91"/>
      <c r="G46" s="91"/>
      <c r="H46" s="91"/>
    </row>
    <row r="47" spans="1:8" ht="33.75" customHeight="1" x14ac:dyDescent="0.3">
      <c r="A47" s="77" t="s">
        <v>154</v>
      </c>
      <c r="B47" s="78"/>
      <c r="C47" s="79" t="s">
        <v>188</v>
      </c>
      <c r="D47" s="80"/>
      <c r="E47" s="80"/>
      <c r="F47" s="80"/>
      <c r="G47" s="80"/>
      <c r="H47" s="81"/>
    </row>
    <row r="48" spans="1:8" ht="15.75" customHeight="1" x14ac:dyDescent="0.3">
      <c r="A48" s="77" t="s">
        <v>42</v>
      </c>
      <c r="B48" s="78"/>
      <c r="C48" s="77" t="s">
        <v>187</v>
      </c>
      <c r="D48" s="148"/>
      <c r="E48" s="78"/>
      <c r="F48" s="46" t="s">
        <v>43</v>
      </c>
      <c r="G48" s="97">
        <v>44526</v>
      </c>
      <c r="H48" s="78"/>
    </row>
    <row r="49" spans="1:14" x14ac:dyDescent="0.3">
      <c r="A49" s="77" t="s">
        <v>44</v>
      </c>
      <c r="B49" s="78"/>
      <c r="C49" s="77" t="str">
        <f>C48</f>
        <v>KBNP/NRV/BP/9376-150</v>
      </c>
      <c r="D49" s="148"/>
      <c r="E49" s="78"/>
      <c r="F49" s="46" t="s">
        <v>43</v>
      </c>
      <c r="G49" s="97">
        <f>G48</f>
        <v>44526</v>
      </c>
      <c r="H49" s="78"/>
    </row>
    <row r="50" spans="1:14" s="20" customFormat="1" ht="32.25" customHeight="1" x14ac:dyDescent="0.3">
      <c r="A50" s="94" t="s">
        <v>158</v>
      </c>
      <c r="B50" s="96"/>
      <c r="C50" s="77" t="s">
        <v>189</v>
      </c>
      <c r="D50" s="148"/>
      <c r="E50" s="78"/>
      <c r="F50" s="46" t="s">
        <v>43</v>
      </c>
      <c r="G50" s="97">
        <v>44526</v>
      </c>
      <c r="H50" s="78"/>
    </row>
    <row r="51" spans="1:14" s="20" customFormat="1" x14ac:dyDescent="0.3">
      <c r="A51" s="98"/>
      <c r="B51" s="99"/>
      <c r="C51" s="77" t="s">
        <v>190</v>
      </c>
      <c r="D51" s="148"/>
      <c r="E51" s="148"/>
      <c r="F51" s="148"/>
      <c r="G51" s="148"/>
      <c r="H51" s="78"/>
    </row>
    <row r="52" spans="1:14" x14ac:dyDescent="0.3">
      <c r="A52" s="149" t="s">
        <v>45</v>
      </c>
      <c r="B52" s="150"/>
      <c r="C52" s="149" t="s">
        <v>108</v>
      </c>
      <c r="D52" s="151"/>
      <c r="E52" s="150"/>
      <c r="F52" s="47" t="s">
        <v>43</v>
      </c>
      <c r="G52" s="79" t="s">
        <v>30</v>
      </c>
      <c r="H52" s="81"/>
    </row>
    <row r="53" spans="1:14" x14ac:dyDescent="0.3">
      <c r="A53" s="126" t="s">
        <v>47</v>
      </c>
      <c r="B53" s="126"/>
      <c r="C53" s="126"/>
      <c r="D53" s="126"/>
      <c r="E53" s="126"/>
      <c r="F53" s="126"/>
      <c r="G53" s="126"/>
      <c r="H53" s="126"/>
    </row>
    <row r="54" spans="1:14" x14ac:dyDescent="0.3">
      <c r="A54" s="110" t="s">
        <v>93</v>
      </c>
      <c r="B54" s="110"/>
      <c r="C54" s="110"/>
      <c r="D54" s="109">
        <f>E44</f>
        <v>19976.48</v>
      </c>
      <c r="E54" s="109"/>
      <c r="F54" s="109"/>
      <c r="G54" s="109"/>
      <c r="H54" s="109"/>
    </row>
    <row r="55" spans="1:14" x14ac:dyDescent="0.3">
      <c r="A55" s="72" t="s">
        <v>48</v>
      </c>
      <c r="B55" s="83"/>
      <c r="C55" s="83"/>
      <c r="D55" s="83" t="s">
        <v>202</v>
      </c>
      <c r="E55" s="83"/>
      <c r="F55" s="83"/>
      <c r="G55" s="83"/>
      <c r="H55" s="83"/>
      <c r="I55" s="21"/>
    </row>
    <row r="56" spans="1:14" x14ac:dyDescent="0.3">
      <c r="A56" s="94" t="s">
        <v>49</v>
      </c>
      <c r="B56" s="95"/>
      <c r="C56" s="96"/>
      <c r="D56" s="92" t="s">
        <v>190</v>
      </c>
      <c r="E56" s="93"/>
      <c r="F56" s="93"/>
      <c r="G56" s="93"/>
      <c r="H56" s="93"/>
    </row>
    <row r="57" spans="1:14" ht="15.75" customHeight="1" x14ac:dyDescent="0.3">
      <c r="A57" s="94" t="s">
        <v>91</v>
      </c>
      <c r="B57" s="95"/>
      <c r="C57" s="95"/>
      <c r="D57" s="72" t="s">
        <v>190</v>
      </c>
      <c r="E57" s="83"/>
      <c r="F57" s="83"/>
      <c r="G57" s="83"/>
      <c r="H57" s="83"/>
    </row>
    <row r="58" spans="1:14" ht="31.2" customHeight="1" x14ac:dyDescent="0.3">
      <c r="A58" s="109" t="s">
        <v>46</v>
      </c>
      <c r="B58" s="109"/>
      <c r="C58" s="109"/>
      <c r="D58" s="115" t="s">
        <v>215</v>
      </c>
      <c r="E58" s="115"/>
      <c r="F58" s="115"/>
      <c r="G58" s="115"/>
      <c r="H58" s="115"/>
      <c r="J58" s="22"/>
      <c r="K58" s="21"/>
      <c r="N58" s="21"/>
    </row>
    <row r="59" spans="1:14" ht="15.75" customHeight="1" x14ac:dyDescent="0.3">
      <c r="A59" s="109" t="s">
        <v>89</v>
      </c>
      <c r="B59" s="109"/>
      <c r="C59" s="109"/>
      <c r="D59" s="116" t="str">
        <f>(IF(G52="NA","60 Years After Completion",IF(G52&lt;&gt;"NA",""&amp;60-ROUNDDOWN((E3-G52)/360,0)&amp;" Years"," ")))</f>
        <v>60 Years After Completion</v>
      </c>
      <c r="E59" s="116"/>
      <c r="F59" s="116"/>
      <c r="G59" s="116"/>
      <c r="H59" s="116"/>
      <c r="N59" s="21"/>
    </row>
    <row r="60" spans="1:14" ht="15.75" customHeight="1" x14ac:dyDescent="0.3">
      <c r="A60" s="109" t="s">
        <v>90</v>
      </c>
      <c r="B60" s="109"/>
      <c r="C60" s="109"/>
      <c r="D60" s="110" t="s">
        <v>24</v>
      </c>
      <c r="E60" s="110"/>
      <c r="F60" s="110"/>
      <c r="G60" s="110"/>
      <c r="H60" s="110"/>
      <c r="J60" s="23"/>
      <c r="K60" s="23"/>
    </row>
    <row r="61" spans="1:14" x14ac:dyDescent="0.3">
      <c r="A61" s="109" t="s">
        <v>77</v>
      </c>
      <c r="B61" s="109"/>
      <c r="C61" s="109"/>
      <c r="D61" s="72" t="s">
        <v>212</v>
      </c>
      <c r="E61" s="110"/>
      <c r="F61" s="110"/>
      <c r="G61" s="110"/>
      <c r="H61" s="110"/>
    </row>
    <row r="62" spans="1:14" x14ac:dyDescent="0.3">
      <c r="A62" s="110" t="s">
        <v>151</v>
      </c>
      <c r="B62" s="110"/>
      <c r="C62" s="110"/>
      <c r="D62" s="110" t="s">
        <v>30</v>
      </c>
      <c r="E62" s="110"/>
      <c r="F62" s="110"/>
      <c r="G62" s="110"/>
      <c r="H62" s="110"/>
      <c r="I62" s="24"/>
      <c r="J62" s="24"/>
      <c r="K62" s="24"/>
      <c r="L62" s="24"/>
      <c r="M62" s="24"/>
      <c r="N62" s="24"/>
    </row>
    <row r="63" spans="1:14" ht="15.75" customHeight="1" x14ac:dyDescent="0.3">
      <c r="A63" s="112" t="s">
        <v>88</v>
      </c>
      <c r="B63" s="112"/>
      <c r="C63" s="112"/>
      <c r="D63" s="92" t="str">
        <f ca="1">(IF(G83&gt;95%,"Nothing",IF(G83&gt;0%,"Cement, Aggregate, Steel, etc",IF(G83=0%,"Work not yet Started"))))</f>
        <v>Cement, Aggregate, Steel, etc</v>
      </c>
      <c r="E63" s="92"/>
      <c r="F63" s="92"/>
      <c r="G63" s="92"/>
      <c r="H63" s="92"/>
      <c r="J63" s="23"/>
    </row>
    <row r="64" spans="1:14" ht="33.75" customHeight="1" thickBot="1" x14ac:dyDescent="0.35">
      <c r="A64" s="111" t="s">
        <v>121</v>
      </c>
      <c r="B64" s="111"/>
      <c r="C64" s="111"/>
      <c r="D64" s="92" t="str">
        <f ca="1">(IF(D63="Nothing","Yes",IF(D63="Cement, Aggregate, Steel, etc","Under Construction",IF(D63="Work not yet Started","Work not yet Started"))))</f>
        <v>Under Construction</v>
      </c>
      <c r="E64" s="92"/>
      <c r="F64" s="92" t="str">
        <f ca="1">(IF(D63="Nothing","Yes",IF(D63="Cement, Aggregate, Steel, etc","Under Construction",IF(D63="Work not yet Started","Work not yet Started"))))</f>
        <v>Under Construction</v>
      </c>
      <c r="G64" s="92"/>
      <c r="H64" s="92"/>
    </row>
    <row r="65" spans="1:10" ht="15.75" customHeight="1" x14ac:dyDescent="0.3">
      <c r="A65" s="104" t="s">
        <v>143</v>
      </c>
      <c r="B65" s="105"/>
      <c r="C65" s="106" t="s">
        <v>205</v>
      </c>
      <c r="D65" s="107"/>
      <c r="E65" s="107"/>
      <c r="F65" s="107"/>
      <c r="G65" s="107"/>
      <c r="H65" s="108"/>
      <c r="I65" s="40" t="str">
        <f ca="1">IF(D78=100%,"All work Completed. Possession granted to the Building.",IF(D77=100%,"All work Completed, Waiting for OC",I66&amp;""&amp;I67&amp;""&amp;J66&amp;""&amp;J65&amp;" "&amp;J67))</f>
        <v>All work Completed. Possession granted to the Building.</v>
      </c>
      <c r="J65" s="41" t="str">
        <f ca="1">(IF(C71=(D66+F66+H66),"",IF(C71&gt;0,", RCC upto "&amp;C71&amp;" Slab","")))&amp;(IF(C72=H66,"",IF(C72&gt;0,", Brickwork upto "&amp;C72&amp;" Floor","")))&amp;(IF(C73=H66,"",IF(C73&gt;0,", Internal Plaster upto "&amp;C73&amp;" Floor","")))&amp;(IF(C74=H66,"",IF(C74&gt;0,", External Plaster upto "&amp;C74&amp;" Floor","")))&amp;(IF(C75=H66,"",IF(C75&gt;0,", Flooring upto "&amp;C75&amp;" Floor","")))&amp;(IF(C76=H66,"",IF(C76&gt;0,", Painting upto "&amp;C76&amp;" Floor","")))&amp;(IF(C77=H66,"",IF(C77&gt;0,", Finishing upto "&amp;C77&amp;" Floor","")))&amp;(IF(C78=H66,"",IF(C78&gt;0,", Possession upto "&amp;C78&amp;" Floor","")))</f>
        <v/>
      </c>
    </row>
    <row r="66" spans="1:10" x14ac:dyDescent="0.3">
      <c r="A66" s="16" t="s">
        <v>145</v>
      </c>
      <c r="B66" s="45">
        <v>0</v>
      </c>
      <c r="C66" s="45" t="s">
        <v>74</v>
      </c>
      <c r="D66" s="45">
        <v>1</v>
      </c>
      <c r="E66" s="45" t="s">
        <v>73</v>
      </c>
      <c r="F66" s="45">
        <v>0</v>
      </c>
      <c r="G66" s="45" t="s">
        <v>82</v>
      </c>
      <c r="H66" s="17">
        <f ca="1">--TRIM(RIGHT(SUBSTITUTE(LEFT(C65,_xlfn.AGGREGATE(16,6,FIND({0,1,2,3,4,5,6,7,8,9},C65,ROW(INDIRECT("1:"&amp;LEN(C65)))),1))," ",REPT(" ",LEN(C65))),LEN(C65)))</f>
        <v>10</v>
      </c>
      <c r="I66" s="42" t="str">
        <f ca="1">IF(D69=100%,"Excavation","")&amp;IF(D70=100%,", Plinth","")&amp;IF(D71=100%,", RCC Slab","")&amp;IF(D72=100%,", Brickwork","")&amp;IF(D73=100%,", Internal Plaster","")&amp;IF(D74=100%,", External Plaster","")&amp;IF(D75=100%,", Flooring","")&amp;IF(D76=100%,", Painting","")&amp;IF(D77=100%,", Building common Amenities","")</f>
        <v>Excavation, Plinth, RCC Slab, Brickwork, Internal Plaster, External Plaster, Flooring, Painting, Building common Amenities</v>
      </c>
      <c r="J66" s="43" t="str">
        <f ca="1">(IF(C69=0,"Work not yet Started.",IF(D69=25%,"Piling work in process",IF(D69=50%,"Excavation work in process",IF(D69=100%,"","0")))))&amp;(IF(C70=0%,"",IF(C70=J71,", Footing work is process",IF(C70=J72,", Footing work Completed",IF(C70=J73,", 1st Basement Completed",IF(C70=J74,", 1st &amp; 2nd Basement Completed",IF(C70=J75,", 1st to 3rd Basement Completed",IF(C70=J76,", 1st to 4th Basement Completed",IF(C70=J77,", Plinth work is process",IF(C70=J78,"","0"))))))))))</f>
        <v/>
      </c>
    </row>
    <row r="67" spans="1:10" x14ac:dyDescent="0.3">
      <c r="A67" s="102" t="s">
        <v>92</v>
      </c>
      <c r="B67" s="103"/>
      <c r="C67" s="134" t="s">
        <v>218</v>
      </c>
      <c r="D67" s="134"/>
      <c r="E67" s="134"/>
      <c r="F67" s="134"/>
      <c r="G67" s="134"/>
      <c r="H67" s="135"/>
      <c r="I67" s="42" t="str">
        <f ca="1">IF(I66&lt;&gt;""," Completed","")</f>
        <v xml:space="preserve"> Completed</v>
      </c>
      <c r="J67" s="43" t="str">
        <f ca="1">IF(J65&lt;&gt;"","Completed","")</f>
        <v/>
      </c>
    </row>
    <row r="68" spans="1:10" ht="15.75" customHeight="1" x14ac:dyDescent="0.3">
      <c r="A68" s="101" t="s">
        <v>50</v>
      </c>
      <c r="B68" s="100"/>
      <c r="C68" s="54" t="s">
        <v>142</v>
      </c>
      <c r="D68" s="54" t="s">
        <v>85</v>
      </c>
      <c r="E68" s="100" t="s">
        <v>87</v>
      </c>
      <c r="F68" s="100"/>
      <c r="G68" s="100" t="s">
        <v>86</v>
      </c>
      <c r="H68" s="124"/>
      <c r="I68" s="14" t="s">
        <v>144</v>
      </c>
      <c r="J68" s="25">
        <f ca="1">H66*25%</f>
        <v>2.5</v>
      </c>
    </row>
    <row r="69" spans="1:10" x14ac:dyDescent="0.3">
      <c r="A69" s="100" t="s">
        <v>131</v>
      </c>
      <c r="B69" s="100"/>
      <c r="C69" s="54">
        <f ca="1">J70</f>
        <v>10</v>
      </c>
      <c r="D69" s="55">
        <f ca="1">((100/H66)*C69)/100</f>
        <v>1</v>
      </c>
      <c r="E69" s="125">
        <f ca="1">(((C70/H66*10)+(40/(D66+F66+H66)*C71)+(7.5/(H66)*C72)+(7.5/(H66)*C73)+(10/H66*C74)+(10/H66*C75)+(5/H66*C76)+(5/H66*C77)+(5/H66*C78))/100)</f>
        <v>1</v>
      </c>
      <c r="F69" s="125"/>
      <c r="G69" s="125">
        <f ca="1">((((C69/H66)*20)+((C70/H66)*25)+(30/(H66+F66+D66)*C71)+(5/H66*C72)+(5/H66*C73)+(5/H66*C74)+(5/H66*C75)+(0/H66*C76)+(0/H66*C77)+(5/H66*C78))/100)</f>
        <v>1</v>
      </c>
      <c r="H69" s="125"/>
      <c r="I69" s="14" t="s">
        <v>103</v>
      </c>
      <c r="J69" s="26">
        <f ca="1">H66*50%</f>
        <v>5</v>
      </c>
    </row>
    <row r="70" spans="1:10" x14ac:dyDescent="0.3">
      <c r="A70" s="100" t="s">
        <v>51</v>
      </c>
      <c r="B70" s="100"/>
      <c r="C70" s="54">
        <f ca="1">J78</f>
        <v>10</v>
      </c>
      <c r="D70" s="55">
        <f ca="1">((100/H66)*C70)/100</f>
        <v>1</v>
      </c>
      <c r="E70" s="125"/>
      <c r="F70" s="125"/>
      <c r="G70" s="125"/>
      <c r="H70" s="125"/>
      <c r="I70" s="14" t="s">
        <v>104</v>
      </c>
      <c r="J70" s="26">
        <f ca="1">H66</f>
        <v>10</v>
      </c>
    </row>
    <row r="71" spans="1:10" ht="15.75" customHeight="1" x14ac:dyDescent="0.3">
      <c r="A71" s="100" t="s">
        <v>132</v>
      </c>
      <c r="B71" s="100"/>
      <c r="C71" s="54">
        <v>11</v>
      </c>
      <c r="D71" s="55">
        <f ca="1">((100/(D66+F66+H66))*C71)/100</f>
        <v>1.0000000000000002</v>
      </c>
      <c r="E71" s="125"/>
      <c r="F71" s="125"/>
      <c r="G71" s="125"/>
      <c r="H71" s="125"/>
      <c r="I71" s="14" t="s">
        <v>105</v>
      </c>
      <c r="J71" s="27">
        <f ca="1">(IF(B66&gt;1,(H66/(B66+2)),H66/4))</f>
        <v>2.5</v>
      </c>
    </row>
    <row r="72" spans="1:10" ht="15.75" customHeight="1" x14ac:dyDescent="0.3">
      <c r="A72" s="100" t="s">
        <v>139</v>
      </c>
      <c r="B72" s="100" t="s">
        <v>133</v>
      </c>
      <c r="C72" s="54">
        <v>10</v>
      </c>
      <c r="D72" s="55">
        <f ca="1">((100/H66)*C72)/100</f>
        <v>1</v>
      </c>
      <c r="E72" s="125"/>
      <c r="F72" s="125"/>
      <c r="G72" s="125"/>
      <c r="H72" s="125"/>
      <c r="I72" s="14" t="s">
        <v>106</v>
      </c>
      <c r="J72" s="27">
        <f ca="1">(IF(B66&gt;1,(H66/(B66+2)+J71),H66/4+J71))</f>
        <v>5</v>
      </c>
    </row>
    <row r="73" spans="1:10" ht="15.75" customHeight="1" x14ac:dyDescent="0.3">
      <c r="A73" s="100" t="s">
        <v>140</v>
      </c>
      <c r="B73" s="100" t="s">
        <v>133</v>
      </c>
      <c r="C73" s="54">
        <v>10</v>
      </c>
      <c r="D73" s="55">
        <f ca="1">((100/H66)*C73)/100</f>
        <v>1</v>
      </c>
      <c r="E73" s="125"/>
      <c r="F73" s="125"/>
      <c r="G73" s="125"/>
      <c r="H73" s="125"/>
      <c r="I73" s="14" t="s">
        <v>149</v>
      </c>
      <c r="J73" s="27">
        <f>(IF(B66&gt;1,(H66/(B66+2)+J72),0))</f>
        <v>0</v>
      </c>
    </row>
    <row r="74" spans="1:10" ht="15" customHeight="1" x14ac:dyDescent="0.3">
      <c r="A74" s="100" t="s">
        <v>138</v>
      </c>
      <c r="B74" s="100" t="s">
        <v>135</v>
      </c>
      <c r="C74" s="54">
        <v>10</v>
      </c>
      <c r="D74" s="55">
        <f ca="1">((100/(H66))*C74)/100</f>
        <v>1</v>
      </c>
      <c r="E74" s="125"/>
      <c r="F74" s="125"/>
      <c r="G74" s="125"/>
      <c r="H74" s="125"/>
      <c r="I74" s="14" t="s">
        <v>146</v>
      </c>
      <c r="J74" s="27">
        <f>(IF(B66&gt;2,(H66/(B66+2)+J73),0))</f>
        <v>0</v>
      </c>
    </row>
    <row r="75" spans="1:10" ht="15.75" customHeight="1" x14ac:dyDescent="0.3">
      <c r="A75" s="100" t="s">
        <v>134</v>
      </c>
      <c r="B75" s="100" t="s">
        <v>134</v>
      </c>
      <c r="C75" s="54">
        <v>10</v>
      </c>
      <c r="D75" s="55">
        <f ca="1">((100/H66)*C75)/100</f>
        <v>1</v>
      </c>
      <c r="E75" s="125"/>
      <c r="F75" s="125"/>
      <c r="G75" s="125"/>
      <c r="H75" s="125"/>
      <c r="I75" s="14" t="s">
        <v>147</v>
      </c>
      <c r="J75" s="28">
        <f>(IF(B66&gt;3,(H66/(B66+2)+J74),0))</f>
        <v>0</v>
      </c>
    </row>
    <row r="76" spans="1:10" ht="15.75" customHeight="1" x14ac:dyDescent="0.3">
      <c r="A76" s="100" t="s">
        <v>141</v>
      </c>
      <c r="B76" s="100"/>
      <c r="C76" s="54">
        <v>10</v>
      </c>
      <c r="D76" s="55">
        <f ca="1">((100/H66)*C76)/100</f>
        <v>1</v>
      </c>
      <c r="E76" s="125"/>
      <c r="F76" s="125"/>
      <c r="G76" s="125"/>
      <c r="H76" s="125"/>
      <c r="I76" s="14" t="s">
        <v>148</v>
      </c>
      <c r="J76" s="27">
        <f>(IF(B66&gt;4,(H66/(B66+2)+J75),0))</f>
        <v>0</v>
      </c>
    </row>
    <row r="77" spans="1:10" ht="15.75" customHeight="1" x14ac:dyDescent="0.3">
      <c r="A77" s="100" t="s">
        <v>136</v>
      </c>
      <c r="B77" s="100" t="s">
        <v>136</v>
      </c>
      <c r="C77" s="54">
        <v>10</v>
      </c>
      <c r="D77" s="55">
        <f ca="1">((100/(H66))*C77)/100</f>
        <v>1</v>
      </c>
      <c r="E77" s="125"/>
      <c r="F77" s="125"/>
      <c r="G77" s="125"/>
      <c r="H77" s="125"/>
      <c r="I77" s="14" t="s">
        <v>150</v>
      </c>
      <c r="J77" s="27">
        <f ca="1">(IF(B66=1,(H66/(B66+3)+J72),IF(B66=0,(H66/4+J72),IF(B66&gt;1,0))))</f>
        <v>7.5</v>
      </c>
    </row>
    <row r="78" spans="1:10" ht="16.2" thickBot="1" x14ac:dyDescent="0.35">
      <c r="A78" s="100" t="s">
        <v>137</v>
      </c>
      <c r="B78" s="100"/>
      <c r="C78" s="54">
        <v>10</v>
      </c>
      <c r="D78" s="55">
        <f ca="1">((100/(H66))*C78)/100</f>
        <v>1</v>
      </c>
      <c r="E78" s="125"/>
      <c r="F78" s="125"/>
      <c r="G78" s="125"/>
      <c r="H78" s="125"/>
      <c r="I78" s="15" t="s">
        <v>107</v>
      </c>
      <c r="J78" s="29">
        <f ca="1">(IF(B66&gt;1.5,(H66/(B66+2)+J72+MAX(0,J73-J72)+MAX(0,J74-J73)+MAX(0,J75-J74)+MAX(0,J76-J75)+MAX(0,J77-J76)),IF(B66=1,(H66/(B66+3)+J77),IF(B66=0,H66/4+J77))))</f>
        <v>10</v>
      </c>
    </row>
    <row r="79" spans="1:10" ht="15.75" customHeight="1" x14ac:dyDescent="0.3">
      <c r="A79" s="134" t="s">
        <v>143</v>
      </c>
      <c r="B79" s="134"/>
      <c r="C79" s="134" t="s">
        <v>206</v>
      </c>
      <c r="D79" s="134"/>
      <c r="E79" s="134"/>
      <c r="F79" s="134"/>
      <c r="G79" s="134"/>
      <c r="H79" s="134"/>
      <c r="I79" s="59" t="str">
        <f ca="1">IF(D92=100%,"All work Completed. Possession granted to the Building.",IF(D91=100%,"All work Completed, Waiting for OC",I80&amp;""&amp;I81&amp;""&amp;J80&amp;""&amp;J79&amp;" "&amp;J81))</f>
        <v>Excavation, Plinth, RCC Slab, Brickwork, Internal Plaster, External Plaster Completed, Flooring upto 7 Floor, Painting upto 4 Floor Completed</v>
      </c>
      <c r="J79" s="41" t="str">
        <f ca="1">(IF(C85=(D80+F80+H80),"",IF(C85&gt;0,", RCC upto "&amp;C85&amp;" Slab","")))&amp;(IF(C86=H80,"",IF(C86&gt;0,", Brickwork upto "&amp;C86&amp;" Floor","")))&amp;(IF(C87=H80,"",IF(C87&gt;0,", Internal Plaster upto "&amp;C87&amp;" Floor","")))&amp;(IF(C88=H80,"",IF(C88&gt;0,", External Plaster upto "&amp;C88&amp;" Floor","")))&amp;(IF(C89=H80,"",IF(C89&gt;0,", Flooring upto "&amp;C89&amp;" Floor","")))&amp;(IF(C90=H80,"",IF(C90&gt;0,", Painting upto "&amp;C90&amp;" Floor","")))&amp;(IF(C91=H80,"",IF(C91&gt;0,", Finishing upto "&amp;C91&amp;" Floor","")))&amp;(IF(C92=H80,"",IF(C92&gt;0,", Possession upto "&amp;C92&amp;" Floor","")))</f>
        <v>, Flooring upto 7 Floor, Painting upto 4 Floor</v>
      </c>
    </row>
    <row r="80" spans="1:10" x14ac:dyDescent="0.3">
      <c r="A80" s="45" t="s">
        <v>145</v>
      </c>
      <c r="B80" s="45">
        <v>0</v>
      </c>
      <c r="C80" s="45" t="s">
        <v>74</v>
      </c>
      <c r="D80" s="45">
        <v>1</v>
      </c>
      <c r="E80" s="45" t="s">
        <v>73</v>
      </c>
      <c r="F80" s="45">
        <v>0</v>
      </c>
      <c r="G80" s="45" t="s">
        <v>82</v>
      </c>
      <c r="H80" s="45">
        <f ca="1">--TRIM(RIGHT(SUBSTITUTE(LEFT(C79,_xlfn.AGGREGATE(16,6,FIND({0,1,2,3,4,5,6,7,8,9},C79,ROW(INDIRECT("1:"&amp;LEN(C79)))),1))," ",REPT(" ",LEN(C79))),LEN(C79)))</f>
        <v>10</v>
      </c>
      <c r="I80" s="60" t="str">
        <f ca="1">IF(D83=100%,"Excavation","")&amp;IF(D84=100%,", Plinth","")&amp;IF(D85=100%,", RCC Slab","")&amp;IF(D86=100%,", Brickwork","")&amp;IF(D87=100%,", Internal Plaster","")&amp;IF(D88=100%,", External Plaster","")&amp;IF(D89=100%,", Flooring","")&amp;IF(D90=100%,", Painting","")&amp;IF(D91=100%,", Building common Amenities","")</f>
        <v>Excavation, Plinth, RCC Slab, Brickwork, Internal Plaster, External Plaster</v>
      </c>
      <c r="J80" s="43" t="str">
        <f ca="1">(IF(C83=0,"Work not yet Started.",IF(D83=25%,"Piling work in process",IF(D83=50%,"Excavation work in process",IF(D83=100%,"","0")))))&amp;(IF(C84=0%,"",IF(C84=J85,", Footing work is process",IF(C84=J86,", Footing work Completed",IF(C84=J87,", 1st Basement Completed",IF(C84=J88,", 1st &amp; 2nd Basement Completed",IF(C84=J89,", 1st to 3rd Basement Completed",IF(C84=J90,", 1st to 4th Basement Completed",IF(C84=J91,", Plinth work is process",IF(C84=J92,"","0"))))))))))</f>
        <v/>
      </c>
    </row>
    <row r="81" spans="1:10" ht="30.75" customHeight="1" x14ac:dyDescent="0.3">
      <c r="A81" s="103" t="s">
        <v>92</v>
      </c>
      <c r="B81" s="103"/>
      <c r="C81" s="134" t="str">
        <f ca="1">(IF($G$52="NA",I79,"All work Completed. OC Received."))</f>
        <v>Excavation, Plinth, RCC Slab, Brickwork, Internal Plaster, External Plaster Completed, Flooring upto 7 Floor, Painting upto 4 Floor Completed</v>
      </c>
      <c r="D81" s="134"/>
      <c r="E81" s="134"/>
      <c r="F81" s="134"/>
      <c r="G81" s="134"/>
      <c r="H81" s="134"/>
      <c r="I81" s="60" t="str">
        <f ca="1">IF(I80&lt;&gt;""," Completed","")</f>
        <v xml:space="preserve"> Completed</v>
      </c>
      <c r="J81" s="43" t="str">
        <f ca="1">IF(J79&lt;&gt;"","Completed","")</f>
        <v>Completed</v>
      </c>
    </row>
    <row r="82" spans="1:10" ht="15.75" customHeight="1" x14ac:dyDescent="0.3">
      <c r="A82" s="100" t="s">
        <v>50</v>
      </c>
      <c r="B82" s="100"/>
      <c r="C82" s="54" t="s">
        <v>142</v>
      </c>
      <c r="D82" s="54" t="s">
        <v>85</v>
      </c>
      <c r="E82" s="100" t="s">
        <v>87</v>
      </c>
      <c r="F82" s="100"/>
      <c r="G82" s="100" t="s">
        <v>86</v>
      </c>
      <c r="H82" s="100"/>
      <c r="I82" s="14" t="s">
        <v>144</v>
      </c>
      <c r="J82" s="25">
        <f ca="1">H80*25%</f>
        <v>2.5</v>
      </c>
    </row>
    <row r="83" spans="1:10" x14ac:dyDescent="0.3">
      <c r="A83" s="100" t="s">
        <v>131</v>
      </c>
      <c r="B83" s="100"/>
      <c r="C83" s="54">
        <f ca="1">J84</f>
        <v>10</v>
      </c>
      <c r="D83" s="55">
        <f ca="1">((100/H80)*C83)/100</f>
        <v>1</v>
      </c>
      <c r="E83" s="125">
        <f ca="1">(((C84/H80*10)+(40/(D80+F80+H80)*C85)+(7.5/(H80)*C86)+(7.5/(H80)*C87)+(10/H80*C88)+(10/H80*C89)+(5/H80*C90)+(5/H80*C91)+(5/H80*C92))/100)</f>
        <v>0.84</v>
      </c>
      <c r="F83" s="125"/>
      <c r="G83" s="125">
        <f ca="1">((((C83/H80)*20)+((C84/H80)*25)+(30/(H80+F80+D80)*C85)+(5/H80*C86)+(5/H80*C87)+(5/H80*C88)+(5/H80*C89)+(0/H80*C90)+(0/H80*C91)+(5/H80*C92))/100)</f>
        <v>0.93500000000000005</v>
      </c>
      <c r="H83" s="125"/>
      <c r="I83" s="14" t="s">
        <v>103</v>
      </c>
      <c r="J83" s="26">
        <f ca="1">H80*50%</f>
        <v>5</v>
      </c>
    </row>
    <row r="84" spans="1:10" x14ac:dyDescent="0.3">
      <c r="A84" s="100" t="s">
        <v>51</v>
      </c>
      <c r="B84" s="100"/>
      <c r="C84" s="54">
        <f ca="1">J92</f>
        <v>10</v>
      </c>
      <c r="D84" s="55">
        <f ca="1">((100/H80)*C84)/100</f>
        <v>1</v>
      </c>
      <c r="E84" s="125"/>
      <c r="F84" s="125"/>
      <c r="G84" s="125"/>
      <c r="H84" s="125"/>
      <c r="I84" s="14" t="s">
        <v>104</v>
      </c>
      <c r="J84" s="26">
        <f ca="1">H80</f>
        <v>10</v>
      </c>
    </row>
    <row r="85" spans="1:10" ht="15.75" customHeight="1" x14ac:dyDescent="0.3">
      <c r="A85" s="100" t="s">
        <v>132</v>
      </c>
      <c r="B85" s="100"/>
      <c r="C85" s="54">
        <v>11</v>
      </c>
      <c r="D85" s="55">
        <f ca="1">((100/(D80+F80+H80))*C85)/100</f>
        <v>1.0000000000000002</v>
      </c>
      <c r="E85" s="125"/>
      <c r="F85" s="125"/>
      <c r="G85" s="125"/>
      <c r="H85" s="125"/>
      <c r="I85" s="14" t="s">
        <v>105</v>
      </c>
      <c r="J85" s="27">
        <f ca="1">(IF(B80&gt;1,(H80/(B80+2)),H80/4))</f>
        <v>2.5</v>
      </c>
    </row>
    <row r="86" spans="1:10" ht="15.75" customHeight="1" x14ac:dyDescent="0.3">
      <c r="A86" s="100" t="s">
        <v>139</v>
      </c>
      <c r="B86" s="100" t="s">
        <v>133</v>
      </c>
      <c r="C86" s="54">
        <v>10</v>
      </c>
      <c r="D86" s="55">
        <f ca="1">((100/H80)*C86)/100</f>
        <v>1</v>
      </c>
      <c r="E86" s="125"/>
      <c r="F86" s="125"/>
      <c r="G86" s="125"/>
      <c r="H86" s="125"/>
      <c r="I86" s="14" t="s">
        <v>106</v>
      </c>
      <c r="J86" s="27">
        <f ca="1">(IF(B80&gt;1,(H80/(B80+2)+J85),H80/4+J85))</f>
        <v>5</v>
      </c>
    </row>
    <row r="87" spans="1:10" ht="15.75" customHeight="1" x14ac:dyDescent="0.3">
      <c r="A87" s="100" t="s">
        <v>140</v>
      </c>
      <c r="B87" s="100" t="s">
        <v>133</v>
      </c>
      <c r="C87" s="54">
        <v>10</v>
      </c>
      <c r="D87" s="55">
        <f ca="1">((100/H80)*C87)/100</f>
        <v>1</v>
      </c>
      <c r="E87" s="125"/>
      <c r="F87" s="125"/>
      <c r="G87" s="125"/>
      <c r="H87" s="125"/>
      <c r="I87" s="14" t="s">
        <v>149</v>
      </c>
      <c r="J87" s="27">
        <f>(IF(B80&gt;1,(H80/(B80+2)+J86),0))</f>
        <v>0</v>
      </c>
    </row>
    <row r="88" spans="1:10" ht="15" customHeight="1" x14ac:dyDescent="0.3">
      <c r="A88" s="100" t="s">
        <v>138</v>
      </c>
      <c r="B88" s="100" t="s">
        <v>135</v>
      </c>
      <c r="C88" s="54">
        <v>10</v>
      </c>
      <c r="D88" s="55">
        <f ca="1">((100/(H80))*C88)/100</f>
        <v>1</v>
      </c>
      <c r="E88" s="125"/>
      <c r="F88" s="125"/>
      <c r="G88" s="125"/>
      <c r="H88" s="125"/>
      <c r="I88" s="14" t="s">
        <v>146</v>
      </c>
      <c r="J88" s="27">
        <f>(IF(B80&gt;2,(H80/(B80+2)+J87),0))</f>
        <v>0</v>
      </c>
    </row>
    <row r="89" spans="1:10" ht="15.75" customHeight="1" x14ac:dyDescent="0.3">
      <c r="A89" s="100" t="s">
        <v>134</v>
      </c>
      <c r="B89" s="100" t="s">
        <v>134</v>
      </c>
      <c r="C89" s="54">
        <v>7</v>
      </c>
      <c r="D89" s="55">
        <f ca="1">((100/H80)*C89)/100</f>
        <v>0.7</v>
      </c>
      <c r="E89" s="125"/>
      <c r="F89" s="125"/>
      <c r="G89" s="125"/>
      <c r="H89" s="125"/>
      <c r="I89" s="14" t="s">
        <v>147</v>
      </c>
      <c r="J89" s="28">
        <f>(IF(B80&gt;3,(H80/(B80+2)+J88),0))</f>
        <v>0</v>
      </c>
    </row>
    <row r="90" spans="1:10" ht="15.75" customHeight="1" x14ac:dyDescent="0.3">
      <c r="A90" s="100" t="s">
        <v>141</v>
      </c>
      <c r="B90" s="100"/>
      <c r="C90" s="54">
        <v>4</v>
      </c>
      <c r="D90" s="55">
        <f ca="1">((100/H80)*C90)/100</f>
        <v>0.4</v>
      </c>
      <c r="E90" s="125"/>
      <c r="F90" s="125"/>
      <c r="G90" s="125"/>
      <c r="H90" s="125"/>
      <c r="I90" s="14" t="s">
        <v>148</v>
      </c>
      <c r="J90" s="27">
        <f>(IF(B80&gt;4,(H80/(B80+2)+J89),0))</f>
        <v>0</v>
      </c>
    </row>
    <row r="91" spans="1:10" ht="15.75" customHeight="1" x14ac:dyDescent="0.3">
      <c r="A91" s="100" t="s">
        <v>136</v>
      </c>
      <c r="B91" s="100" t="s">
        <v>136</v>
      </c>
      <c r="C91" s="54">
        <v>0</v>
      </c>
      <c r="D91" s="55">
        <f ca="1">((100/(H80))*C91)/100</f>
        <v>0</v>
      </c>
      <c r="E91" s="125"/>
      <c r="F91" s="125"/>
      <c r="G91" s="125"/>
      <c r="H91" s="125"/>
      <c r="I91" s="14" t="s">
        <v>150</v>
      </c>
      <c r="J91" s="27">
        <f ca="1">(IF(B80=1,(H80/(B80+3)+J86),IF(B80=0,(H80/4+J86),IF(B80&gt;1,0))))</f>
        <v>7.5</v>
      </c>
    </row>
    <row r="92" spans="1:10" ht="16.2" thickBot="1" x14ac:dyDescent="0.35">
      <c r="A92" s="100" t="s">
        <v>137</v>
      </c>
      <c r="B92" s="100"/>
      <c r="C92" s="54">
        <v>0</v>
      </c>
      <c r="D92" s="55">
        <f ca="1">((100/(H80))*C92)/100</f>
        <v>0</v>
      </c>
      <c r="E92" s="125"/>
      <c r="F92" s="125"/>
      <c r="G92" s="125"/>
      <c r="H92" s="125"/>
      <c r="I92" s="15" t="s">
        <v>107</v>
      </c>
      <c r="J92" s="29">
        <f ca="1">(IF(B80&gt;1.5,(H80/(B80+2)+J86+MAX(0,J87-J86)+MAX(0,J88-J87)+MAX(0,J89-J88)+MAX(0,J90-J89)+MAX(0,J91-J90)),IF(B80=1,(H80/(B80+3)+J91),IF(B80=0,H80/4+J91))))</f>
        <v>10</v>
      </c>
    </row>
    <row r="93" spans="1:10" x14ac:dyDescent="0.3">
      <c r="A93" s="103" t="s">
        <v>159</v>
      </c>
      <c r="B93" s="103"/>
      <c r="C93" s="103"/>
      <c r="D93" s="103"/>
      <c r="E93" s="103"/>
      <c r="F93" s="119" t="s">
        <v>164</v>
      </c>
      <c r="G93" s="119"/>
      <c r="H93" s="119"/>
    </row>
    <row r="94" spans="1:10" x14ac:dyDescent="0.3">
      <c r="A94" s="83" t="s">
        <v>162</v>
      </c>
      <c r="B94" s="83"/>
      <c r="C94" s="83"/>
      <c r="D94" s="83"/>
      <c r="E94" s="83"/>
      <c r="F94" s="82">
        <v>4500</v>
      </c>
      <c r="G94" s="82"/>
      <c r="H94" s="82"/>
    </row>
    <row r="95" spans="1:10" hidden="1" x14ac:dyDescent="0.3">
      <c r="A95" s="83" t="s">
        <v>161</v>
      </c>
      <c r="B95" s="83"/>
      <c r="C95" s="83"/>
      <c r="D95" s="83"/>
      <c r="E95" s="83"/>
      <c r="F95" s="82"/>
      <c r="G95" s="82"/>
      <c r="H95" s="82"/>
    </row>
    <row r="96" spans="1:10" hidden="1" x14ac:dyDescent="0.3">
      <c r="A96" s="83" t="s">
        <v>163</v>
      </c>
      <c r="B96" s="83"/>
      <c r="C96" s="83"/>
      <c r="D96" s="83"/>
      <c r="E96" s="83"/>
      <c r="F96" s="82"/>
      <c r="G96" s="82"/>
      <c r="H96" s="82"/>
    </row>
    <row r="97" spans="1:8" s="30" customFormat="1" hidden="1" x14ac:dyDescent="0.25">
      <c r="A97" s="83" t="s">
        <v>160</v>
      </c>
      <c r="B97" s="83"/>
      <c r="C97" s="83"/>
      <c r="D97" s="83"/>
      <c r="E97" s="83"/>
      <c r="F97" s="82"/>
      <c r="G97" s="82"/>
      <c r="H97" s="82"/>
    </row>
    <row r="98" spans="1:8" s="30" customFormat="1" hidden="1" x14ac:dyDescent="0.25">
      <c r="A98" s="83" t="s">
        <v>97</v>
      </c>
      <c r="B98" s="83"/>
      <c r="C98" s="83"/>
      <c r="D98" s="83"/>
      <c r="E98" s="83"/>
      <c r="F98" s="82"/>
      <c r="G98" s="82"/>
      <c r="H98" s="82"/>
    </row>
    <row r="99" spans="1:8" s="30" customFormat="1" hidden="1" x14ac:dyDescent="0.25">
      <c r="A99" s="83" t="s">
        <v>98</v>
      </c>
      <c r="B99" s="83"/>
      <c r="C99" s="83"/>
      <c r="D99" s="83"/>
      <c r="E99" s="83"/>
      <c r="F99" s="82"/>
      <c r="G99" s="82"/>
      <c r="H99" s="82"/>
    </row>
    <row r="100" spans="1:8" s="30" customFormat="1" hidden="1" x14ac:dyDescent="0.25">
      <c r="A100" s="83" t="s">
        <v>165</v>
      </c>
      <c r="B100" s="83"/>
      <c r="C100" s="83"/>
      <c r="D100" s="83"/>
      <c r="E100" s="83"/>
      <c r="F100" s="82"/>
      <c r="G100" s="82"/>
      <c r="H100" s="82"/>
    </row>
    <row r="101" spans="1:8" s="30" customFormat="1" hidden="1" x14ac:dyDescent="0.25">
      <c r="A101" s="83" t="s">
        <v>99</v>
      </c>
      <c r="B101" s="83"/>
      <c r="C101" s="83"/>
      <c r="D101" s="83"/>
      <c r="E101" s="83"/>
      <c r="F101" s="82"/>
      <c r="G101" s="82"/>
      <c r="H101" s="82"/>
    </row>
    <row r="102" spans="1:8" s="30" customFormat="1" hidden="1" x14ac:dyDescent="0.25">
      <c r="A102" s="83" t="s">
        <v>100</v>
      </c>
      <c r="B102" s="83"/>
      <c r="C102" s="83"/>
      <c r="D102" s="83"/>
      <c r="E102" s="83"/>
      <c r="F102" s="82"/>
      <c r="G102" s="82"/>
      <c r="H102" s="82"/>
    </row>
    <row r="103" spans="1:8" s="30" customFormat="1" hidden="1" x14ac:dyDescent="0.25">
      <c r="A103" s="83" t="s">
        <v>101</v>
      </c>
      <c r="B103" s="83"/>
      <c r="C103" s="83"/>
      <c r="D103" s="83"/>
      <c r="E103" s="83"/>
      <c r="F103" s="82"/>
      <c r="G103" s="82"/>
      <c r="H103" s="82"/>
    </row>
    <row r="104" spans="1:8" s="30" customFormat="1" hidden="1" x14ac:dyDescent="0.25">
      <c r="A104" s="83" t="s">
        <v>102</v>
      </c>
      <c r="B104" s="83"/>
      <c r="C104" s="83"/>
      <c r="D104" s="83"/>
      <c r="E104" s="83"/>
      <c r="F104" s="82"/>
      <c r="G104" s="82"/>
      <c r="H104" s="82"/>
    </row>
    <row r="105" spans="1:8" x14ac:dyDescent="0.3">
      <c r="A105" s="83" t="s">
        <v>52</v>
      </c>
      <c r="B105" s="83"/>
      <c r="C105" s="83"/>
      <c r="D105" s="83"/>
      <c r="E105" s="83"/>
      <c r="F105" s="138" t="s">
        <v>203</v>
      </c>
      <c r="G105" s="138"/>
      <c r="H105" s="138"/>
    </row>
    <row r="106" spans="1:8" s="31" customFormat="1" x14ac:dyDescent="0.3">
      <c r="A106" s="103" t="s">
        <v>53</v>
      </c>
      <c r="B106" s="103"/>
      <c r="C106" s="103"/>
      <c r="D106" s="103"/>
      <c r="E106" s="103"/>
      <c r="F106" s="82">
        <f>F94*0.8</f>
        <v>3600</v>
      </c>
      <c r="G106" s="82"/>
      <c r="H106" s="82"/>
    </row>
    <row r="107" spans="1:8" s="32" customFormat="1" x14ac:dyDescent="0.3">
      <c r="A107" s="89" t="s">
        <v>72</v>
      </c>
      <c r="B107" s="89"/>
      <c r="C107" s="89"/>
      <c r="D107" s="89"/>
      <c r="E107" s="89"/>
      <c r="F107" s="89"/>
      <c r="G107" s="89"/>
      <c r="H107" s="89"/>
    </row>
    <row r="108" spans="1:8" s="32" customFormat="1" ht="15.75" customHeight="1" x14ac:dyDescent="0.3">
      <c r="A108" s="85" t="s">
        <v>54</v>
      </c>
      <c r="B108" s="85"/>
      <c r="C108" s="88" t="s">
        <v>80</v>
      </c>
      <c r="D108" s="88"/>
      <c r="E108" s="127" t="s">
        <v>55</v>
      </c>
      <c r="F108" s="127"/>
      <c r="G108" s="85" t="s">
        <v>56</v>
      </c>
      <c r="H108" s="85"/>
    </row>
    <row r="109" spans="1:8" s="32" customFormat="1" x14ac:dyDescent="0.3">
      <c r="A109" s="86" t="s">
        <v>191</v>
      </c>
      <c r="B109" s="86"/>
      <c r="C109" s="87">
        <f>COUNT(D119:D130)*9+COUNT(D132:D142)</f>
        <v>119</v>
      </c>
      <c r="D109" s="87"/>
      <c r="E109" s="84">
        <f>SUM(D119:D130)*9+SUM(D132:D142)</f>
        <v>47715.627960000013</v>
      </c>
      <c r="F109" s="84"/>
      <c r="G109" s="84">
        <f>SUM(F119:F130)*9+SUM(F132:F142)</f>
        <v>71573.441940000019</v>
      </c>
      <c r="H109" s="84"/>
    </row>
    <row r="110" spans="1:8" s="32" customFormat="1" x14ac:dyDescent="0.3">
      <c r="A110" s="86" t="s">
        <v>193</v>
      </c>
      <c r="B110" s="86"/>
      <c r="C110" s="87">
        <f>COUNT(D146:D157)*9+COUNT(D159:D169)</f>
        <v>119</v>
      </c>
      <c r="D110" s="87"/>
      <c r="E110" s="84">
        <f>SUM(D146:D157)*9+SUM(D159:D169)</f>
        <v>42955.087499999994</v>
      </c>
      <c r="F110" s="84"/>
      <c r="G110" s="84">
        <f>SUM(F146:F157)*9+SUM(F159:F169)</f>
        <v>64432.631249999999</v>
      </c>
      <c r="H110" s="84"/>
    </row>
    <row r="111" spans="1:8" s="32" customFormat="1" x14ac:dyDescent="0.3">
      <c r="A111" s="89" t="s">
        <v>153</v>
      </c>
      <c r="B111" s="89"/>
      <c r="C111" s="88">
        <f>SUM(C109:D110)</f>
        <v>238</v>
      </c>
      <c r="D111" s="88"/>
      <c r="E111" s="145">
        <f>SUM(E109:F110)</f>
        <v>90670.715460000007</v>
      </c>
      <c r="F111" s="127"/>
      <c r="G111" s="85">
        <f t="shared" ref="G111" si="0">SUM(G109:H110)</f>
        <v>136006.07319000002</v>
      </c>
      <c r="H111" s="85"/>
    </row>
    <row r="112" spans="1:8" s="31" customFormat="1" x14ac:dyDescent="0.3">
      <c r="A112" s="70" t="s">
        <v>57</v>
      </c>
      <c r="B112" s="70"/>
      <c r="C112" s="70"/>
      <c r="D112" s="70"/>
      <c r="E112" s="70"/>
      <c r="F112" s="70"/>
      <c r="G112" s="70"/>
      <c r="H112" s="70"/>
    </row>
    <row r="113" spans="1:11" x14ac:dyDescent="0.3">
      <c r="A113" s="70" t="s">
        <v>58</v>
      </c>
      <c r="B113" s="70"/>
      <c r="C113" s="70"/>
      <c r="D113" s="70"/>
      <c r="E113" s="70"/>
      <c r="F113" s="70"/>
      <c r="G113" s="70"/>
      <c r="H113" s="70"/>
    </row>
    <row r="114" spans="1:11" ht="47.25" customHeight="1" x14ac:dyDescent="0.3">
      <c r="A114" s="143" t="s">
        <v>122</v>
      </c>
      <c r="B114" s="143" t="s">
        <v>123</v>
      </c>
      <c r="C114" s="146" t="s">
        <v>59</v>
      </c>
      <c r="D114" s="146" t="s">
        <v>60</v>
      </c>
      <c r="E114" s="153" t="s">
        <v>61</v>
      </c>
      <c r="F114" s="50" t="s">
        <v>152</v>
      </c>
      <c r="G114" s="143" t="s">
        <v>62</v>
      </c>
      <c r="H114" s="155"/>
      <c r="I114" s="33"/>
    </row>
    <row r="115" spans="1:11" s="34" customFormat="1" x14ac:dyDescent="0.3">
      <c r="A115" s="144"/>
      <c r="B115" s="144"/>
      <c r="C115" s="147"/>
      <c r="D115" s="147"/>
      <c r="E115" s="154"/>
      <c r="F115" s="13">
        <v>0.5</v>
      </c>
      <c r="G115" s="144"/>
      <c r="H115" s="156"/>
      <c r="I115" s="33"/>
    </row>
    <row r="116" spans="1:11" s="31" customFormat="1" x14ac:dyDescent="0.3">
      <c r="A116" s="70" t="s">
        <v>195</v>
      </c>
      <c r="B116" s="70"/>
      <c r="C116" s="70"/>
      <c r="D116" s="70"/>
      <c r="E116" s="70"/>
      <c r="F116" s="70"/>
      <c r="G116" s="70"/>
      <c r="H116" s="70"/>
    </row>
    <row r="117" spans="1:11" s="31" customFormat="1" x14ac:dyDescent="0.3">
      <c r="A117" s="70" t="s">
        <v>191</v>
      </c>
      <c r="B117" s="70"/>
      <c r="C117" s="70"/>
      <c r="D117" s="70"/>
      <c r="E117" s="70"/>
      <c r="F117" s="70"/>
      <c r="G117" s="70"/>
      <c r="H117" s="70"/>
    </row>
    <row r="118" spans="1:11" s="34" customFormat="1" ht="15.75" customHeight="1" x14ac:dyDescent="0.3">
      <c r="A118" s="140" t="s">
        <v>192</v>
      </c>
      <c r="B118" s="141"/>
      <c r="C118" s="141"/>
      <c r="D118" s="141"/>
      <c r="E118" s="141"/>
      <c r="F118" s="141"/>
      <c r="G118" s="141"/>
      <c r="H118" s="142"/>
      <c r="I118" s="33"/>
    </row>
    <row r="119" spans="1:11" s="34" customFormat="1" x14ac:dyDescent="0.3">
      <c r="A119" s="67" t="str">
        <f ca="1">(SUMPRODUCT(MID(0&amp;(LEFT(A118,SUM(LEN(A118)-LEN(SUBSTITUTE(A118,{"0","1","2"},""))))), LARGE(INDEX(ISNUMBER(--MID((LEFT(A118,SUM(LEN(A118)-LEN(SUBSTITUTE(A118,{"0","1","2"},""))))), ROW(INDIRECT("1:"&amp;LEN((LEFT(A118,SUM(LEN(A118)-LEN(SUBSTITUTE(A118,{"0","1","2"},"")))))))), 1)) * ROW(INDIRECT("1:"&amp;LEN((LEFT(A118,SUM(LEN(A118)-LEN(SUBSTITUTE(A118,{"0","1","2"},"")))))))), 0), ROW(INDIRECT("1:"&amp;LEN((LEFT(A118,SUM(LEN(A118)-LEN(SUBSTITUTE(A118,{"0","1","2"},"")))))))))+1, 1) * 10^ROW(INDIRECT("1:"&amp;LEN((LEFT(A118,SUM(LEN(A118)-LEN(SUBSTITUTE(A118,{"0","1","2"},""))))))))/10))*100+1&amp;""&amp;" ,.., "&amp;""&amp;(SUMPRODUCT(MID(0&amp;(--TRIM(RIGHT(SUBSTITUTE(LEFT(A118,_xlfn.AGGREGATE(16,6,FIND({0,1,2,3,4,5,6,7,8,9},A118,ROW(INDIRECT("1:"&amp;LEN(A118)))),1))," ",REPT(" ",LEN(A118))),LEN(A118)))), LARGE(INDEX(ISNUMBER(--MID((--TRIM(RIGHT(SUBSTITUTE(LEFT(A118,_xlfn.AGGREGATE(16,6,FIND({0,1,2,3,4,5,6,7,8,9},A118,ROW(INDIRECT("1:"&amp;LEN(A118)))),1))," ",REPT(" ",LEN(A118))),LEN(A118)))), ROW(INDIRECT("1:"&amp;LEN((--TRIM(RIGHT(SUBSTITUTE(LEFT(A118,_xlfn.AGGREGATE(16,6,FIND({0,1,2,3,4,5,6,7,8,9},A118,ROW(INDIRECT("1:"&amp;LEN(A118)))),1))," ",REPT(" ",LEN(A118))),LEN(A118))))))), 1)) * ROW(INDIRECT("1:"&amp;LEN((--TRIM(RIGHT(SUBSTITUTE(LEFT(A118,_xlfn.AGGREGATE(16,6,FIND({0,1,2,3,4,5,6,7,8,9},A118,ROW(INDIRECT("1:"&amp;LEN(A118)))),1))," ",REPT(" ",LEN(A118))),LEN(A118))))))), 0), ROW(INDIRECT("1:"&amp;LEN((--TRIM(RIGHT(SUBSTITUTE(LEFT(A118,_xlfn.AGGREGATE(16,6,FIND({0,1,2,3,4,5,6,7,8,9},A118,ROW(INDIRECT("1:"&amp;LEN(A118)))),1))," ",REPT(" ",LEN(A118))),LEN(A118))))))))+1, 1) * 10^ROW(INDIRECT("1:"&amp;LEN((--TRIM(RIGHT(SUBSTITUTE(LEFT(A118,_xlfn.AGGREGATE(16,6,FIND({0,1,2,3,4,5,6,7,8,9},A118,ROW(INDIRECT("1:"&amp;LEN(A118)))),1))," ",REPT(" ",LEN(A118))),LEN(A118)))))))/10))*100+1</f>
        <v>101 ,.., 1001</v>
      </c>
      <c r="B119" s="68"/>
      <c r="C119" s="44" t="s">
        <v>197</v>
      </c>
      <c r="D119" s="44">
        <f>(46.81+2.7+0.75*(2.3+2.75+2.72))*10.764</f>
        <v>595.65285000000006</v>
      </c>
      <c r="E119" s="44">
        <v>0</v>
      </c>
      <c r="F119" s="44">
        <f t="shared" ref="F119:F130" si="1">D119*(($F$115)+1)+(IF(E119&lt;101,E119,IF(E119&lt;201,E119/2,IF(E119&lt;=301,E119/3,E119/4))))</f>
        <v>893.47927500000014</v>
      </c>
      <c r="G119" s="67" t="str">
        <f>A118</f>
        <v>1st to 7th, 9th , 10th Floor for Residential</v>
      </c>
      <c r="H119" s="68"/>
      <c r="I119" s="56">
        <f>4.2*2.75+2.3*2.3+2.75*2.75+3.35*2.75+1.2*1.8+1.2*2.1+2.25*1.05+0.9*2.1</f>
        <v>42.547500000000007</v>
      </c>
      <c r="J119" s="56">
        <f>3749000/F119</f>
        <v>4195.9563079960635</v>
      </c>
    </row>
    <row r="120" spans="1:11" s="34" customFormat="1" x14ac:dyDescent="0.3">
      <c r="A120" s="67" t="str">
        <f ca="1">(SUMPRODUCT(MID(0&amp;(LEFT(A119,SUM(LEN(A119)-LEN(SUBSTITUTE(A119,{"0","1","2"},""))))), LARGE(INDEX(ISNUMBER(--MID((LEFT(A119,SUM(LEN(A119)-LEN(SUBSTITUTE(A119,{"0","1","2"},""))))), ROW(INDIRECT("1:"&amp;LEN((LEFT(A119,SUM(LEN(A119)-LEN(SUBSTITUTE(A119,{"0","1","2"},"")))))))), 1)) * ROW(INDIRECT("1:"&amp;LEN((LEFT(A119,SUM(LEN(A119)-LEN(SUBSTITUTE(A119,{"0","1","2"},"")))))))), 0), ROW(INDIRECT("1:"&amp;LEN((LEFT(A119,SUM(LEN(A119)-LEN(SUBSTITUTE(A119,{"0","1","2"},"")))))))))+1, 1) * 10^ROW(INDIRECT("1:"&amp;LEN((LEFT(A119,SUM(LEN(A119)-LEN(SUBSTITUTE(A119,{"0","1","2"},""))))))))/10))*1+1&amp;""&amp;" ,.., "&amp;""&amp;(SUMPRODUCT(MID(0&amp;(--TRIM(RIGHT(SUBSTITUTE(LEFT(A119,_xlfn.AGGREGATE(16,6,FIND({0,1,2,3,4,5,6,7,8,9},A119,ROW(INDIRECT("1:"&amp;LEN(A119)))),1))," ",REPT(" ",LEN(A119))),LEN(A119)))), LARGE(INDEX(ISNUMBER(--MID((--TRIM(RIGHT(SUBSTITUTE(LEFT(A119,_xlfn.AGGREGATE(16,6,FIND({0,1,2,3,4,5,6,7,8,9},A119,ROW(INDIRECT("1:"&amp;LEN(A119)))),1))," ",REPT(" ",LEN(A119))),LEN(A119)))), ROW(INDIRECT("1:"&amp;LEN((--TRIM(RIGHT(SUBSTITUTE(LEFT(A119,_xlfn.AGGREGATE(16,6,FIND({0,1,2,3,4,5,6,7,8,9},A119,ROW(INDIRECT("1:"&amp;LEN(A119)))),1))," ",REPT(" ",LEN(A119))),LEN(A119))))))), 1)) * ROW(INDIRECT("1:"&amp;LEN((--TRIM(RIGHT(SUBSTITUTE(LEFT(A119,_xlfn.AGGREGATE(16,6,FIND({0,1,2,3,4,5,6,7,8,9},A119,ROW(INDIRECT("1:"&amp;LEN(A119)))),1))," ",REPT(" ",LEN(A119))),LEN(A119))))))), 0), ROW(INDIRECT("1:"&amp;LEN((--TRIM(RIGHT(SUBSTITUTE(LEFT(A119,_xlfn.AGGREGATE(16,6,FIND({0,1,2,3,4,5,6,7,8,9},A119,ROW(INDIRECT("1:"&amp;LEN(A119)))),1))," ",REPT(" ",LEN(A119))),LEN(A119))))))))+1, 1) * 10^ROW(INDIRECT("1:"&amp;LEN((--TRIM(RIGHT(SUBSTITUTE(LEFT(A119,_xlfn.AGGREGATE(16,6,FIND({0,1,2,3,4,5,6,7,8,9},A119,ROW(INDIRECT("1:"&amp;LEN(A119)))),1))," ",REPT(" ",LEN(A119))),LEN(A119)))))))/10))*1+1</f>
        <v>102 ,.., 1002</v>
      </c>
      <c r="B120" s="68"/>
      <c r="C120" s="44" t="s">
        <v>197</v>
      </c>
      <c r="D120" s="44">
        <f>(46.81+2.7+0.75*(2.3+2.75+2.72))*10.764</f>
        <v>595.65285000000006</v>
      </c>
      <c r="E120" s="44">
        <v>0</v>
      </c>
      <c r="F120" s="44">
        <f t="shared" si="1"/>
        <v>893.47927500000014</v>
      </c>
      <c r="G120" s="67" t="str">
        <f t="shared" ref="G120:G130" si="2">G119</f>
        <v>1st to 7th, 9th , 10th Floor for Residential</v>
      </c>
      <c r="H120" s="68"/>
      <c r="I120" s="56"/>
      <c r="J120" s="56">
        <f>2671000/F135</f>
        <v>4500.5228803862037</v>
      </c>
      <c r="K120" s="34">
        <f>5000*683</f>
        <v>3415000</v>
      </c>
    </row>
    <row r="121" spans="1:11" s="34" customFormat="1" ht="15.75" customHeight="1" x14ac:dyDescent="0.3">
      <c r="A121" s="67" t="str">
        <f ca="1">(SUMPRODUCT(MID(0&amp;(LEFT(A120,SUM(LEN(A120)-LEN(SUBSTITUTE(A120,{"0","1","2"},""))))), LARGE(INDEX(ISNUMBER(--MID((LEFT(A120,SUM(LEN(A120)-LEN(SUBSTITUTE(A120,{"0","1","2"},""))))), ROW(INDIRECT("1:"&amp;LEN((LEFT(A120,SUM(LEN(A120)-LEN(SUBSTITUTE(A120,{"0","1","2"},"")))))))), 1)) * ROW(INDIRECT("1:"&amp;LEN((LEFT(A120,SUM(LEN(A120)-LEN(SUBSTITUTE(A120,{"0","1","2"},"")))))))), 0), ROW(INDIRECT("1:"&amp;LEN((LEFT(A120,SUM(LEN(A120)-LEN(SUBSTITUTE(A120,{"0","1","2"},"")))))))))+1, 1) * 10^ROW(INDIRECT("1:"&amp;LEN((LEFT(A120,SUM(LEN(A120)-LEN(SUBSTITUTE(A120,{"0","1","2"},""))))))))/10))*1+1&amp;""&amp;" ,.., "&amp;""&amp;(SUMPRODUCT(MID(0&amp;(--TRIM(RIGHT(SUBSTITUTE(LEFT(A120,_xlfn.AGGREGATE(16,6,FIND({0,1,2,3,4,5,6,7,8,9},A120,ROW(INDIRECT("1:"&amp;LEN(A120)))),1))," ",REPT(" ",LEN(A120))),LEN(A120)))), LARGE(INDEX(ISNUMBER(--MID((--TRIM(RIGHT(SUBSTITUTE(LEFT(A120,_xlfn.AGGREGATE(16,6,FIND({0,1,2,3,4,5,6,7,8,9},A120,ROW(INDIRECT("1:"&amp;LEN(A120)))),1))," ",REPT(" ",LEN(A120))),LEN(A120)))), ROW(INDIRECT("1:"&amp;LEN((--TRIM(RIGHT(SUBSTITUTE(LEFT(A120,_xlfn.AGGREGATE(16,6,FIND({0,1,2,3,4,5,6,7,8,9},A120,ROW(INDIRECT("1:"&amp;LEN(A120)))),1))," ",REPT(" ",LEN(A120))),LEN(A120))))))), 1)) * ROW(INDIRECT("1:"&amp;LEN((--TRIM(RIGHT(SUBSTITUTE(LEFT(A120,_xlfn.AGGREGATE(16,6,FIND({0,1,2,3,4,5,6,7,8,9},A120,ROW(INDIRECT("1:"&amp;LEN(A120)))),1))," ",REPT(" ",LEN(A120))),LEN(A120))))))), 0), ROW(INDIRECT("1:"&amp;LEN((--TRIM(RIGHT(SUBSTITUTE(LEFT(A120,_xlfn.AGGREGATE(16,6,FIND({0,1,2,3,4,5,6,7,8,9},A120,ROW(INDIRECT("1:"&amp;LEN(A120)))),1))," ",REPT(" ",LEN(A120))),LEN(A120))))))))+1, 1) * 10^ROW(INDIRECT("1:"&amp;LEN((--TRIM(RIGHT(SUBSTITUTE(LEFT(A120,_xlfn.AGGREGATE(16,6,FIND({0,1,2,3,4,5,6,7,8,9},A120,ROW(INDIRECT("1:"&amp;LEN(A120)))),1))," ",REPT(" ",LEN(A120))),LEN(A120)))))))/10))*1+1</f>
        <v>103 ,.., 1003</v>
      </c>
      <c r="B121" s="68"/>
      <c r="C121" s="44" t="s">
        <v>199</v>
      </c>
      <c r="D121" s="44">
        <f>(21+2.7+0.75*(1.8))*10.764</f>
        <v>269.63819999999998</v>
      </c>
      <c r="E121" s="44">
        <v>0</v>
      </c>
      <c r="F121" s="44">
        <f t="shared" si="1"/>
        <v>404.45729999999998</v>
      </c>
      <c r="G121" s="67" t="str">
        <f t="shared" si="2"/>
        <v>1st to 7th, 9th , 10th Floor for Residential</v>
      </c>
      <c r="H121" s="68"/>
      <c r="I121" s="56"/>
      <c r="J121" s="56">
        <f>1850000/F125</f>
        <v>4629.473228507045</v>
      </c>
      <c r="K121" s="34">
        <f>3800*670</f>
        <v>2546000</v>
      </c>
    </row>
    <row r="122" spans="1:11" s="34" customFormat="1" ht="15.75" customHeight="1" x14ac:dyDescent="0.3">
      <c r="A122" s="67" t="str">
        <f ca="1">(SUMPRODUCT(MID(0&amp;(LEFT(A121,SUM(LEN(A121)-LEN(SUBSTITUTE(A121,{"0","1","2"},""))))), LARGE(INDEX(ISNUMBER(--MID((LEFT(A121,SUM(LEN(A121)-LEN(SUBSTITUTE(A121,{"0","1","2"},""))))), ROW(INDIRECT("1:"&amp;LEN((LEFT(A121,SUM(LEN(A121)-LEN(SUBSTITUTE(A121,{"0","1","2"},"")))))))), 1)) * ROW(INDIRECT("1:"&amp;LEN((LEFT(A121,SUM(LEN(A121)-LEN(SUBSTITUTE(A121,{"0","1","2"},"")))))))), 0), ROW(INDIRECT("1:"&amp;LEN((LEFT(A121,SUM(LEN(A121)-LEN(SUBSTITUTE(A121,{"0","1","2"},"")))))))))+1, 1) * 10^ROW(INDIRECT("1:"&amp;LEN((LEFT(A121,SUM(LEN(A121)-LEN(SUBSTITUTE(A121,{"0","1","2"},""))))))))/10))*1+1&amp;""&amp;" ,.., "&amp;""&amp;(SUMPRODUCT(MID(0&amp;(--TRIM(RIGHT(SUBSTITUTE(LEFT(A121,_xlfn.AGGREGATE(16,6,FIND({0,1,2,3,4,5,6,7,8,9},A121,ROW(INDIRECT("1:"&amp;LEN(A121)))),1))," ",REPT(" ",LEN(A121))),LEN(A121)))), LARGE(INDEX(ISNUMBER(--MID((--TRIM(RIGHT(SUBSTITUTE(LEFT(A121,_xlfn.AGGREGATE(16,6,FIND({0,1,2,3,4,5,6,7,8,9},A121,ROW(INDIRECT("1:"&amp;LEN(A121)))),1))," ",REPT(" ",LEN(A121))),LEN(A121)))), ROW(INDIRECT("1:"&amp;LEN((--TRIM(RIGHT(SUBSTITUTE(LEFT(A121,_xlfn.AGGREGATE(16,6,FIND({0,1,2,3,4,5,6,7,8,9},A121,ROW(INDIRECT("1:"&amp;LEN(A121)))),1))," ",REPT(" ",LEN(A121))),LEN(A121))))))), 1)) * ROW(INDIRECT("1:"&amp;LEN((--TRIM(RIGHT(SUBSTITUTE(LEFT(A121,_xlfn.AGGREGATE(16,6,FIND({0,1,2,3,4,5,6,7,8,9},A121,ROW(INDIRECT("1:"&amp;LEN(A121)))),1))," ",REPT(" ",LEN(A121))),LEN(A121))))))), 0), ROW(INDIRECT("1:"&amp;LEN((--TRIM(RIGHT(SUBSTITUTE(LEFT(A121,_xlfn.AGGREGATE(16,6,FIND({0,1,2,3,4,5,6,7,8,9},A121,ROW(INDIRECT("1:"&amp;LEN(A121)))),1))," ",REPT(" ",LEN(A121))),LEN(A121))))))))+1, 1) * 10^ROW(INDIRECT("1:"&amp;LEN((--TRIM(RIGHT(SUBSTITUTE(LEFT(A121,_xlfn.AGGREGATE(16,6,FIND({0,1,2,3,4,5,6,7,8,9},A121,ROW(INDIRECT("1:"&amp;LEN(A121)))),1))," ",REPT(" ",LEN(A121))),LEN(A121)))))))/10))*1+1</f>
        <v>104 ,.., 1004</v>
      </c>
      <c r="B122" s="68"/>
      <c r="C122" s="44" t="s">
        <v>198</v>
      </c>
      <c r="D122" s="44">
        <f>(31.02+2.1+0.75*(2.1+2.75))*10.764</f>
        <v>395.65772999999996</v>
      </c>
      <c r="E122" s="44">
        <v>0</v>
      </c>
      <c r="F122" s="44">
        <f t="shared" si="1"/>
        <v>593.48659499999997</v>
      </c>
      <c r="G122" s="67" t="str">
        <f t="shared" si="2"/>
        <v>1st to 7th, 9th , 10th Floor for Residential</v>
      </c>
      <c r="H122" s="68"/>
      <c r="I122" s="57" t="s">
        <v>164</v>
      </c>
      <c r="J122" s="57">
        <f>AVERAGE(J119:J121)</f>
        <v>4441.9841389631038</v>
      </c>
      <c r="K122" s="58">
        <f>AVERAGE(K120:K121)</f>
        <v>2980500</v>
      </c>
    </row>
    <row r="123" spans="1:11" s="34" customFormat="1" ht="15.75" customHeight="1" x14ac:dyDescent="0.3">
      <c r="A123" s="67" t="str">
        <f ca="1">(SUMPRODUCT(MID(0&amp;(LEFT(A122,SUM(LEN(A122)-LEN(SUBSTITUTE(A122,{"0","1","2"},""))))), LARGE(INDEX(ISNUMBER(--MID((LEFT(A122,SUM(LEN(A122)-LEN(SUBSTITUTE(A122,{"0","1","2"},""))))), ROW(INDIRECT("1:"&amp;LEN((LEFT(A122,SUM(LEN(A122)-LEN(SUBSTITUTE(A122,{"0","1","2"},"")))))))), 1)) * ROW(INDIRECT("1:"&amp;LEN((LEFT(A122,SUM(LEN(A122)-LEN(SUBSTITUTE(A122,{"0","1","2"},"")))))))), 0), ROW(INDIRECT("1:"&amp;LEN((LEFT(A122,SUM(LEN(A122)-LEN(SUBSTITUTE(A122,{"0","1","2"},"")))))))))+1, 1) * 10^ROW(INDIRECT("1:"&amp;LEN((LEFT(A122,SUM(LEN(A122)-LEN(SUBSTITUTE(A122,{"0","1","2"},""))))))))/10))*1+1&amp;""&amp;" ,.., "&amp;""&amp;(SUMPRODUCT(MID(0&amp;(--TRIM(RIGHT(SUBSTITUTE(LEFT(A122,_xlfn.AGGREGATE(16,6,FIND({0,1,2,3,4,5,6,7,8,9},A122,ROW(INDIRECT("1:"&amp;LEN(A122)))),1))," ",REPT(" ",LEN(A122))),LEN(A122)))), LARGE(INDEX(ISNUMBER(--MID((--TRIM(RIGHT(SUBSTITUTE(LEFT(A122,_xlfn.AGGREGATE(16,6,FIND({0,1,2,3,4,5,6,7,8,9},A122,ROW(INDIRECT("1:"&amp;LEN(A122)))),1))," ",REPT(" ",LEN(A122))),LEN(A122)))), ROW(INDIRECT("1:"&amp;LEN((--TRIM(RIGHT(SUBSTITUTE(LEFT(A122,_xlfn.AGGREGATE(16,6,FIND({0,1,2,3,4,5,6,7,8,9},A122,ROW(INDIRECT("1:"&amp;LEN(A122)))),1))," ",REPT(" ",LEN(A122))),LEN(A122))))))), 1)) * ROW(INDIRECT("1:"&amp;LEN((--TRIM(RIGHT(SUBSTITUTE(LEFT(A122,_xlfn.AGGREGATE(16,6,FIND({0,1,2,3,4,5,6,7,8,9},A122,ROW(INDIRECT("1:"&amp;LEN(A122)))),1))," ",REPT(" ",LEN(A122))),LEN(A122))))))), 0), ROW(INDIRECT("1:"&amp;LEN((--TRIM(RIGHT(SUBSTITUTE(LEFT(A122,_xlfn.AGGREGATE(16,6,FIND({0,1,2,3,4,5,6,7,8,9},A122,ROW(INDIRECT("1:"&amp;LEN(A122)))),1))," ",REPT(" ",LEN(A122))),LEN(A122))))))))+1, 1) * 10^ROW(INDIRECT("1:"&amp;LEN((--TRIM(RIGHT(SUBSTITUTE(LEFT(A122,_xlfn.AGGREGATE(16,6,FIND({0,1,2,3,4,5,6,7,8,9},A122,ROW(INDIRECT("1:"&amp;LEN(A122)))),1))," ",REPT(" ",LEN(A122))),LEN(A122)))))))/10))*1+1</f>
        <v>105 ,.., 1005</v>
      </c>
      <c r="B123" s="68"/>
      <c r="C123" s="44" t="s">
        <v>198</v>
      </c>
      <c r="D123" s="44">
        <f>(32.96+2.7+0.75*(2.3+2.75))*10.764</f>
        <v>424.61289000000005</v>
      </c>
      <c r="E123" s="44">
        <v>0</v>
      </c>
      <c r="F123" s="44">
        <f t="shared" si="1"/>
        <v>636.91933500000005</v>
      </c>
      <c r="G123" s="67" t="str">
        <f t="shared" si="2"/>
        <v>1st to 7th, 9th , 10th Floor for Residential</v>
      </c>
      <c r="H123" s="68"/>
      <c r="I123" s="33"/>
    </row>
    <row r="124" spans="1:11" s="34" customFormat="1" x14ac:dyDescent="0.3">
      <c r="A124" s="67" t="str">
        <f ca="1">(SUMPRODUCT(MID(0&amp;(LEFT(A123,SUM(LEN(A123)-LEN(SUBSTITUTE(A123,{"0","1","2"},""))))), LARGE(INDEX(ISNUMBER(--MID((LEFT(A123,SUM(LEN(A123)-LEN(SUBSTITUTE(A123,{"0","1","2"},""))))), ROW(INDIRECT("1:"&amp;LEN((LEFT(A123,SUM(LEN(A123)-LEN(SUBSTITUTE(A123,{"0","1","2"},"")))))))), 1)) * ROW(INDIRECT("1:"&amp;LEN((LEFT(A123,SUM(LEN(A123)-LEN(SUBSTITUTE(A123,{"0","1","2"},"")))))))), 0), ROW(INDIRECT("1:"&amp;LEN((LEFT(A123,SUM(LEN(A123)-LEN(SUBSTITUTE(A123,{"0","1","2"},"")))))))))+1, 1) * 10^ROW(INDIRECT("1:"&amp;LEN((LEFT(A123,SUM(LEN(A123)-LEN(SUBSTITUTE(A123,{"0","1","2"},""))))))))/10))*1+1&amp;""&amp;" ,.., "&amp;""&amp;(SUMPRODUCT(MID(0&amp;(--TRIM(RIGHT(SUBSTITUTE(LEFT(A123,_xlfn.AGGREGATE(16,6,FIND({0,1,2,3,4,5,6,7,8,9},A123,ROW(INDIRECT("1:"&amp;LEN(A123)))),1))," ",REPT(" ",LEN(A123))),LEN(A123)))), LARGE(INDEX(ISNUMBER(--MID((--TRIM(RIGHT(SUBSTITUTE(LEFT(A123,_xlfn.AGGREGATE(16,6,FIND({0,1,2,3,4,5,6,7,8,9},A123,ROW(INDIRECT("1:"&amp;LEN(A123)))),1))," ",REPT(" ",LEN(A123))),LEN(A123)))), ROW(INDIRECT("1:"&amp;LEN((--TRIM(RIGHT(SUBSTITUTE(LEFT(A123,_xlfn.AGGREGATE(16,6,FIND({0,1,2,3,4,5,6,7,8,9},A123,ROW(INDIRECT("1:"&amp;LEN(A123)))),1))," ",REPT(" ",LEN(A123))),LEN(A123))))))), 1)) * ROW(INDIRECT("1:"&amp;LEN((--TRIM(RIGHT(SUBSTITUTE(LEFT(A123,_xlfn.AGGREGATE(16,6,FIND({0,1,2,3,4,5,6,7,8,9},A123,ROW(INDIRECT("1:"&amp;LEN(A123)))),1))," ",REPT(" ",LEN(A123))),LEN(A123))))))), 0), ROW(INDIRECT("1:"&amp;LEN((--TRIM(RIGHT(SUBSTITUTE(LEFT(A123,_xlfn.AGGREGATE(16,6,FIND({0,1,2,3,4,5,6,7,8,9},A123,ROW(INDIRECT("1:"&amp;LEN(A123)))),1))," ",REPT(" ",LEN(A123))),LEN(A123))))))))+1, 1) * 10^ROW(INDIRECT("1:"&amp;LEN((--TRIM(RIGHT(SUBSTITUTE(LEFT(A123,_xlfn.AGGREGATE(16,6,FIND({0,1,2,3,4,5,6,7,8,9},A123,ROW(INDIRECT("1:"&amp;LEN(A123)))),1))," ",REPT(" ",LEN(A123))),LEN(A123)))))))/10))*1+1</f>
        <v>106 ,.., 1006</v>
      </c>
      <c r="B124" s="68"/>
      <c r="C124" s="44" t="s">
        <v>198</v>
      </c>
      <c r="D124" s="44">
        <f>(29.57+5.4+0.75*(2.3))*10.764</f>
        <v>394.98498000000001</v>
      </c>
      <c r="E124" s="44">
        <v>0</v>
      </c>
      <c r="F124" s="44">
        <f t="shared" si="1"/>
        <v>592.47747000000004</v>
      </c>
      <c r="G124" s="67" t="str">
        <f t="shared" si="2"/>
        <v>1st to 7th, 9th , 10th Floor for Residential</v>
      </c>
      <c r="H124" s="68"/>
      <c r="I124" s="33"/>
    </row>
    <row r="125" spans="1:11" s="34" customFormat="1" ht="15.75" customHeight="1" x14ac:dyDescent="0.3">
      <c r="A125" s="67" t="str">
        <f ca="1">(SUMPRODUCT(MID(0&amp;(LEFT(A124,SUM(LEN(A124)-LEN(SUBSTITUTE(A124,{"0","1","2"},""))))), LARGE(INDEX(ISNUMBER(--MID((LEFT(A124,SUM(LEN(A124)-LEN(SUBSTITUTE(A124,{"0","1","2"},""))))), ROW(INDIRECT("1:"&amp;LEN((LEFT(A124,SUM(LEN(A124)-LEN(SUBSTITUTE(A124,{"0","1","2"},"")))))))), 1)) * ROW(INDIRECT("1:"&amp;LEN((LEFT(A124,SUM(LEN(A124)-LEN(SUBSTITUTE(A124,{"0","1","2"},"")))))))), 0), ROW(INDIRECT("1:"&amp;LEN((LEFT(A124,SUM(LEN(A124)-LEN(SUBSTITUTE(A124,{"0","1","2"},"")))))))))+1, 1) * 10^ROW(INDIRECT("1:"&amp;LEN((LEFT(A124,SUM(LEN(A124)-LEN(SUBSTITUTE(A124,{"0","1","2"},""))))))))/10))*1+1&amp;""&amp;" ,.., "&amp;""&amp;(SUMPRODUCT(MID(0&amp;(--TRIM(RIGHT(SUBSTITUTE(LEFT(A124,_xlfn.AGGREGATE(16,6,FIND({0,1,2,3,4,5,6,7,8,9},A124,ROW(INDIRECT("1:"&amp;LEN(A124)))),1))," ",REPT(" ",LEN(A124))),LEN(A124)))), LARGE(INDEX(ISNUMBER(--MID((--TRIM(RIGHT(SUBSTITUTE(LEFT(A124,_xlfn.AGGREGATE(16,6,FIND({0,1,2,3,4,5,6,7,8,9},A124,ROW(INDIRECT("1:"&amp;LEN(A124)))),1))," ",REPT(" ",LEN(A124))),LEN(A124)))), ROW(INDIRECT("1:"&amp;LEN((--TRIM(RIGHT(SUBSTITUTE(LEFT(A124,_xlfn.AGGREGATE(16,6,FIND({0,1,2,3,4,5,6,7,8,9},A124,ROW(INDIRECT("1:"&amp;LEN(A124)))),1))," ",REPT(" ",LEN(A124))),LEN(A124))))))), 1)) * ROW(INDIRECT("1:"&amp;LEN((--TRIM(RIGHT(SUBSTITUTE(LEFT(A124,_xlfn.AGGREGATE(16,6,FIND({0,1,2,3,4,5,6,7,8,9},A124,ROW(INDIRECT("1:"&amp;LEN(A124)))),1))," ",REPT(" ",LEN(A124))),LEN(A124))))))), 0), ROW(INDIRECT("1:"&amp;LEN((--TRIM(RIGHT(SUBSTITUTE(LEFT(A124,_xlfn.AGGREGATE(16,6,FIND({0,1,2,3,4,5,6,7,8,9},A124,ROW(INDIRECT("1:"&amp;LEN(A124)))),1))," ",REPT(" ",LEN(A124))),LEN(A124))))))))+1, 1) * 10^ROW(INDIRECT("1:"&amp;LEN((--TRIM(RIGHT(SUBSTITUTE(LEFT(A124,_xlfn.AGGREGATE(16,6,FIND({0,1,2,3,4,5,6,7,8,9},A124,ROW(INDIRECT("1:"&amp;LEN(A124)))),1))," ",REPT(" ",LEN(A124))),LEN(A124)))))))/10))*1+1</f>
        <v>107 ,.., 1007</v>
      </c>
      <c r="B125" s="68"/>
      <c r="C125" s="44" t="s">
        <v>199</v>
      </c>
      <c r="D125" s="44">
        <f>(20.7+2.7+0.75*1.8)*10.764</f>
        <v>266.40899999999999</v>
      </c>
      <c r="E125" s="44">
        <v>0</v>
      </c>
      <c r="F125" s="44">
        <f t="shared" si="1"/>
        <v>399.61349999999999</v>
      </c>
      <c r="G125" s="67" t="str">
        <f t="shared" si="2"/>
        <v>1st to 7th, 9th , 10th Floor for Residential</v>
      </c>
      <c r="H125" s="68"/>
      <c r="I125" s="33"/>
      <c r="K125" s="33">
        <f>2982000/F127</f>
        <v>4681.911564201454</v>
      </c>
    </row>
    <row r="126" spans="1:11" s="34" customFormat="1" ht="15.75" customHeight="1" x14ac:dyDescent="0.3">
      <c r="A126" s="67" t="str">
        <f ca="1">(SUMPRODUCT(MID(0&amp;(LEFT(A125,SUM(LEN(A125)-LEN(SUBSTITUTE(A125,{"0","1","2"},""))))), LARGE(INDEX(ISNUMBER(--MID((LEFT(A125,SUM(LEN(A125)-LEN(SUBSTITUTE(A125,{"0","1","2"},""))))), ROW(INDIRECT("1:"&amp;LEN((LEFT(A125,SUM(LEN(A125)-LEN(SUBSTITUTE(A125,{"0","1","2"},"")))))))), 1)) * ROW(INDIRECT("1:"&amp;LEN((LEFT(A125,SUM(LEN(A125)-LEN(SUBSTITUTE(A125,{"0","1","2"},"")))))))), 0), ROW(INDIRECT("1:"&amp;LEN((LEFT(A125,SUM(LEN(A125)-LEN(SUBSTITUTE(A125,{"0","1","2"},"")))))))))+1, 1) * 10^ROW(INDIRECT("1:"&amp;LEN((LEFT(A125,SUM(LEN(A125)-LEN(SUBSTITUTE(A125,{"0","1","2"},""))))))))/10))*1+1&amp;""&amp;" ,.., "&amp;""&amp;(SUMPRODUCT(MID(0&amp;(--TRIM(RIGHT(SUBSTITUTE(LEFT(A125,_xlfn.AGGREGATE(16,6,FIND({0,1,2,3,4,5,6,7,8,9},A125,ROW(INDIRECT("1:"&amp;LEN(A125)))),1))," ",REPT(" ",LEN(A125))),LEN(A125)))), LARGE(INDEX(ISNUMBER(--MID((--TRIM(RIGHT(SUBSTITUTE(LEFT(A125,_xlfn.AGGREGATE(16,6,FIND({0,1,2,3,4,5,6,7,8,9},A125,ROW(INDIRECT("1:"&amp;LEN(A125)))),1))," ",REPT(" ",LEN(A125))),LEN(A125)))), ROW(INDIRECT("1:"&amp;LEN((--TRIM(RIGHT(SUBSTITUTE(LEFT(A125,_xlfn.AGGREGATE(16,6,FIND({0,1,2,3,4,5,6,7,8,9},A125,ROW(INDIRECT("1:"&amp;LEN(A125)))),1))," ",REPT(" ",LEN(A125))),LEN(A125))))))), 1)) * ROW(INDIRECT("1:"&amp;LEN((--TRIM(RIGHT(SUBSTITUTE(LEFT(A125,_xlfn.AGGREGATE(16,6,FIND({0,1,2,3,4,5,6,7,8,9},A125,ROW(INDIRECT("1:"&amp;LEN(A125)))),1))," ",REPT(" ",LEN(A125))),LEN(A125))))))), 0), ROW(INDIRECT("1:"&amp;LEN((--TRIM(RIGHT(SUBSTITUTE(LEFT(A125,_xlfn.AGGREGATE(16,6,FIND({0,1,2,3,4,5,6,7,8,9},A125,ROW(INDIRECT("1:"&amp;LEN(A125)))),1))," ",REPT(" ",LEN(A125))),LEN(A125))))))))+1, 1) * 10^ROW(INDIRECT("1:"&amp;LEN((--TRIM(RIGHT(SUBSTITUTE(LEFT(A125,_xlfn.AGGREGATE(16,6,FIND({0,1,2,3,4,5,6,7,8,9},A125,ROW(INDIRECT("1:"&amp;LEN(A125)))),1))," ",REPT(" ",LEN(A125))),LEN(A125)))))))/10))*1+1</f>
        <v>108 ,.., 1008</v>
      </c>
      <c r="B126" s="68"/>
      <c r="C126" s="44" t="s">
        <v>199</v>
      </c>
      <c r="D126" s="44">
        <f>(20.7+2.7+0.75*1.8)*10.764</f>
        <v>266.40899999999999</v>
      </c>
      <c r="E126" s="44">
        <v>0</v>
      </c>
      <c r="F126" s="44">
        <f t="shared" si="1"/>
        <v>399.61349999999999</v>
      </c>
      <c r="G126" s="67" t="str">
        <f t="shared" si="2"/>
        <v>1st to 7th, 9th , 10th Floor for Residential</v>
      </c>
      <c r="H126" s="68"/>
      <c r="I126" s="33"/>
    </row>
    <row r="127" spans="1:11" s="34" customFormat="1" ht="15.75" customHeight="1" x14ac:dyDescent="0.3">
      <c r="A127" s="67" t="str">
        <f ca="1">(SUMPRODUCT(MID(0&amp;(LEFT(A126,SUM(LEN(A126)-LEN(SUBSTITUTE(A126,{"0","1","2"},""))))), LARGE(INDEX(ISNUMBER(--MID((LEFT(A126,SUM(LEN(A126)-LEN(SUBSTITUTE(A126,{"0","1","2"},""))))), ROW(INDIRECT("1:"&amp;LEN((LEFT(A126,SUM(LEN(A126)-LEN(SUBSTITUTE(A126,{"0","1","2"},"")))))))), 1)) * ROW(INDIRECT("1:"&amp;LEN((LEFT(A126,SUM(LEN(A126)-LEN(SUBSTITUTE(A126,{"0","1","2"},"")))))))), 0), ROW(INDIRECT("1:"&amp;LEN((LEFT(A126,SUM(LEN(A126)-LEN(SUBSTITUTE(A126,{"0","1","2"},"")))))))))+1, 1) * 10^ROW(INDIRECT("1:"&amp;LEN((LEFT(A126,SUM(LEN(A126)-LEN(SUBSTITUTE(A126,{"0","1","2"},""))))))))/10))*1+1&amp;""&amp;" ,.., "&amp;""&amp;(SUMPRODUCT(MID(0&amp;(--TRIM(RIGHT(SUBSTITUTE(LEFT(A126,_xlfn.AGGREGATE(16,6,FIND({0,1,2,3,4,5,6,7,8,9},A126,ROW(INDIRECT("1:"&amp;LEN(A126)))),1))," ",REPT(" ",LEN(A126))),LEN(A126)))), LARGE(INDEX(ISNUMBER(--MID((--TRIM(RIGHT(SUBSTITUTE(LEFT(A126,_xlfn.AGGREGATE(16,6,FIND({0,1,2,3,4,5,6,7,8,9},A126,ROW(INDIRECT("1:"&amp;LEN(A126)))),1))," ",REPT(" ",LEN(A126))),LEN(A126)))), ROW(INDIRECT("1:"&amp;LEN((--TRIM(RIGHT(SUBSTITUTE(LEFT(A126,_xlfn.AGGREGATE(16,6,FIND({0,1,2,3,4,5,6,7,8,9},A126,ROW(INDIRECT("1:"&amp;LEN(A126)))),1))," ",REPT(" ",LEN(A126))),LEN(A126))))))), 1)) * ROW(INDIRECT("1:"&amp;LEN((--TRIM(RIGHT(SUBSTITUTE(LEFT(A126,_xlfn.AGGREGATE(16,6,FIND({0,1,2,3,4,5,6,7,8,9},A126,ROW(INDIRECT("1:"&amp;LEN(A126)))),1))," ",REPT(" ",LEN(A126))),LEN(A126))))))), 0), ROW(INDIRECT("1:"&amp;LEN((--TRIM(RIGHT(SUBSTITUTE(LEFT(A126,_xlfn.AGGREGATE(16,6,FIND({0,1,2,3,4,5,6,7,8,9},A126,ROW(INDIRECT("1:"&amp;LEN(A126)))),1))," ",REPT(" ",LEN(A126))),LEN(A126))))))))+1, 1) * 10^ROW(INDIRECT("1:"&amp;LEN((--TRIM(RIGHT(SUBSTITUTE(LEFT(A126,_xlfn.AGGREGATE(16,6,FIND({0,1,2,3,4,5,6,7,8,9},A126,ROW(INDIRECT("1:"&amp;LEN(A126)))),1))," ",REPT(" ",LEN(A126))),LEN(A126)))))))/10))*1+1</f>
        <v>109 ,.., 1009</v>
      </c>
      <c r="B127" s="68"/>
      <c r="C127" s="44" t="s">
        <v>198</v>
      </c>
      <c r="D127" s="44">
        <f>(32.96+2.7+0.75*(2.3+2.75))*10.764</f>
        <v>424.61289000000005</v>
      </c>
      <c r="E127" s="44">
        <v>0</v>
      </c>
      <c r="F127" s="44">
        <f t="shared" si="1"/>
        <v>636.91933500000005</v>
      </c>
      <c r="G127" s="67" t="str">
        <f t="shared" si="2"/>
        <v>1st to 7th, 9th , 10th Floor for Residential</v>
      </c>
      <c r="H127" s="68"/>
      <c r="I127" s="33"/>
    </row>
    <row r="128" spans="1:11" s="34" customFormat="1" ht="15.75" customHeight="1" x14ac:dyDescent="0.3">
      <c r="A128" s="67" t="str">
        <f ca="1">(SUMPRODUCT(MID(0&amp;(LEFT(A127,SUM(LEN(A127)-LEN(SUBSTITUTE(A127,{"0","1","2"},""))))), LARGE(INDEX(ISNUMBER(--MID((LEFT(A127,SUM(LEN(A127)-LEN(SUBSTITUTE(A127,{"0","1","2"},""))))), ROW(INDIRECT("1:"&amp;LEN((LEFT(A127,SUM(LEN(A127)-LEN(SUBSTITUTE(A127,{"0","1","2"},"")))))))), 1)) * ROW(INDIRECT("1:"&amp;LEN((LEFT(A127,SUM(LEN(A127)-LEN(SUBSTITUTE(A127,{"0","1","2"},"")))))))), 0), ROW(INDIRECT("1:"&amp;LEN((LEFT(A127,SUM(LEN(A127)-LEN(SUBSTITUTE(A127,{"0","1","2"},"")))))))))+1, 1) * 10^ROW(INDIRECT("1:"&amp;LEN((LEFT(A127,SUM(LEN(A127)-LEN(SUBSTITUTE(A127,{"0","1","2"},""))))))))/10))*1+1&amp;""&amp;" ,.., "&amp;""&amp;(SUMPRODUCT(MID(0&amp;(--TRIM(RIGHT(SUBSTITUTE(LEFT(A127,_xlfn.AGGREGATE(16,6,FIND({0,1,2,3,4,5,6,7,8,9},A127,ROW(INDIRECT("1:"&amp;LEN(A127)))),1))," ",REPT(" ",LEN(A127))),LEN(A127)))), LARGE(INDEX(ISNUMBER(--MID((--TRIM(RIGHT(SUBSTITUTE(LEFT(A127,_xlfn.AGGREGATE(16,6,FIND({0,1,2,3,4,5,6,7,8,9},A127,ROW(INDIRECT("1:"&amp;LEN(A127)))),1))," ",REPT(" ",LEN(A127))),LEN(A127)))), ROW(INDIRECT("1:"&amp;LEN((--TRIM(RIGHT(SUBSTITUTE(LEFT(A127,_xlfn.AGGREGATE(16,6,FIND({0,1,2,3,4,5,6,7,8,9},A127,ROW(INDIRECT("1:"&amp;LEN(A127)))),1))," ",REPT(" ",LEN(A127))),LEN(A127))))))), 1)) * ROW(INDIRECT("1:"&amp;LEN((--TRIM(RIGHT(SUBSTITUTE(LEFT(A127,_xlfn.AGGREGATE(16,6,FIND({0,1,2,3,4,5,6,7,8,9},A127,ROW(INDIRECT("1:"&amp;LEN(A127)))),1))," ",REPT(" ",LEN(A127))),LEN(A127))))))), 0), ROW(INDIRECT("1:"&amp;LEN((--TRIM(RIGHT(SUBSTITUTE(LEFT(A127,_xlfn.AGGREGATE(16,6,FIND({0,1,2,3,4,5,6,7,8,9},A127,ROW(INDIRECT("1:"&amp;LEN(A127)))),1))," ",REPT(" ",LEN(A127))),LEN(A127))))))))+1, 1) * 10^ROW(INDIRECT("1:"&amp;LEN((--TRIM(RIGHT(SUBSTITUTE(LEFT(A127,_xlfn.AGGREGATE(16,6,FIND({0,1,2,3,4,5,6,7,8,9},A127,ROW(INDIRECT("1:"&amp;LEN(A127)))),1))," ",REPT(" ",LEN(A127))),LEN(A127)))))))/10))*1+1</f>
        <v>110 ,.., 1010</v>
      </c>
      <c r="B128" s="68"/>
      <c r="C128" s="44" t="s">
        <v>198</v>
      </c>
      <c r="D128" s="44">
        <f>(32.44+2.7+0.75*(2.3+2.75))*10.764</f>
        <v>419.01560999999998</v>
      </c>
      <c r="E128" s="44">
        <v>0</v>
      </c>
      <c r="F128" s="44">
        <f t="shared" si="1"/>
        <v>628.523415</v>
      </c>
      <c r="G128" s="67" t="str">
        <f t="shared" si="2"/>
        <v>1st to 7th, 9th , 10th Floor for Residential</v>
      </c>
      <c r="H128" s="68"/>
      <c r="I128" s="33"/>
    </row>
    <row r="129" spans="1:14" s="34" customFormat="1" ht="15.75" customHeight="1" x14ac:dyDescent="0.3">
      <c r="A129" s="69" t="str">
        <f ca="1">(SUMPRODUCT(MID(0&amp;(LEFT(A128,SUM(LEN(A128)-LEN(SUBSTITUTE(A128,{"0","1","2"},""))))), LARGE(INDEX(ISNUMBER(--MID((LEFT(A128,SUM(LEN(A128)-LEN(SUBSTITUTE(A128,{"0","1","2"},""))))), ROW(INDIRECT("1:"&amp;LEN((LEFT(A128,SUM(LEN(A128)-LEN(SUBSTITUTE(A128,{"0","1","2"},"")))))))), 1)) * ROW(INDIRECT("1:"&amp;LEN((LEFT(A128,SUM(LEN(A128)-LEN(SUBSTITUTE(A128,{"0","1","2"},"")))))))), 0), ROW(INDIRECT("1:"&amp;LEN((LEFT(A128,SUM(LEN(A128)-LEN(SUBSTITUTE(A128,{"0","1","2"},"")))))))))+1, 1) * 10^ROW(INDIRECT("1:"&amp;LEN((LEFT(A128,SUM(LEN(A128)-LEN(SUBSTITUTE(A128,{"0","1","2"},""))))))))/10))*1+1&amp;""&amp;" ,.., "&amp;""&amp;(SUMPRODUCT(MID(0&amp;(--TRIM(RIGHT(SUBSTITUTE(LEFT(A128,_xlfn.AGGREGATE(16,6,FIND({0,1,2,3,4,5,6,7,8,9},A128,ROW(INDIRECT("1:"&amp;LEN(A128)))),1))," ",REPT(" ",LEN(A128))),LEN(A128)))), LARGE(INDEX(ISNUMBER(--MID((--TRIM(RIGHT(SUBSTITUTE(LEFT(A128,_xlfn.AGGREGATE(16,6,FIND({0,1,2,3,4,5,6,7,8,9},A128,ROW(INDIRECT("1:"&amp;LEN(A128)))),1))," ",REPT(" ",LEN(A128))),LEN(A128)))), ROW(INDIRECT("1:"&amp;LEN((--TRIM(RIGHT(SUBSTITUTE(LEFT(A128,_xlfn.AGGREGATE(16,6,FIND({0,1,2,3,4,5,6,7,8,9},A128,ROW(INDIRECT("1:"&amp;LEN(A128)))),1))," ",REPT(" ",LEN(A128))),LEN(A128))))))), 1)) * ROW(INDIRECT("1:"&amp;LEN((--TRIM(RIGHT(SUBSTITUTE(LEFT(A128,_xlfn.AGGREGATE(16,6,FIND({0,1,2,3,4,5,6,7,8,9},A128,ROW(INDIRECT("1:"&amp;LEN(A128)))),1))," ",REPT(" ",LEN(A128))),LEN(A128))))))), 0), ROW(INDIRECT("1:"&amp;LEN((--TRIM(RIGHT(SUBSTITUTE(LEFT(A128,_xlfn.AGGREGATE(16,6,FIND({0,1,2,3,4,5,6,7,8,9},A128,ROW(INDIRECT("1:"&amp;LEN(A128)))),1))," ",REPT(" ",LEN(A128))),LEN(A128))))))))+1, 1) * 10^ROW(INDIRECT("1:"&amp;LEN((--TRIM(RIGHT(SUBSTITUTE(LEFT(A128,_xlfn.AGGREGATE(16,6,FIND({0,1,2,3,4,5,6,7,8,9},A128,ROW(INDIRECT("1:"&amp;LEN(A128)))),1))," ",REPT(" ",LEN(A128))),LEN(A128)))))))/10))*1+1</f>
        <v>111 ,.., 1011</v>
      </c>
      <c r="B129" s="69"/>
      <c r="C129" s="44" t="s">
        <v>198</v>
      </c>
      <c r="D129" s="44">
        <f>(28.27+4.85+0.75*(2.1))*10.764</f>
        <v>373.45697999999999</v>
      </c>
      <c r="E129" s="44">
        <v>0</v>
      </c>
      <c r="F129" s="44">
        <f t="shared" si="1"/>
        <v>560.18547000000001</v>
      </c>
      <c r="G129" s="69" t="str">
        <f t="shared" si="2"/>
        <v>1st to 7th, 9th , 10th Floor for Residential</v>
      </c>
      <c r="H129" s="69"/>
      <c r="I129" s="33">
        <f>2584172/F129</f>
        <v>4613.0650264813185</v>
      </c>
      <c r="J129" s="34">
        <f>5000*615</f>
        <v>3075000</v>
      </c>
    </row>
    <row r="130" spans="1:14" s="34" customFormat="1" ht="15.75" customHeight="1" x14ac:dyDescent="0.3">
      <c r="A130" s="69" t="str">
        <f ca="1">(SUMPRODUCT(MID(0&amp;(LEFT(A129,SUM(LEN(A129)-LEN(SUBSTITUTE(A129,{"0","1","2"},""))))), LARGE(INDEX(ISNUMBER(--MID((LEFT(A129,SUM(LEN(A129)-LEN(SUBSTITUTE(A129,{"0","1","2"},""))))), ROW(INDIRECT("1:"&amp;LEN((LEFT(A129,SUM(LEN(A129)-LEN(SUBSTITUTE(A129,{"0","1","2"},"")))))))), 1)) * ROW(INDIRECT("1:"&amp;LEN((LEFT(A129,SUM(LEN(A129)-LEN(SUBSTITUTE(A129,{"0","1","2"},"")))))))), 0), ROW(INDIRECT("1:"&amp;LEN((LEFT(A129,SUM(LEN(A129)-LEN(SUBSTITUTE(A129,{"0","1","2"},"")))))))))+1, 1) * 10^ROW(INDIRECT("1:"&amp;LEN((LEFT(A129,SUM(LEN(A129)-LEN(SUBSTITUTE(A129,{"0","1","2"},""))))))))/10))*1+1&amp;""&amp;" ,.., "&amp;""&amp;(SUMPRODUCT(MID(0&amp;(--TRIM(RIGHT(SUBSTITUTE(LEFT(A129,_xlfn.AGGREGATE(16,6,FIND({0,1,2,3,4,5,6,7,8,9},A129,ROW(INDIRECT("1:"&amp;LEN(A129)))),1))," ",REPT(" ",LEN(A129))),LEN(A129)))), LARGE(INDEX(ISNUMBER(--MID((--TRIM(RIGHT(SUBSTITUTE(LEFT(A129,_xlfn.AGGREGATE(16,6,FIND({0,1,2,3,4,5,6,7,8,9},A129,ROW(INDIRECT("1:"&amp;LEN(A129)))),1))," ",REPT(" ",LEN(A129))),LEN(A129)))), ROW(INDIRECT("1:"&amp;LEN((--TRIM(RIGHT(SUBSTITUTE(LEFT(A129,_xlfn.AGGREGATE(16,6,FIND({0,1,2,3,4,5,6,7,8,9},A129,ROW(INDIRECT("1:"&amp;LEN(A129)))),1))," ",REPT(" ",LEN(A129))),LEN(A129))))))), 1)) * ROW(INDIRECT("1:"&amp;LEN((--TRIM(RIGHT(SUBSTITUTE(LEFT(A129,_xlfn.AGGREGATE(16,6,FIND({0,1,2,3,4,5,6,7,8,9},A129,ROW(INDIRECT("1:"&amp;LEN(A129)))),1))," ",REPT(" ",LEN(A129))),LEN(A129))))))), 0), ROW(INDIRECT("1:"&amp;LEN((--TRIM(RIGHT(SUBSTITUTE(LEFT(A129,_xlfn.AGGREGATE(16,6,FIND({0,1,2,3,4,5,6,7,8,9},A129,ROW(INDIRECT("1:"&amp;LEN(A129)))),1))," ",REPT(" ",LEN(A129))),LEN(A129))))))))+1, 1) * 10^ROW(INDIRECT("1:"&amp;LEN((--TRIM(RIGHT(SUBSTITUTE(LEFT(A129,_xlfn.AGGREGATE(16,6,FIND({0,1,2,3,4,5,6,7,8,9},A129,ROW(INDIRECT("1:"&amp;LEN(A129)))),1))," ",REPT(" ",LEN(A129))),LEN(A129)))))))/10))*1+1</f>
        <v>112 ,.., 1012</v>
      </c>
      <c r="B130" s="69"/>
      <c r="C130" s="44" t="s">
        <v>198</v>
      </c>
      <c r="D130" s="44">
        <f>(27.81+7.85)*10.764</f>
        <v>383.84423999999996</v>
      </c>
      <c r="E130" s="44">
        <v>0</v>
      </c>
      <c r="F130" s="44">
        <f t="shared" si="1"/>
        <v>575.76635999999996</v>
      </c>
      <c r="G130" s="69" t="str">
        <f t="shared" si="2"/>
        <v>1st to 7th, 9th , 10th Floor for Residential</v>
      </c>
      <c r="H130" s="69"/>
      <c r="I130" s="33"/>
    </row>
    <row r="131" spans="1:14" s="34" customFormat="1" x14ac:dyDescent="0.3">
      <c r="A131" s="74" t="s">
        <v>200</v>
      </c>
      <c r="B131" s="74"/>
      <c r="C131" s="74"/>
      <c r="D131" s="74"/>
      <c r="E131" s="74"/>
      <c r="F131" s="74"/>
      <c r="G131" s="74"/>
      <c r="H131" s="74"/>
      <c r="I131" s="33"/>
      <c r="L131" s="73"/>
      <c r="M131" s="73"/>
    </row>
    <row r="132" spans="1:14" s="34" customFormat="1" x14ac:dyDescent="0.3">
      <c r="A132" s="69">
        <f>LEFT(A131,SUM(LEN(A131)-LEN(SUBSTITUTE(A131,{"0","1","2","3","4","5","6","7","8","9"},""))))*100+1</f>
        <v>801</v>
      </c>
      <c r="B132" s="69"/>
      <c r="C132" s="44" t="s">
        <v>197</v>
      </c>
      <c r="D132" s="44">
        <f>(46.81+2.7+0.75*(2.3+2.75+2.72))*10.764</f>
        <v>595.65285000000006</v>
      </c>
      <c r="E132" s="44">
        <v>0</v>
      </c>
      <c r="F132" s="44">
        <f t="shared" ref="F132:F133" si="3">D132*(($F$115)+1)+(IF(E132&lt;101,E132,IF(E132&lt;201,E132/2,IF(E132&lt;=301,E132/3,E132/4))))</f>
        <v>893.47927500000014</v>
      </c>
      <c r="G132" s="69" t="str">
        <f>A131</f>
        <v>8th Floor (Part Refuge Area)</v>
      </c>
      <c r="H132" s="69"/>
      <c r="I132" s="33"/>
      <c r="J132" s="34">
        <f>4500*593</f>
        <v>2668500</v>
      </c>
      <c r="N132" s="33"/>
    </row>
    <row r="133" spans="1:14" s="34" customFormat="1" x14ac:dyDescent="0.3">
      <c r="A133" s="69">
        <f t="shared" ref="A133:A142" si="4">A132+1</f>
        <v>802</v>
      </c>
      <c r="B133" s="69"/>
      <c r="C133" s="44" t="s">
        <v>197</v>
      </c>
      <c r="D133" s="44">
        <f>(46.81+2.7+0.75*(2.3+2.75+2.72))*10.764</f>
        <v>595.65285000000006</v>
      </c>
      <c r="E133" s="44">
        <v>0</v>
      </c>
      <c r="F133" s="44">
        <f t="shared" si="3"/>
        <v>893.47927500000014</v>
      </c>
      <c r="G133" s="69" t="str">
        <f t="shared" ref="G133:G142" si="5">G132</f>
        <v>8th Floor (Part Refuge Area)</v>
      </c>
      <c r="H133" s="69"/>
      <c r="I133" s="33"/>
      <c r="N133" s="33"/>
    </row>
    <row r="134" spans="1:14" s="34" customFormat="1" x14ac:dyDescent="0.3">
      <c r="A134" s="69">
        <f t="shared" si="4"/>
        <v>803</v>
      </c>
      <c r="B134" s="69"/>
      <c r="C134" s="44" t="s">
        <v>199</v>
      </c>
      <c r="D134" s="44">
        <f>(21+2.7+0.75*(1.8))*10.764</f>
        <v>269.63819999999998</v>
      </c>
      <c r="E134" s="44">
        <v>0</v>
      </c>
      <c r="F134" s="44">
        <f>D134*(($F$115)+1)+(IF(E134&lt;101,E134,IF(E134&lt;201,E134/2,IF(E134&lt;=301,E134/3,E134/4))))</f>
        <v>404.45729999999998</v>
      </c>
      <c r="G134" s="69" t="str">
        <f t="shared" si="5"/>
        <v>8th Floor (Part Refuge Area)</v>
      </c>
      <c r="H134" s="69"/>
      <c r="I134" s="33"/>
      <c r="N134" s="33"/>
    </row>
    <row r="135" spans="1:14" s="34" customFormat="1" x14ac:dyDescent="0.3">
      <c r="A135" s="69">
        <f t="shared" si="4"/>
        <v>804</v>
      </c>
      <c r="B135" s="69"/>
      <c r="C135" s="44" t="s">
        <v>198</v>
      </c>
      <c r="D135" s="44">
        <f>(31.02+2.1+0.75*(2.1+2.75))*10.764</f>
        <v>395.65772999999996</v>
      </c>
      <c r="E135" s="44">
        <v>0</v>
      </c>
      <c r="F135" s="44">
        <f>D135*(($F$115)+1)+(IF(E135&lt;101,E135,IF(E135&lt;201,E135/2,IF(E135&lt;=301,E135/3,E135/4))))</f>
        <v>593.48659499999997</v>
      </c>
      <c r="G135" s="69" t="str">
        <f t="shared" si="5"/>
        <v>8th Floor (Part Refuge Area)</v>
      </c>
      <c r="H135" s="69"/>
      <c r="I135" s="33"/>
      <c r="N135" s="33"/>
    </row>
    <row r="136" spans="1:14" s="34" customFormat="1" x14ac:dyDescent="0.3">
      <c r="A136" s="69">
        <f t="shared" si="4"/>
        <v>805</v>
      </c>
      <c r="B136" s="69"/>
      <c r="C136" s="44" t="s">
        <v>198</v>
      </c>
      <c r="D136" s="44">
        <f>(32.96+2.7+0.75*(2.3+2.75))*10.764</f>
        <v>424.61289000000005</v>
      </c>
      <c r="E136" s="44">
        <v>0</v>
      </c>
      <c r="F136" s="44">
        <f>D136*(($F$115)+1)+(IF(E136&lt;101,E136,IF(E136&lt;201,E136/2,IF(E136&lt;=301,E136/3,E136/4))))</f>
        <v>636.91933500000005</v>
      </c>
      <c r="G136" s="69" t="str">
        <f t="shared" si="5"/>
        <v>8th Floor (Part Refuge Area)</v>
      </c>
      <c r="H136" s="69"/>
      <c r="I136" s="33"/>
      <c r="N136" s="33"/>
    </row>
    <row r="137" spans="1:14" s="34" customFormat="1" x14ac:dyDescent="0.3">
      <c r="A137" s="69">
        <f t="shared" si="4"/>
        <v>806</v>
      </c>
      <c r="B137" s="69"/>
      <c r="C137" s="44" t="s">
        <v>198</v>
      </c>
      <c r="D137" s="44">
        <f>(29.57+5.4+0.75*(2.3))*10.764</f>
        <v>394.98498000000001</v>
      </c>
      <c r="E137" s="44">
        <v>0</v>
      </c>
      <c r="F137" s="44">
        <f t="shared" ref="F137" si="6">D137*(($F$115)+1)+(IF(E137&lt;101,E137,IF(E137&lt;201,E137/2,IF(E137&lt;=301,E137/3,E137/4))))</f>
        <v>592.47747000000004</v>
      </c>
      <c r="G137" s="69" t="str">
        <f t="shared" si="5"/>
        <v>8th Floor (Part Refuge Area)</v>
      </c>
      <c r="H137" s="69"/>
      <c r="I137" s="33"/>
      <c r="N137" s="33"/>
    </row>
    <row r="138" spans="1:14" s="34" customFormat="1" x14ac:dyDescent="0.3">
      <c r="A138" s="69">
        <f t="shared" si="4"/>
        <v>807</v>
      </c>
      <c r="B138" s="69"/>
      <c r="C138" s="44" t="s">
        <v>199</v>
      </c>
      <c r="D138" s="44">
        <f>(20.7+2.7+0.75*1.8)*10.764</f>
        <v>266.40899999999999</v>
      </c>
      <c r="E138" s="44">
        <v>0</v>
      </c>
      <c r="F138" s="44">
        <f>D138*(($F$115)+1)+(IF(E138&lt;101,E138,IF(E138&lt;201,E138/2,IF(E138&lt;=301,E138/3,E138/4))))</f>
        <v>399.61349999999999</v>
      </c>
      <c r="G138" s="69" t="str">
        <f t="shared" si="5"/>
        <v>8th Floor (Part Refuge Area)</v>
      </c>
      <c r="H138" s="69"/>
      <c r="I138" s="33"/>
      <c r="N138" s="33"/>
    </row>
    <row r="139" spans="1:14" s="34" customFormat="1" x14ac:dyDescent="0.3">
      <c r="A139" s="69">
        <f t="shared" si="4"/>
        <v>808</v>
      </c>
      <c r="B139" s="69"/>
      <c r="C139" s="44" t="s">
        <v>199</v>
      </c>
      <c r="D139" s="44">
        <f>(20.7+2.7+0.75*1.8)*10.764</f>
        <v>266.40899999999999</v>
      </c>
      <c r="E139" s="44">
        <v>0</v>
      </c>
      <c r="F139" s="44">
        <f>D139*(($F$115)+1)+(IF(E139&lt;101,E139,IF(E139&lt;201,E139/2,IF(E139&lt;=301,E139/3,E139/4))))</f>
        <v>399.61349999999999</v>
      </c>
      <c r="G139" s="69" t="str">
        <f t="shared" si="5"/>
        <v>8th Floor (Part Refuge Area)</v>
      </c>
      <c r="H139" s="69"/>
      <c r="I139" s="33"/>
      <c r="N139" s="33"/>
    </row>
    <row r="140" spans="1:14" s="34" customFormat="1" x14ac:dyDescent="0.3">
      <c r="A140" s="69">
        <f t="shared" si="4"/>
        <v>809</v>
      </c>
      <c r="B140" s="69"/>
      <c r="C140" s="44" t="s">
        <v>198</v>
      </c>
      <c r="D140" s="44">
        <f>(32.96+2.7+0.75*(2.3+2.75))*10.764</f>
        <v>424.61289000000005</v>
      </c>
      <c r="E140" s="44">
        <v>0</v>
      </c>
      <c r="F140" s="44">
        <f>D140*(($F$115)+1)+(IF(E140&lt;101,E140,IF(E140&lt;201,E140/2,IF(E140&lt;=301,E140/3,E140/4))))</f>
        <v>636.91933500000005</v>
      </c>
      <c r="G140" s="69" t="str">
        <f t="shared" si="5"/>
        <v>8th Floor (Part Refuge Area)</v>
      </c>
      <c r="H140" s="69"/>
      <c r="I140" s="33"/>
      <c r="N140" s="33"/>
    </row>
    <row r="141" spans="1:14" s="34" customFormat="1" x14ac:dyDescent="0.3">
      <c r="A141" s="75">
        <f t="shared" si="4"/>
        <v>810</v>
      </c>
      <c r="B141" s="75"/>
      <c r="C141" s="49" t="s">
        <v>198</v>
      </c>
      <c r="D141" s="49">
        <f>(32.44+2.7+0.75*(2.3+2.75))*10.764</f>
        <v>419.01560999999998</v>
      </c>
      <c r="E141" s="49">
        <v>0</v>
      </c>
      <c r="F141" s="49">
        <f>D141*(($F$115)+1)+(IF(E141&lt;101,E141,IF(E141&lt;201,E141/2,IF(E141&lt;=301,E141/3,E141/4))))</f>
        <v>628.523415</v>
      </c>
      <c r="G141" s="75" t="str">
        <f t="shared" si="5"/>
        <v>8th Floor (Part Refuge Area)</v>
      </c>
      <c r="H141" s="75"/>
      <c r="I141" s="33"/>
      <c r="N141" s="33"/>
    </row>
    <row r="142" spans="1:14" s="52" customFormat="1" x14ac:dyDescent="0.3">
      <c r="A142" s="69">
        <f t="shared" si="4"/>
        <v>811</v>
      </c>
      <c r="B142" s="69"/>
      <c r="C142" s="44" t="s">
        <v>198</v>
      </c>
      <c r="D142" s="44">
        <f>(28.27+4.85+0.75*(2.1))*10.764</f>
        <v>373.45697999999999</v>
      </c>
      <c r="E142" s="44">
        <v>0</v>
      </c>
      <c r="F142" s="44">
        <f>D142*(($F$115)+1)+(IF(E142&lt;101,E142,IF(E142&lt;201,E142/2,IF(E142&lt;=301,E142/3,E142/4))))</f>
        <v>560.18547000000001</v>
      </c>
      <c r="G142" s="69" t="str">
        <f t="shared" si="5"/>
        <v>8th Floor (Part Refuge Area)</v>
      </c>
      <c r="H142" s="69"/>
      <c r="I142" s="51"/>
      <c r="N142" s="51"/>
    </row>
    <row r="143" spans="1:14" s="31" customFormat="1" x14ac:dyDescent="0.3">
      <c r="A143" s="70" t="s">
        <v>196</v>
      </c>
      <c r="B143" s="70"/>
      <c r="C143" s="70"/>
      <c r="D143" s="70"/>
      <c r="E143" s="70"/>
      <c r="F143" s="70"/>
      <c r="G143" s="70"/>
      <c r="H143" s="70"/>
    </row>
    <row r="144" spans="1:14" s="31" customFormat="1" x14ac:dyDescent="0.3">
      <c r="A144" s="70" t="s">
        <v>193</v>
      </c>
      <c r="B144" s="70"/>
      <c r="C144" s="70"/>
      <c r="D144" s="70"/>
      <c r="E144" s="70"/>
      <c r="F144" s="70"/>
      <c r="G144" s="70"/>
      <c r="H144" s="70"/>
    </row>
    <row r="145" spans="1:14" s="34" customFormat="1" ht="15.75" customHeight="1" x14ac:dyDescent="0.3">
      <c r="A145" s="140" t="s">
        <v>192</v>
      </c>
      <c r="B145" s="141"/>
      <c r="C145" s="141"/>
      <c r="D145" s="141"/>
      <c r="E145" s="141"/>
      <c r="F145" s="141"/>
      <c r="G145" s="141"/>
      <c r="H145" s="142"/>
      <c r="I145" s="33"/>
    </row>
    <row r="146" spans="1:14" s="34" customFormat="1" x14ac:dyDescent="0.3">
      <c r="A146" s="67" t="str">
        <f ca="1">(SUMPRODUCT(MID(0&amp;(LEFT(A145,SUM(LEN(A145)-LEN(SUBSTITUTE(A145,{"0","1","2"},""))))), LARGE(INDEX(ISNUMBER(--MID((LEFT(A145,SUM(LEN(A145)-LEN(SUBSTITUTE(A145,{"0","1","2"},""))))), ROW(INDIRECT("1:"&amp;LEN((LEFT(A145,SUM(LEN(A145)-LEN(SUBSTITUTE(A145,{"0","1","2"},"")))))))), 1)) * ROW(INDIRECT("1:"&amp;LEN((LEFT(A145,SUM(LEN(A145)-LEN(SUBSTITUTE(A145,{"0","1","2"},"")))))))), 0), ROW(INDIRECT("1:"&amp;LEN((LEFT(A145,SUM(LEN(A145)-LEN(SUBSTITUTE(A145,{"0","1","2"},"")))))))))+1, 1) * 10^ROW(INDIRECT("1:"&amp;LEN((LEFT(A145,SUM(LEN(A145)-LEN(SUBSTITUTE(A145,{"0","1","2"},""))))))))/10))*100+1&amp;""&amp;" ,.., "&amp;""&amp;(SUMPRODUCT(MID(0&amp;(--TRIM(RIGHT(SUBSTITUTE(LEFT(A145,_xlfn.AGGREGATE(16,6,FIND({0,1,2,3,4,5,6,7,8,9},A145,ROW(INDIRECT("1:"&amp;LEN(A145)))),1))," ",REPT(" ",LEN(A145))),LEN(A145)))), LARGE(INDEX(ISNUMBER(--MID((--TRIM(RIGHT(SUBSTITUTE(LEFT(A145,_xlfn.AGGREGATE(16,6,FIND({0,1,2,3,4,5,6,7,8,9},A145,ROW(INDIRECT("1:"&amp;LEN(A145)))),1))," ",REPT(" ",LEN(A145))),LEN(A145)))), ROW(INDIRECT("1:"&amp;LEN((--TRIM(RIGHT(SUBSTITUTE(LEFT(A145,_xlfn.AGGREGATE(16,6,FIND({0,1,2,3,4,5,6,7,8,9},A145,ROW(INDIRECT("1:"&amp;LEN(A145)))),1))," ",REPT(" ",LEN(A145))),LEN(A145))))))), 1)) * ROW(INDIRECT("1:"&amp;LEN((--TRIM(RIGHT(SUBSTITUTE(LEFT(A145,_xlfn.AGGREGATE(16,6,FIND({0,1,2,3,4,5,6,7,8,9},A145,ROW(INDIRECT("1:"&amp;LEN(A145)))),1))," ",REPT(" ",LEN(A145))),LEN(A145))))))), 0), ROW(INDIRECT("1:"&amp;LEN((--TRIM(RIGHT(SUBSTITUTE(LEFT(A145,_xlfn.AGGREGATE(16,6,FIND({0,1,2,3,4,5,6,7,8,9},A145,ROW(INDIRECT("1:"&amp;LEN(A145)))),1))," ",REPT(" ",LEN(A145))),LEN(A145))))))))+1, 1) * 10^ROW(INDIRECT("1:"&amp;LEN((--TRIM(RIGHT(SUBSTITUTE(LEFT(A145,_xlfn.AGGREGATE(16,6,FIND({0,1,2,3,4,5,6,7,8,9},A145,ROW(INDIRECT("1:"&amp;LEN(A145)))),1))," ",REPT(" ",LEN(A145))),LEN(A145)))))))/10))*100+1</f>
        <v>101 ,.., 1001</v>
      </c>
      <c r="B146" s="68"/>
      <c r="C146" s="44" t="s">
        <v>198</v>
      </c>
      <c r="D146" s="44">
        <f>(27.81+7.85)*10.764</f>
        <v>383.84423999999996</v>
      </c>
      <c r="E146" s="44">
        <v>0</v>
      </c>
      <c r="F146" s="44">
        <f t="shared" ref="F146:F157" si="7">D146*(($F$115)+1)+(IF(E146&lt;101,E146,IF(E146&lt;201,E146/2,IF(E146&lt;=301,E146/3,E146/4))))</f>
        <v>575.76635999999996</v>
      </c>
      <c r="G146" s="67" t="str">
        <f>A145</f>
        <v>1st to 7th, 9th , 10th Floor for Residential</v>
      </c>
      <c r="H146" s="68"/>
      <c r="I146" s="33"/>
    </row>
    <row r="147" spans="1:14" s="34" customFormat="1" x14ac:dyDescent="0.3">
      <c r="A147" s="67" t="str">
        <f ca="1">(SUMPRODUCT(MID(0&amp;(LEFT(A146,SUM(LEN(A146)-LEN(SUBSTITUTE(A146,{"0","1","2"},""))))), LARGE(INDEX(ISNUMBER(--MID((LEFT(A146,SUM(LEN(A146)-LEN(SUBSTITUTE(A146,{"0","1","2"},""))))), ROW(INDIRECT("1:"&amp;LEN((LEFT(A146,SUM(LEN(A146)-LEN(SUBSTITUTE(A146,{"0","1","2"},"")))))))), 1)) * ROW(INDIRECT("1:"&amp;LEN((LEFT(A146,SUM(LEN(A146)-LEN(SUBSTITUTE(A146,{"0","1","2"},"")))))))), 0), ROW(INDIRECT("1:"&amp;LEN((LEFT(A146,SUM(LEN(A146)-LEN(SUBSTITUTE(A146,{"0","1","2"},"")))))))))+1, 1) * 10^ROW(INDIRECT("1:"&amp;LEN((LEFT(A146,SUM(LEN(A146)-LEN(SUBSTITUTE(A146,{"0","1","2"},""))))))))/10))*1+1&amp;""&amp;" ,.., "&amp;""&amp;(SUMPRODUCT(MID(0&amp;(--TRIM(RIGHT(SUBSTITUTE(LEFT(A146,_xlfn.AGGREGATE(16,6,FIND({0,1,2,3,4,5,6,7,8,9},A146,ROW(INDIRECT("1:"&amp;LEN(A146)))),1))," ",REPT(" ",LEN(A146))),LEN(A146)))), LARGE(INDEX(ISNUMBER(--MID((--TRIM(RIGHT(SUBSTITUTE(LEFT(A146,_xlfn.AGGREGATE(16,6,FIND({0,1,2,3,4,5,6,7,8,9},A146,ROW(INDIRECT("1:"&amp;LEN(A146)))),1))," ",REPT(" ",LEN(A146))),LEN(A146)))), ROW(INDIRECT("1:"&amp;LEN((--TRIM(RIGHT(SUBSTITUTE(LEFT(A146,_xlfn.AGGREGATE(16,6,FIND({0,1,2,3,4,5,6,7,8,9},A146,ROW(INDIRECT("1:"&amp;LEN(A146)))),1))," ",REPT(" ",LEN(A146))),LEN(A146))))))), 1)) * ROW(INDIRECT("1:"&amp;LEN((--TRIM(RIGHT(SUBSTITUTE(LEFT(A146,_xlfn.AGGREGATE(16,6,FIND({0,1,2,3,4,5,6,7,8,9},A146,ROW(INDIRECT("1:"&amp;LEN(A146)))),1))," ",REPT(" ",LEN(A146))),LEN(A146))))))), 0), ROW(INDIRECT("1:"&amp;LEN((--TRIM(RIGHT(SUBSTITUTE(LEFT(A146,_xlfn.AGGREGATE(16,6,FIND({0,1,2,3,4,5,6,7,8,9},A146,ROW(INDIRECT("1:"&amp;LEN(A146)))),1))," ",REPT(" ",LEN(A146))),LEN(A146))))))))+1, 1) * 10^ROW(INDIRECT("1:"&amp;LEN((--TRIM(RIGHT(SUBSTITUTE(LEFT(A146,_xlfn.AGGREGATE(16,6,FIND({0,1,2,3,4,5,6,7,8,9},A146,ROW(INDIRECT("1:"&amp;LEN(A146)))),1))," ",REPT(" ",LEN(A146))),LEN(A146)))))))/10))*1+1</f>
        <v>102 ,.., 1002</v>
      </c>
      <c r="B147" s="68"/>
      <c r="C147" s="44" t="s">
        <v>198</v>
      </c>
      <c r="D147" s="44">
        <f>(28.28+4.85+0.75*2.1)*10.764</f>
        <v>373.56462000000005</v>
      </c>
      <c r="E147" s="44">
        <v>0</v>
      </c>
      <c r="F147" s="44">
        <f t="shared" si="7"/>
        <v>560.34693000000004</v>
      </c>
      <c r="G147" s="67" t="str">
        <f t="shared" ref="G147:G157" si="8">G146</f>
        <v>1st to 7th, 9th , 10th Floor for Residential</v>
      </c>
      <c r="H147" s="68"/>
      <c r="I147" s="33"/>
    </row>
    <row r="148" spans="1:14" s="34" customFormat="1" ht="15.75" customHeight="1" x14ac:dyDescent="0.3">
      <c r="A148" s="67" t="str">
        <f ca="1">(SUMPRODUCT(MID(0&amp;(LEFT(A147,SUM(LEN(A147)-LEN(SUBSTITUTE(A147,{"0","1","2"},""))))), LARGE(INDEX(ISNUMBER(--MID((LEFT(A147,SUM(LEN(A147)-LEN(SUBSTITUTE(A147,{"0","1","2"},""))))), ROW(INDIRECT("1:"&amp;LEN((LEFT(A147,SUM(LEN(A147)-LEN(SUBSTITUTE(A147,{"0","1","2"},"")))))))), 1)) * ROW(INDIRECT("1:"&amp;LEN((LEFT(A147,SUM(LEN(A147)-LEN(SUBSTITUTE(A147,{"0","1","2"},"")))))))), 0), ROW(INDIRECT("1:"&amp;LEN((LEFT(A147,SUM(LEN(A147)-LEN(SUBSTITUTE(A147,{"0","1","2"},"")))))))))+1, 1) * 10^ROW(INDIRECT("1:"&amp;LEN((LEFT(A147,SUM(LEN(A147)-LEN(SUBSTITUTE(A147,{"0","1","2"},""))))))))/10))*1+1&amp;""&amp;" ,.., "&amp;""&amp;(SUMPRODUCT(MID(0&amp;(--TRIM(RIGHT(SUBSTITUTE(LEFT(A147,_xlfn.AGGREGATE(16,6,FIND({0,1,2,3,4,5,6,7,8,9},A147,ROW(INDIRECT("1:"&amp;LEN(A147)))),1))," ",REPT(" ",LEN(A147))),LEN(A147)))), LARGE(INDEX(ISNUMBER(--MID((--TRIM(RIGHT(SUBSTITUTE(LEFT(A147,_xlfn.AGGREGATE(16,6,FIND({0,1,2,3,4,5,6,7,8,9},A147,ROW(INDIRECT("1:"&amp;LEN(A147)))),1))," ",REPT(" ",LEN(A147))),LEN(A147)))), ROW(INDIRECT("1:"&amp;LEN((--TRIM(RIGHT(SUBSTITUTE(LEFT(A147,_xlfn.AGGREGATE(16,6,FIND({0,1,2,3,4,5,6,7,8,9},A147,ROW(INDIRECT("1:"&amp;LEN(A147)))),1))," ",REPT(" ",LEN(A147))),LEN(A147))))))), 1)) * ROW(INDIRECT("1:"&amp;LEN((--TRIM(RIGHT(SUBSTITUTE(LEFT(A147,_xlfn.AGGREGATE(16,6,FIND({0,1,2,3,4,5,6,7,8,9},A147,ROW(INDIRECT("1:"&amp;LEN(A147)))),1))," ",REPT(" ",LEN(A147))),LEN(A147))))))), 0), ROW(INDIRECT("1:"&amp;LEN((--TRIM(RIGHT(SUBSTITUTE(LEFT(A147,_xlfn.AGGREGATE(16,6,FIND({0,1,2,3,4,5,6,7,8,9},A147,ROW(INDIRECT("1:"&amp;LEN(A147)))),1))," ",REPT(" ",LEN(A147))),LEN(A147))))))))+1, 1) * 10^ROW(INDIRECT("1:"&amp;LEN((--TRIM(RIGHT(SUBSTITUTE(LEFT(A147,_xlfn.AGGREGATE(16,6,FIND({0,1,2,3,4,5,6,7,8,9},A147,ROW(INDIRECT("1:"&amp;LEN(A147)))),1))," ",REPT(" ",LEN(A147))),LEN(A147)))))))/10))*1+1</f>
        <v>103 ,.., 1003</v>
      </c>
      <c r="B148" s="68"/>
      <c r="C148" s="44" t="s">
        <v>198</v>
      </c>
      <c r="D148" s="44">
        <f>(32.42+2.7+0.75*(2.75+2.3))*10.764</f>
        <v>418.80033000000003</v>
      </c>
      <c r="E148" s="44">
        <v>0</v>
      </c>
      <c r="F148" s="44">
        <f t="shared" si="7"/>
        <v>628.20049500000005</v>
      </c>
      <c r="G148" s="67" t="str">
        <f t="shared" si="8"/>
        <v>1st to 7th, 9th , 10th Floor for Residential</v>
      </c>
      <c r="H148" s="68"/>
      <c r="I148" s="33"/>
    </row>
    <row r="149" spans="1:14" s="34" customFormat="1" ht="15.75" customHeight="1" x14ac:dyDescent="0.3">
      <c r="A149" s="67" t="str">
        <f ca="1">(SUMPRODUCT(MID(0&amp;(LEFT(A148,SUM(LEN(A148)-LEN(SUBSTITUTE(A148,{"0","1","2"},""))))), LARGE(INDEX(ISNUMBER(--MID((LEFT(A148,SUM(LEN(A148)-LEN(SUBSTITUTE(A148,{"0","1","2"},""))))), ROW(INDIRECT("1:"&amp;LEN((LEFT(A148,SUM(LEN(A148)-LEN(SUBSTITUTE(A148,{"0","1","2"},"")))))))), 1)) * ROW(INDIRECT("1:"&amp;LEN((LEFT(A148,SUM(LEN(A148)-LEN(SUBSTITUTE(A148,{"0","1","2"},"")))))))), 0), ROW(INDIRECT("1:"&amp;LEN((LEFT(A148,SUM(LEN(A148)-LEN(SUBSTITUTE(A148,{"0","1","2"},"")))))))))+1, 1) * 10^ROW(INDIRECT("1:"&amp;LEN((LEFT(A148,SUM(LEN(A148)-LEN(SUBSTITUTE(A148,{"0","1","2"},""))))))))/10))*1+1&amp;""&amp;" ,.., "&amp;""&amp;(SUMPRODUCT(MID(0&amp;(--TRIM(RIGHT(SUBSTITUTE(LEFT(A148,_xlfn.AGGREGATE(16,6,FIND({0,1,2,3,4,5,6,7,8,9},A148,ROW(INDIRECT("1:"&amp;LEN(A148)))),1))," ",REPT(" ",LEN(A148))),LEN(A148)))), LARGE(INDEX(ISNUMBER(--MID((--TRIM(RIGHT(SUBSTITUTE(LEFT(A148,_xlfn.AGGREGATE(16,6,FIND({0,1,2,3,4,5,6,7,8,9},A148,ROW(INDIRECT("1:"&amp;LEN(A148)))),1))," ",REPT(" ",LEN(A148))),LEN(A148)))), ROW(INDIRECT("1:"&amp;LEN((--TRIM(RIGHT(SUBSTITUTE(LEFT(A148,_xlfn.AGGREGATE(16,6,FIND({0,1,2,3,4,5,6,7,8,9},A148,ROW(INDIRECT("1:"&amp;LEN(A148)))),1))," ",REPT(" ",LEN(A148))),LEN(A148))))))), 1)) * ROW(INDIRECT("1:"&amp;LEN((--TRIM(RIGHT(SUBSTITUTE(LEFT(A148,_xlfn.AGGREGATE(16,6,FIND({0,1,2,3,4,5,6,7,8,9},A148,ROW(INDIRECT("1:"&amp;LEN(A148)))),1))," ",REPT(" ",LEN(A148))),LEN(A148))))))), 0), ROW(INDIRECT("1:"&amp;LEN((--TRIM(RIGHT(SUBSTITUTE(LEFT(A148,_xlfn.AGGREGATE(16,6,FIND({0,1,2,3,4,5,6,7,8,9},A148,ROW(INDIRECT("1:"&amp;LEN(A148)))),1))," ",REPT(" ",LEN(A148))),LEN(A148))))))))+1, 1) * 10^ROW(INDIRECT("1:"&amp;LEN((--TRIM(RIGHT(SUBSTITUTE(LEFT(A148,_xlfn.AGGREGATE(16,6,FIND({0,1,2,3,4,5,6,7,8,9},A148,ROW(INDIRECT("1:"&amp;LEN(A148)))),1))," ",REPT(" ",LEN(A148))),LEN(A148)))))))/10))*1+1</f>
        <v>104 ,.., 1004</v>
      </c>
      <c r="B149" s="68"/>
      <c r="C149" s="44" t="s">
        <v>198</v>
      </c>
      <c r="D149" s="44">
        <f>(27.81+7.85)*10.764</f>
        <v>383.84423999999996</v>
      </c>
      <c r="E149" s="44">
        <v>0</v>
      </c>
      <c r="F149" s="44">
        <f t="shared" si="7"/>
        <v>575.76635999999996</v>
      </c>
      <c r="G149" s="67" t="str">
        <f t="shared" si="8"/>
        <v>1st to 7th, 9th , 10th Floor for Residential</v>
      </c>
      <c r="H149" s="68"/>
      <c r="I149" s="33"/>
    </row>
    <row r="150" spans="1:14" s="34" customFormat="1" ht="15.75" customHeight="1" x14ac:dyDescent="0.3">
      <c r="A150" s="67" t="str">
        <f ca="1">(SUMPRODUCT(MID(0&amp;(LEFT(A149,SUM(LEN(A149)-LEN(SUBSTITUTE(A149,{"0","1","2"},""))))), LARGE(INDEX(ISNUMBER(--MID((LEFT(A149,SUM(LEN(A149)-LEN(SUBSTITUTE(A149,{"0","1","2"},""))))), ROW(INDIRECT("1:"&amp;LEN((LEFT(A149,SUM(LEN(A149)-LEN(SUBSTITUTE(A149,{"0","1","2"},"")))))))), 1)) * ROW(INDIRECT("1:"&amp;LEN((LEFT(A149,SUM(LEN(A149)-LEN(SUBSTITUTE(A149,{"0","1","2"},"")))))))), 0), ROW(INDIRECT("1:"&amp;LEN((LEFT(A149,SUM(LEN(A149)-LEN(SUBSTITUTE(A149,{"0","1","2"},"")))))))))+1, 1) * 10^ROW(INDIRECT("1:"&amp;LEN((LEFT(A149,SUM(LEN(A149)-LEN(SUBSTITUTE(A149,{"0","1","2"},""))))))))/10))*1+1&amp;""&amp;" ,.., "&amp;""&amp;(SUMPRODUCT(MID(0&amp;(--TRIM(RIGHT(SUBSTITUTE(LEFT(A149,_xlfn.AGGREGATE(16,6,FIND({0,1,2,3,4,5,6,7,8,9},A149,ROW(INDIRECT("1:"&amp;LEN(A149)))),1))," ",REPT(" ",LEN(A149))),LEN(A149)))), LARGE(INDEX(ISNUMBER(--MID((--TRIM(RIGHT(SUBSTITUTE(LEFT(A149,_xlfn.AGGREGATE(16,6,FIND({0,1,2,3,4,5,6,7,8,9},A149,ROW(INDIRECT("1:"&amp;LEN(A149)))),1))," ",REPT(" ",LEN(A149))),LEN(A149)))), ROW(INDIRECT("1:"&amp;LEN((--TRIM(RIGHT(SUBSTITUTE(LEFT(A149,_xlfn.AGGREGATE(16,6,FIND({0,1,2,3,4,5,6,7,8,9},A149,ROW(INDIRECT("1:"&amp;LEN(A149)))),1))," ",REPT(" ",LEN(A149))),LEN(A149))))))), 1)) * ROW(INDIRECT("1:"&amp;LEN((--TRIM(RIGHT(SUBSTITUTE(LEFT(A149,_xlfn.AGGREGATE(16,6,FIND({0,1,2,3,4,5,6,7,8,9},A149,ROW(INDIRECT("1:"&amp;LEN(A149)))),1))," ",REPT(" ",LEN(A149))),LEN(A149))))))), 0), ROW(INDIRECT("1:"&amp;LEN((--TRIM(RIGHT(SUBSTITUTE(LEFT(A149,_xlfn.AGGREGATE(16,6,FIND({0,1,2,3,4,5,6,7,8,9},A149,ROW(INDIRECT("1:"&amp;LEN(A149)))),1))," ",REPT(" ",LEN(A149))),LEN(A149))))))))+1, 1) * 10^ROW(INDIRECT("1:"&amp;LEN((--TRIM(RIGHT(SUBSTITUTE(LEFT(A149,_xlfn.AGGREGATE(16,6,FIND({0,1,2,3,4,5,6,7,8,9},A149,ROW(INDIRECT("1:"&amp;LEN(A149)))),1))," ",REPT(" ",LEN(A149))),LEN(A149)))))))/10))*1+1</f>
        <v>105 ,.., 1005</v>
      </c>
      <c r="B150" s="68"/>
      <c r="C150" s="44" t="s">
        <v>199</v>
      </c>
      <c r="D150" s="44">
        <f>(20.06+2.7+0.75*1.8)*10.764</f>
        <v>259.52003999999999</v>
      </c>
      <c r="E150" s="44">
        <v>0</v>
      </c>
      <c r="F150" s="44">
        <f t="shared" si="7"/>
        <v>389.28005999999999</v>
      </c>
      <c r="G150" s="67" t="str">
        <f t="shared" si="8"/>
        <v>1st to 7th, 9th , 10th Floor for Residential</v>
      </c>
      <c r="H150" s="68"/>
      <c r="I150" s="33"/>
    </row>
    <row r="151" spans="1:14" s="34" customFormat="1" x14ac:dyDescent="0.3">
      <c r="A151" s="67" t="str">
        <f ca="1">(SUMPRODUCT(MID(0&amp;(LEFT(A150,SUM(LEN(A150)-LEN(SUBSTITUTE(A150,{"0","1","2"},""))))), LARGE(INDEX(ISNUMBER(--MID((LEFT(A150,SUM(LEN(A150)-LEN(SUBSTITUTE(A150,{"0","1","2"},""))))), ROW(INDIRECT("1:"&amp;LEN((LEFT(A150,SUM(LEN(A150)-LEN(SUBSTITUTE(A150,{"0","1","2"},"")))))))), 1)) * ROW(INDIRECT("1:"&amp;LEN((LEFT(A150,SUM(LEN(A150)-LEN(SUBSTITUTE(A150,{"0","1","2"},"")))))))), 0), ROW(INDIRECT("1:"&amp;LEN((LEFT(A150,SUM(LEN(A150)-LEN(SUBSTITUTE(A150,{"0","1","2"},"")))))))))+1, 1) * 10^ROW(INDIRECT("1:"&amp;LEN((LEFT(A150,SUM(LEN(A150)-LEN(SUBSTITUTE(A150,{"0","1","2"},""))))))))/10))*1+1&amp;""&amp;" ,.., "&amp;""&amp;(SUMPRODUCT(MID(0&amp;(--TRIM(RIGHT(SUBSTITUTE(LEFT(A150,_xlfn.AGGREGATE(16,6,FIND({0,1,2,3,4,5,6,7,8,9},A150,ROW(INDIRECT("1:"&amp;LEN(A150)))),1))," ",REPT(" ",LEN(A150))),LEN(A150)))), LARGE(INDEX(ISNUMBER(--MID((--TRIM(RIGHT(SUBSTITUTE(LEFT(A150,_xlfn.AGGREGATE(16,6,FIND({0,1,2,3,4,5,6,7,8,9},A150,ROW(INDIRECT("1:"&amp;LEN(A150)))),1))," ",REPT(" ",LEN(A150))),LEN(A150)))), ROW(INDIRECT("1:"&amp;LEN((--TRIM(RIGHT(SUBSTITUTE(LEFT(A150,_xlfn.AGGREGATE(16,6,FIND({0,1,2,3,4,5,6,7,8,9},A150,ROW(INDIRECT("1:"&amp;LEN(A150)))),1))," ",REPT(" ",LEN(A150))),LEN(A150))))))), 1)) * ROW(INDIRECT("1:"&amp;LEN((--TRIM(RIGHT(SUBSTITUTE(LEFT(A150,_xlfn.AGGREGATE(16,6,FIND({0,1,2,3,4,5,6,7,8,9},A150,ROW(INDIRECT("1:"&amp;LEN(A150)))),1))," ",REPT(" ",LEN(A150))),LEN(A150))))))), 0), ROW(INDIRECT("1:"&amp;LEN((--TRIM(RIGHT(SUBSTITUTE(LEFT(A150,_xlfn.AGGREGATE(16,6,FIND({0,1,2,3,4,5,6,7,8,9},A150,ROW(INDIRECT("1:"&amp;LEN(A150)))),1))," ",REPT(" ",LEN(A150))),LEN(A150))))))))+1, 1) * 10^ROW(INDIRECT("1:"&amp;LEN((--TRIM(RIGHT(SUBSTITUTE(LEFT(A150,_xlfn.AGGREGATE(16,6,FIND({0,1,2,3,4,5,6,7,8,9},A150,ROW(INDIRECT("1:"&amp;LEN(A150)))),1))," ",REPT(" ",LEN(A150))),LEN(A150)))))))/10))*1+1</f>
        <v>106 ,.., 1006</v>
      </c>
      <c r="B151" s="68"/>
      <c r="C151" s="44" t="s">
        <v>199</v>
      </c>
      <c r="D151" s="44">
        <f>(20.06+2.7+0.75*1.8)*10.764</f>
        <v>259.52003999999999</v>
      </c>
      <c r="E151" s="44">
        <v>0</v>
      </c>
      <c r="F151" s="44">
        <f t="shared" si="7"/>
        <v>389.28005999999999</v>
      </c>
      <c r="G151" s="67" t="str">
        <f t="shared" si="8"/>
        <v>1st to 7th, 9th , 10th Floor for Residential</v>
      </c>
      <c r="H151" s="68"/>
      <c r="I151" s="33"/>
    </row>
    <row r="152" spans="1:14" s="34" customFormat="1" ht="15.75" customHeight="1" x14ac:dyDescent="0.3">
      <c r="A152" s="67" t="str">
        <f ca="1">(SUMPRODUCT(MID(0&amp;(LEFT(A151,SUM(LEN(A151)-LEN(SUBSTITUTE(A151,{"0","1","2"},""))))), LARGE(INDEX(ISNUMBER(--MID((LEFT(A151,SUM(LEN(A151)-LEN(SUBSTITUTE(A151,{"0","1","2"},""))))), ROW(INDIRECT("1:"&amp;LEN((LEFT(A151,SUM(LEN(A151)-LEN(SUBSTITUTE(A151,{"0","1","2"},"")))))))), 1)) * ROW(INDIRECT("1:"&amp;LEN((LEFT(A151,SUM(LEN(A151)-LEN(SUBSTITUTE(A151,{"0","1","2"},"")))))))), 0), ROW(INDIRECT("1:"&amp;LEN((LEFT(A151,SUM(LEN(A151)-LEN(SUBSTITUTE(A151,{"0","1","2"},"")))))))))+1, 1) * 10^ROW(INDIRECT("1:"&amp;LEN((LEFT(A151,SUM(LEN(A151)-LEN(SUBSTITUTE(A151,{"0","1","2"},""))))))))/10))*1+1&amp;""&amp;" ,.., "&amp;""&amp;(SUMPRODUCT(MID(0&amp;(--TRIM(RIGHT(SUBSTITUTE(LEFT(A151,_xlfn.AGGREGATE(16,6,FIND({0,1,2,3,4,5,6,7,8,9},A151,ROW(INDIRECT("1:"&amp;LEN(A151)))),1))," ",REPT(" ",LEN(A151))),LEN(A151)))), LARGE(INDEX(ISNUMBER(--MID((--TRIM(RIGHT(SUBSTITUTE(LEFT(A151,_xlfn.AGGREGATE(16,6,FIND({0,1,2,3,4,5,6,7,8,9},A151,ROW(INDIRECT("1:"&amp;LEN(A151)))),1))," ",REPT(" ",LEN(A151))),LEN(A151)))), ROW(INDIRECT("1:"&amp;LEN((--TRIM(RIGHT(SUBSTITUTE(LEFT(A151,_xlfn.AGGREGATE(16,6,FIND({0,1,2,3,4,5,6,7,8,9},A151,ROW(INDIRECT("1:"&amp;LEN(A151)))),1))," ",REPT(" ",LEN(A151))),LEN(A151))))))), 1)) * ROW(INDIRECT("1:"&amp;LEN((--TRIM(RIGHT(SUBSTITUTE(LEFT(A151,_xlfn.AGGREGATE(16,6,FIND({0,1,2,3,4,5,6,7,8,9},A151,ROW(INDIRECT("1:"&amp;LEN(A151)))),1))," ",REPT(" ",LEN(A151))),LEN(A151))))))), 0), ROW(INDIRECT("1:"&amp;LEN((--TRIM(RIGHT(SUBSTITUTE(LEFT(A151,_xlfn.AGGREGATE(16,6,FIND({0,1,2,3,4,5,6,7,8,9},A151,ROW(INDIRECT("1:"&amp;LEN(A151)))),1))," ",REPT(" ",LEN(A151))),LEN(A151))))))))+1, 1) * 10^ROW(INDIRECT("1:"&amp;LEN((--TRIM(RIGHT(SUBSTITUTE(LEFT(A151,_xlfn.AGGREGATE(16,6,FIND({0,1,2,3,4,5,6,7,8,9},A151,ROW(INDIRECT("1:"&amp;LEN(A151)))),1))," ",REPT(" ",LEN(A151))),LEN(A151)))))))/10))*1+1</f>
        <v>107 ,.., 1007</v>
      </c>
      <c r="B152" s="68"/>
      <c r="C152" s="44" t="s">
        <v>198</v>
      </c>
      <c r="D152" s="44">
        <f>(29.57+5.4+0.75*2.3)*10.764</f>
        <v>394.98498000000001</v>
      </c>
      <c r="E152" s="44">
        <v>0</v>
      </c>
      <c r="F152" s="44">
        <f t="shared" si="7"/>
        <v>592.47747000000004</v>
      </c>
      <c r="G152" s="67" t="str">
        <f t="shared" si="8"/>
        <v>1st to 7th, 9th , 10th Floor for Residential</v>
      </c>
      <c r="H152" s="68"/>
      <c r="I152" s="33"/>
    </row>
    <row r="153" spans="1:14" s="34" customFormat="1" ht="15.75" customHeight="1" x14ac:dyDescent="0.3">
      <c r="A153" s="67" t="str">
        <f ca="1">(SUMPRODUCT(MID(0&amp;(LEFT(A152,SUM(LEN(A152)-LEN(SUBSTITUTE(A152,{"0","1","2"},""))))), LARGE(INDEX(ISNUMBER(--MID((LEFT(A152,SUM(LEN(A152)-LEN(SUBSTITUTE(A152,{"0","1","2"},""))))), ROW(INDIRECT("1:"&amp;LEN((LEFT(A152,SUM(LEN(A152)-LEN(SUBSTITUTE(A152,{"0","1","2"},"")))))))), 1)) * ROW(INDIRECT("1:"&amp;LEN((LEFT(A152,SUM(LEN(A152)-LEN(SUBSTITUTE(A152,{"0","1","2"},"")))))))), 0), ROW(INDIRECT("1:"&amp;LEN((LEFT(A152,SUM(LEN(A152)-LEN(SUBSTITUTE(A152,{"0","1","2"},"")))))))))+1, 1) * 10^ROW(INDIRECT("1:"&amp;LEN((LEFT(A152,SUM(LEN(A152)-LEN(SUBSTITUTE(A152,{"0","1","2"},""))))))))/10))*1+1&amp;""&amp;" ,.., "&amp;""&amp;(SUMPRODUCT(MID(0&amp;(--TRIM(RIGHT(SUBSTITUTE(LEFT(A152,_xlfn.AGGREGATE(16,6,FIND({0,1,2,3,4,5,6,7,8,9},A152,ROW(INDIRECT("1:"&amp;LEN(A152)))),1))," ",REPT(" ",LEN(A152))),LEN(A152)))), LARGE(INDEX(ISNUMBER(--MID((--TRIM(RIGHT(SUBSTITUTE(LEFT(A152,_xlfn.AGGREGATE(16,6,FIND({0,1,2,3,4,5,6,7,8,9},A152,ROW(INDIRECT("1:"&amp;LEN(A152)))),1))," ",REPT(" ",LEN(A152))),LEN(A152)))), ROW(INDIRECT("1:"&amp;LEN((--TRIM(RIGHT(SUBSTITUTE(LEFT(A152,_xlfn.AGGREGATE(16,6,FIND({0,1,2,3,4,5,6,7,8,9},A152,ROW(INDIRECT("1:"&amp;LEN(A152)))),1))," ",REPT(" ",LEN(A152))),LEN(A152))))))), 1)) * ROW(INDIRECT("1:"&amp;LEN((--TRIM(RIGHT(SUBSTITUTE(LEFT(A152,_xlfn.AGGREGATE(16,6,FIND({0,1,2,3,4,5,6,7,8,9},A152,ROW(INDIRECT("1:"&amp;LEN(A152)))),1))," ",REPT(" ",LEN(A152))),LEN(A152))))))), 0), ROW(INDIRECT("1:"&amp;LEN((--TRIM(RIGHT(SUBSTITUTE(LEFT(A152,_xlfn.AGGREGATE(16,6,FIND({0,1,2,3,4,5,6,7,8,9},A152,ROW(INDIRECT("1:"&amp;LEN(A152)))),1))," ",REPT(" ",LEN(A152))),LEN(A152))))))))+1, 1) * 10^ROW(INDIRECT("1:"&amp;LEN((--TRIM(RIGHT(SUBSTITUTE(LEFT(A152,_xlfn.AGGREGATE(16,6,FIND({0,1,2,3,4,5,6,7,8,9},A152,ROW(INDIRECT("1:"&amp;LEN(A152)))),1))," ",REPT(" ",LEN(A152))),LEN(A152)))))))/10))*1+1</f>
        <v>108 ,.., 1008</v>
      </c>
      <c r="B153" s="68"/>
      <c r="C153" s="44" t="s">
        <v>198</v>
      </c>
      <c r="D153" s="44">
        <f>(32.96+2.7+0.75*2.3)*10.764</f>
        <v>402.41214000000002</v>
      </c>
      <c r="E153" s="44">
        <v>0</v>
      </c>
      <c r="F153" s="44">
        <f t="shared" si="7"/>
        <v>603.61821000000009</v>
      </c>
      <c r="G153" s="67" t="str">
        <f t="shared" si="8"/>
        <v>1st to 7th, 9th , 10th Floor for Residential</v>
      </c>
      <c r="H153" s="68"/>
      <c r="I153" s="33"/>
    </row>
    <row r="154" spans="1:14" s="34" customFormat="1" ht="15.75" customHeight="1" x14ac:dyDescent="0.3">
      <c r="A154" s="67" t="str">
        <f ca="1">(SUMPRODUCT(MID(0&amp;(LEFT(A153,SUM(LEN(A153)-LEN(SUBSTITUTE(A153,{"0","1","2"},""))))), LARGE(INDEX(ISNUMBER(--MID((LEFT(A153,SUM(LEN(A153)-LEN(SUBSTITUTE(A153,{"0","1","2"},""))))), ROW(INDIRECT("1:"&amp;LEN((LEFT(A153,SUM(LEN(A153)-LEN(SUBSTITUTE(A153,{"0","1","2"},"")))))))), 1)) * ROW(INDIRECT("1:"&amp;LEN((LEFT(A153,SUM(LEN(A153)-LEN(SUBSTITUTE(A153,{"0","1","2"},"")))))))), 0), ROW(INDIRECT("1:"&amp;LEN((LEFT(A153,SUM(LEN(A153)-LEN(SUBSTITUTE(A153,{"0","1","2"},"")))))))))+1, 1) * 10^ROW(INDIRECT("1:"&amp;LEN((LEFT(A153,SUM(LEN(A153)-LEN(SUBSTITUTE(A153,{"0","1","2"},""))))))))/10))*1+1&amp;""&amp;" ,.., "&amp;""&amp;(SUMPRODUCT(MID(0&amp;(--TRIM(RIGHT(SUBSTITUTE(LEFT(A153,_xlfn.AGGREGATE(16,6,FIND({0,1,2,3,4,5,6,7,8,9},A153,ROW(INDIRECT("1:"&amp;LEN(A153)))),1))," ",REPT(" ",LEN(A153))),LEN(A153)))), LARGE(INDEX(ISNUMBER(--MID((--TRIM(RIGHT(SUBSTITUTE(LEFT(A153,_xlfn.AGGREGATE(16,6,FIND({0,1,2,3,4,5,6,7,8,9},A153,ROW(INDIRECT("1:"&amp;LEN(A153)))),1))," ",REPT(" ",LEN(A153))),LEN(A153)))), ROW(INDIRECT("1:"&amp;LEN((--TRIM(RIGHT(SUBSTITUTE(LEFT(A153,_xlfn.AGGREGATE(16,6,FIND({0,1,2,3,4,5,6,7,8,9},A153,ROW(INDIRECT("1:"&amp;LEN(A153)))),1))," ",REPT(" ",LEN(A153))),LEN(A153))))))), 1)) * ROW(INDIRECT("1:"&amp;LEN((--TRIM(RIGHT(SUBSTITUTE(LEFT(A153,_xlfn.AGGREGATE(16,6,FIND({0,1,2,3,4,5,6,7,8,9},A153,ROW(INDIRECT("1:"&amp;LEN(A153)))),1))," ",REPT(" ",LEN(A153))),LEN(A153))))))), 0), ROW(INDIRECT("1:"&amp;LEN((--TRIM(RIGHT(SUBSTITUTE(LEFT(A153,_xlfn.AGGREGATE(16,6,FIND({0,1,2,3,4,5,6,7,8,9},A153,ROW(INDIRECT("1:"&amp;LEN(A153)))),1))," ",REPT(" ",LEN(A153))),LEN(A153))))))))+1, 1) * 10^ROW(INDIRECT("1:"&amp;LEN((--TRIM(RIGHT(SUBSTITUTE(LEFT(A153,_xlfn.AGGREGATE(16,6,FIND({0,1,2,3,4,5,6,7,8,9},A153,ROW(INDIRECT("1:"&amp;LEN(A153)))),1))," ",REPT(" ",LEN(A153))),LEN(A153)))))))/10))*1+1</f>
        <v>109 ,.., 1009</v>
      </c>
      <c r="B154" s="68"/>
      <c r="C154" s="44" t="s">
        <v>198</v>
      </c>
      <c r="D154" s="44">
        <f>(31.02+2.1+0.75*(2.1+2.75))*10.764</f>
        <v>395.65772999999996</v>
      </c>
      <c r="E154" s="44">
        <v>0</v>
      </c>
      <c r="F154" s="44">
        <f t="shared" si="7"/>
        <v>593.48659499999997</v>
      </c>
      <c r="G154" s="67" t="str">
        <f t="shared" si="8"/>
        <v>1st to 7th, 9th , 10th Floor for Residential</v>
      </c>
      <c r="H154" s="68"/>
      <c r="I154" s="33"/>
      <c r="J154" s="34">
        <f>4000*593</f>
        <v>2372000</v>
      </c>
    </row>
    <row r="155" spans="1:14" s="34" customFormat="1" ht="15.75" customHeight="1" x14ac:dyDescent="0.3">
      <c r="A155" s="67" t="str">
        <f ca="1">(SUMPRODUCT(MID(0&amp;(LEFT(A154,SUM(LEN(A154)-LEN(SUBSTITUTE(A154,{"0","1","2"},""))))), LARGE(INDEX(ISNUMBER(--MID((LEFT(A154,SUM(LEN(A154)-LEN(SUBSTITUTE(A154,{"0","1","2"},""))))), ROW(INDIRECT("1:"&amp;LEN((LEFT(A154,SUM(LEN(A154)-LEN(SUBSTITUTE(A154,{"0","1","2"},"")))))))), 1)) * ROW(INDIRECT("1:"&amp;LEN((LEFT(A154,SUM(LEN(A154)-LEN(SUBSTITUTE(A154,{"0","1","2"},"")))))))), 0), ROW(INDIRECT("1:"&amp;LEN((LEFT(A154,SUM(LEN(A154)-LEN(SUBSTITUTE(A154,{"0","1","2"},"")))))))))+1, 1) * 10^ROW(INDIRECT("1:"&amp;LEN((LEFT(A154,SUM(LEN(A154)-LEN(SUBSTITUTE(A154,{"0","1","2"},""))))))))/10))*1+1&amp;""&amp;" ,.., "&amp;""&amp;(SUMPRODUCT(MID(0&amp;(--TRIM(RIGHT(SUBSTITUTE(LEFT(A154,_xlfn.AGGREGATE(16,6,FIND({0,1,2,3,4,5,6,7,8,9},A154,ROW(INDIRECT("1:"&amp;LEN(A154)))),1))," ",REPT(" ",LEN(A154))),LEN(A154)))), LARGE(INDEX(ISNUMBER(--MID((--TRIM(RIGHT(SUBSTITUTE(LEFT(A154,_xlfn.AGGREGATE(16,6,FIND({0,1,2,3,4,5,6,7,8,9},A154,ROW(INDIRECT("1:"&amp;LEN(A154)))),1))," ",REPT(" ",LEN(A154))),LEN(A154)))), ROW(INDIRECT("1:"&amp;LEN((--TRIM(RIGHT(SUBSTITUTE(LEFT(A154,_xlfn.AGGREGATE(16,6,FIND({0,1,2,3,4,5,6,7,8,9},A154,ROW(INDIRECT("1:"&amp;LEN(A154)))),1))," ",REPT(" ",LEN(A154))),LEN(A154))))))), 1)) * ROW(INDIRECT("1:"&amp;LEN((--TRIM(RIGHT(SUBSTITUTE(LEFT(A154,_xlfn.AGGREGATE(16,6,FIND({0,1,2,3,4,5,6,7,8,9},A154,ROW(INDIRECT("1:"&amp;LEN(A154)))),1))," ",REPT(" ",LEN(A154))),LEN(A154))))))), 0), ROW(INDIRECT("1:"&amp;LEN((--TRIM(RIGHT(SUBSTITUTE(LEFT(A154,_xlfn.AGGREGATE(16,6,FIND({0,1,2,3,4,5,6,7,8,9},A154,ROW(INDIRECT("1:"&amp;LEN(A154)))),1))," ",REPT(" ",LEN(A154))),LEN(A154))))))))+1, 1) * 10^ROW(INDIRECT("1:"&amp;LEN((--TRIM(RIGHT(SUBSTITUTE(LEFT(A154,_xlfn.AGGREGATE(16,6,FIND({0,1,2,3,4,5,6,7,8,9},A154,ROW(INDIRECT("1:"&amp;LEN(A154)))),1))," ",REPT(" ",LEN(A154))),LEN(A154)))))))/10))*1+1</f>
        <v>110 ,.., 1010</v>
      </c>
      <c r="B155" s="68"/>
      <c r="C155" s="44" t="s">
        <v>199</v>
      </c>
      <c r="D155" s="44">
        <f>(21+2.7+0.75*1.8)*10.764</f>
        <v>269.63819999999998</v>
      </c>
      <c r="E155" s="44">
        <v>0</v>
      </c>
      <c r="F155" s="44">
        <f t="shared" si="7"/>
        <v>404.45729999999998</v>
      </c>
      <c r="G155" s="67" t="str">
        <f t="shared" si="8"/>
        <v>1st to 7th, 9th , 10th Floor for Residential</v>
      </c>
      <c r="H155" s="68"/>
      <c r="I155" s="33"/>
    </row>
    <row r="156" spans="1:14" s="34" customFormat="1" ht="15.75" customHeight="1" x14ac:dyDescent="0.3">
      <c r="A156" s="67" t="str">
        <f ca="1">(SUMPRODUCT(MID(0&amp;(LEFT(A155,SUM(LEN(A155)-LEN(SUBSTITUTE(A155,{"0","1","2"},""))))), LARGE(INDEX(ISNUMBER(--MID((LEFT(A155,SUM(LEN(A155)-LEN(SUBSTITUTE(A155,{"0","1","2"},""))))), ROW(INDIRECT("1:"&amp;LEN((LEFT(A155,SUM(LEN(A155)-LEN(SUBSTITUTE(A155,{"0","1","2"},"")))))))), 1)) * ROW(INDIRECT("1:"&amp;LEN((LEFT(A155,SUM(LEN(A155)-LEN(SUBSTITUTE(A155,{"0","1","2"},"")))))))), 0), ROW(INDIRECT("1:"&amp;LEN((LEFT(A155,SUM(LEN(A155)-LEN(SUBSTITUTE(A155,{"0","1","2"},"")))))))))+1, 1) * 10^ROW(INDIRECT("1:"&amp;LEN((LEFT(A155,SUM(LEN(A155)-LEN(SUBSTITUTE(A155,{"0","1","2"},""))))))))/10))*1+1&amp;""&amp;" ,.., "&amp;""&amp;(SUMPRODUCT(MID(0&amp;(--TRIM(RIGHT(SUBSTITUTE(LEFT(A155,_xlfn.AGGREGATE(16,6,FIND({0,1,2,3,4,5,6,7,8,9},A155,ROW(INDIRECT("1:"&amp;LEN(A155)))),1))," ",REPT(" ",LEN(A155))),LEN(A155)))), LARGE(INDEX(ISNUMBER(--MID((--TRIM(RIGHT(SUBSTITUTE(LEFT(A155,_xlfn.AGGREGATE(16,6,FIND({0,1,2,3,4,5,6,7,8,9},A155,ROW(INDIRECT("1:"&amp;LEN(A155)))),1))," ",REPT(" ",LEN(A155))),LEN(A155)))), ROW(INDIRECT("1:"&amp;LEN((--TRIM(RIGHT(SUBSTITUTE(LEFT(A155,_xlfn.AGGREGATE(16,6,FIND({0,1,2,3,4,5,6,7,8,9},A155,ROW(INDIRECT("1:"&amp;LEN(A155)))),1))," ",REPT(" ",LEN(A155))),LEN(A155))))))), 1)) * ROW(INDIRECT("1:"&amp;LEN((--TRIM(RIGHT(SUBSTITUTE(LEFT(A155,_xlfn.AGGREGATE(16,6,FIND({0,1,2,3,4,5,6,7,8,9},A155,ROW(INDIRECT("1:"&amp;LEN(A155)))),1))," ",REPT(" ",LEN(A155))),LEN(A155))))))), 0), ROW(INDIRECT("1:"&amp;LEN((--TRIM(RIGHT(SUBSTITUTE(LEFT(A155,_xlfn.AGGREGATE(16,6,FIND({0,1,2,3,4,5,6,7,8,9},A155,ROW(INDIRECT("1:"&amp;LEN(A155)))),1))," ",REPT(" ",LEN(A155))),LEN(A155))))))))+1, 1) * 10^ROW(INDIRECT("1:"&amp;LEN((--TRIM(RIGHT(SUBSTITUTE(LEFT(A155,_xlfn.AGGREGATE(16,6,FIND({0,1,2,3,4,5,6,7,8,9},A155,ROW(INDIRECT("1:"&amp;LEN(A155)))),1))," ",REPT(" ",LEN(A155))),LEN(A155)))))))/10))*1+1</f>
        <v>111 ,.., 1011</v>
      </c>
      <c r="B156" s="68"/>
      <c r="C156" s="44" t="s">
        <v>198</v>
      </c>
      <c r="D156" s="44">
        <f>(32.44+2.7+0.75*(2.3+2.75))*10.764</f>
        <v>419.01560999999998</v>
      </c>
      <c r="E156" s="44">
        <v>0</v>
      </c>
      <c r="F156" s="44">
        <f t="shared" si="7"/>
        <v>628.523415</v>
      </c>
      <c r="G156" s="67" t="str">
        <f t="shared" si="8"/>
        <v>1st to 7th, 9th , 10th Floor for Residential</v>
      </c>
      <c r="H156" s="68"/>
      <c r="I156" s="33"/>
    </row>
    <row r="157" spans="1:14" s="34" customFormat="1" ht="15.75" customHeight="1" x14ac:dyDescent="0.3">
      <c r="A157" s="67" t="str">
        <f ca="1">(SUMPRODUCT(MID(0&amp;(LEFT(A156,SUM(LEN(A156)-LEN(SUBSTITUTE(A156,{"0","1","2"},""))))), LARGE(INDEX(ISNUMBER(--MID((LEFT(A156,SUM(LEN(A156)-LEN(SUBSTITUTE(A156,{"0","1","2"},""))))), ROW(INDIRECT("1:"&amp;LEN((LEFT(A156,SUM(LEN(A156)-LEN(SUBSTITUTE(A156,{"0","1","2"},"")))))))), 1)) * ROW(INDIRECT("1:"&amp;LEN((LEFT(A156,SUM(LEN(A156)-LEN(SUBSTITUTE(A156,{"0","1","2"},"")))))))), 0), ROW(INDIRECT("1:"&amp;LEN((LEFT(A156,SUM(LEN(A156)-LEN(SUBSTITUTE(A156,{"0","1","2"},"")))))))))+1, 1) * 10^ROW(INDIRECT("1:"&amp;LEN((LEFT(A156,SUM(LEN(A156)-LEN(SUBSTITUTE(A156,{"0","1","2"},""))))))))/10))*1+1&amp;""&amp;" ,.., "&amp;""&amp;(SUMPRODUCT(MID(0&amp;(--TRIM(RIGHT(SUBSTITUTE(LEFT(A156,_xlfn.AGGREGATE(16,6,FIND({0,1,2,3,4,5,6,7,8,9},A156,ROW(INDIRECT("1:"&amp;LEN(A156)))),1))," ",REPT(" ",LEN(A156))),LEN(A156)))), LARGE(INDEX(ISNUMBER(--MID((--TRIM(RIGHT(SUBSTITUTE(LEFT(A156,_xlfn.AGGREGATE(16,6,FIND({0,1,2,3,4,5,6,7,8,9},A156,ROW(INDIRECT("1:"&amp;LEN(A156)))),1))," ",REPT(" ",LEN(A156))),LEN(A156)))), ROW(INDIRECT("1:"&amp;LEN((--TRIM(RIGHT(SUBSTITUTE(LEFT(A156,_xlfn.AGGREGATE(16,6,FIND({0,1,2,3,4,5,6,7,8,9},A156,ROW(INDIRECT("1:"&amp;LEN(A156)))),1))," ",REPT(" ",LEN(A156))),LEN(A156))))))), 1)) * ROW(INDIRECT("1:"&amp;LEN((--TRIM(RIGHT(SUBSTITUTE(LEFT(A156,_xlfn.AGGREGATE(16,6,FIND({0,1,2,3,4,5,6,7,8,9},A156,ROW(INDIRECT("1:"&amp;LEN(A156)))),1))," ",REPT(" ",LEN(A156))),LEN(A156))))))), 0), ROW(INDIRECT("1:"&amp;LEN((--TRIM(RIGHT(SUBSTITUTE(LEFT(A156,_xlfn.AGGREGATE(16,6,FIND({0,1,2,3,4,5,6,7,8,9},A156,ROW(INDIRECT("1:"&amp;LEN(A156)))),1))," ",REPT(" ",LEN(A156))),LEN(A156))))))))+1, 1) * 10^ROW(INDIRECT("1:"&amp;LEN((--TRIM(RIGHT(SUBSTITUTE(LEFT(A156,_xlfn.AGGREGATE(16,6,FIND({0,1,2,3,4,5,6,7,8,9},A156,ROW(INDIRECT("1:"&amp;LEN(A156)))),1))," ",REPT(" ",LEN(A156))),LEN(A156)))))))/10))*1+1</f>
        <v>112 ,.., 1012</v>
      </c>
      <c r="B157" s="68"/>
      <c r="C157" s="44" t="s">
        <v>198</v>
      </c>
      <c r="D157" s="44">
        <f>(27.2+7.35)*10.764</f>
        <v>371.89619999999996</v>
      </c>
      <c r="E157" s="44">
        <v>0</v>
      </c>
      <c r="F157" s="44">
        <f t="shared" si="7"/>
        <v>557.84429999999998</v>
      </c>
      <c r="G157" s="67" t="str">
        <f t="shared" si="8"/>
        <v>1st to 7th, 9th , 10th Floor for Residential</v>
      </c>
      <c r="H157" s="68"/>
      <c r="I157" s="33"/>
    </row>
    <row r="158" spans="1:14" s="34" customFormat="1" x14ac:dyDescent="0.3">
      <c r="A158" s="74" t="s">
        <v>200</v>
      </c>
      <c r="B158" s="74"/>
      <c r="C158" s="74"/>
      <c r="D158" s="74"/>
      <c r="E158" s="74"/>
      <c r="F158" s="74"/>
      <c r="G158" s="74"/>
      <c r="H158" s="74"/>
      <c r="I158" s="33"/>
      <c r="L158" s="73"/>
      <c r="M158" s="73"/>
    </row>
    <row r="159" spans="1:14" s="34" customFormat="1" x14ac:dyDescent="0.3">
      <c r="A159" s="69">
        <f>LEFT(A158,SUM(LEN(A158)-LEN(SUBSTITUTE(A158,{"0","1","2","3","4","5","6","7","8","9"},""))))*100+1</f>
        <v>801</v>
      </c>
      <c r="B159" s="69"/>
      <c r="C159" s="44" t="s">
        <v>198</v>
      </c>
      <c r="D159" s="44">
        <f>(27.81+7.85)*10.764</f>
        <v>383.84423999999996</v>
      </c>
      <c r="E159" s="44">
        <v>0</v>
      </c>
      <c r="F159" s="44">
        <f t="shared" ref="F159:F160" si="9">D159*(($F$115)+1)+(IF(E159&lt;101,E159,IF(E159&lt;201,E159/2,IF(E159&lt;=301,E159/3,E159/4))))</f>
        <v>575.76635999999996</v>
      </c>
      <c r="G159" s="69" t="str">
        <f>A158</f>
        <v>8th Floor (Part Refuge Area)</v>
      </c>
      <c r="H159" s="69"/>
      <c r="I159" s="33"/>
      <c r="N159" s="33"/>
    </row>
    <row r="160" spans="1:14" s="34" customFormat="1" x14ac:dyDescent="0.3">
      <c r="A160" s="69">
        <f t="shared" ref="A160:A169" si="10">A159+1</f>
        <v>802</v>
      </c>
      <c r="B160" s="69"/>
      <c r="C160" s="44" t="s">
        <v>198</v>
      </c>
      <c r="D160" s="44">
        <f>(28.28+4.85+0.75*2.1)*10.764</f>
        <v>373.56462000000005</v>
      </c>
      <c r="E160" s="44">
        <v>0</v>
      </c>
      <c r="F160" s="44">
        <f t="shared" si="9"/>
        <v>560.34693000000004</v>
      </c>
      <c r="G160" s="69" t="str">
        <f t="shared" ref="G160:G169" si="11">G159</f>
        <v>8th Floor (Part Refuge Area)</v>
      </c>
      <c r="H160" s="69"/>
      <c r="I160" s="33"/>
      <c r="N160" s="33"/>
    </row>
    <row r="161" spans="1:14" s="34" customFormat="1" x14ac:dyDescent="0.3">
      <c r="A161" s="69">
        <f t="shared" si="10"/>
        <v>803</v>
      </c>
      <c r="B161" s="69"/>
      <c r="C161" s="44" t="s">
        <v>198</v>
      </c>
      <c r="D161" s="44">
        <f>(32.42+2.7+0.75*(2.75+2.3))*10.764</f>
        <v>418.80033000000003</v>
      </c>
      <c r="E161" s="44">
        <v>0</v>
      </c>
      <c r="F161" s="44">
        <f t="shared" ref="F161:F169" si="12">D161*(($F$115)+1)+(IF(E161&lt;101,E161,IF(E161&lt;201,E161/2,IF(E161&lt;=301,E161/3,E161/4))))</f>
        <v>628.20049500000005</v>
      </c>
      <c r="G161" s="69" t="str">
        <f t="shared" si="11"/>
        <v>8th Floor (Part Refuge Area)</v>
      </c>
      <c r="H161" s="69"/>
      <c r="I161" s="33"/>
      <c r="N161" s="33"/>
    </row>
    <row r="162" spans="1:14" s="34" customFormat="1" x14ac:dyDescent="0.3">
      <c r="A162" s="69">
        <f t="shared" si="10"/>
        <v>804</v>
      </c>
      <c r="B162" s="69"/>
      <c r="C162" s="44" t="s">
        <v>198</v>
      </c>
      <c r="D162" s="44">
        <f>(27.81+7.85)*10.764</f>
        <v>383.84423999999996</v>
      </c>
      <c r="E162" s="44">
        <v>0</v>
      </c>
      <c r="F162" s="44">
        <f t="shared" si="12"/>
        <v>575.76635999999996</v>
      </c>
      <c r="G162" s="69" t="str">
        <f t="shared" si="11"/>
        <v>8th Floor (Part Refuge Area)</v>
      </c>
      <c r="H162" s="69"/>
      <c r="I162" s="33"/>
      <c r="N162" s="33"/>
    </row>
    <row r="163" spans="1:14" s="34" customFormat="1" x14ac:dyDescent="0.3">
      <c r="A163" s="69">
        <f t="shared" si="10"/>
        <v>805</v>
      </c>
      <c r="B163" s="69"/>
      <c r="C163" s="44" t="s">
        <v>199</v>
      </c>
      <c r="D163" s="44">
        <f>(20.06+2.7+0.75*1.8)*10.764</f>
        <v>259.52003999999999</v>
      </c>
      <c r="E163" s="44">
        <v>0</v>
      </c>
      <c r="F163" s="44">
        <f t="shared" si="12"/>
        <v>389.28005999999999</v>
      </c>
      <c r="G163" s="69" t="str">
        <f t="shared" si="11"/>
        <v>8th Floor (Part Refuge Area)</v>
      </c>
      <c r="H163" s="69"/>
      <c r="I163" s="33"/>
      <c r="N163" s="33"/>
    </row>
    <row r="164" spans="1:14" s="34" customFormat="1" x14ac:dyDescent="0.3">
      <c r="A164" s="69">
        <f t="shared" si="10"/>
        <v>806</v>
      </c>
      <c r="B164" s="69"/>
      <c r="C164" s="44" t="s">
        <v>199</v>
      </c>
      <c r="D164" s="44">
        <f>(20.06+2.7+0.75*1.8)*10.764</f>
        <v>259.52003999999999</v>
      </c>
      <c r="E164" s="44">
        <v>0</v>
      </c>
      <c r="F164" s="44">
        <f t="shared" si="12"/>
        <v>389.28005999999999</v>
      </c>
      <c r="G164" s="69" t="str">
        <f t="shared" si="11"/>
        <v>8th Floor (Part Refuge Area)</v>
      </c>
      <c r="H164" s="69"/>
      <c r="I164" s="33"/>
      <c r="N164" s="33"/>
    </row>
    <row r="165" spans="1:14" s="34" customFormat="1" x14ac:dyDescent="0.3">
      <c r="A165" s="69">
        <f t="shared" si="10"/>
        <v>807</v>
      </c>
      <c r="B165" s="69"/>
      <c r="C165" s="44" t="s">
        <v>198</v>
      </c>
      <c r="D165" s="44">
        <f>(29.57+5.4+0.75*2.3)*10.764</f>
        <v>394.98498000000001</v>
      </c>
      <c r="E165" s="44">
        <v>0</v>
      </c>
      <c r="F165" s="44">
        <f t="shared" si="12"/>
        <v>592.47747000000004</v>
      </c>
      <c r="G165" s="69" t="str">
        <f t="shared" si="11"/>
        <v>8th Floor (Part Refuge Area)</v>
      </c>
      <c r="H165" s="69"/>
      <c r="I165" s="33"/>
      <c r="N165" s="33"/>
    </row>
    <row r="166" spans="1:14" s="34" customFormat="1" x14ac:dyDescent="0.3">
      <c r="A166" s="69">
        <f t="shared" si="10"/>
        <v>808</v>
      </c>
      <c r="B166" s="69"/>
      <c r="C166" s="44" t="s">
        <v>198</v>
      </c>
      <c r="D166" s="44">
        <f>(32.96+2.7+0.75*2.3)*10.764</f>
        <v>402.41214000000002</v>
      </c>
      <c r="E166" s="44">
        <v>0</v>
      </c>
      <c r="F166" s="44">
        <f t="shared" si="12"/>
        <v>603.61821000000009</v>
      </c>
      <c r="G166" s="69" t="str">
        <f t="shared" si="11"/>
        <v>8th Floor (Part Refuge Area)</v>
      </c>
      <c r="H166" s="69"/>
      <c r="I166" s="33"/>
      <c r="N166" s="33"/>
    </row>
    <row r="167" spans="1:14" s="34" customFormat="1" x14ac:dyDescent="0.3">
      <c r="A167" s="69">
        <f t="shared" si="10"/>
        <v>809</v>
      </c>
      <c r="B167" s="69"/>
      <c r="C167" s="44" t="s">
        <v>198</v>
      </c>
      <c r="D167" s="44">
        <f>(31.02+2.1+0.75*(2.1+2.75))*10.764</f>
        <v>395.65772999999996</v>
      </c>
      <c r="E167" s="44">
        <v>0</v>
      </c>
      <c r="F167" s="44">
        <f t="shared" si="12"/>
        <v>593.48659499999997</v>
      </c>
      <c r="G167" s="69" t="str">
        <f t="shared" si="11"/>
        <v>8th Floor (Part Refuge Area)</v>
      </c>
      <c r="H167" s="69"/>
      <c r="I167" s="33"/>
      <c r="N167" s="33"/>
    </row>
    <row r="168" spans="1:14" s="34" customFormat="1" x14ac:dyDescent="0.3">
      <c r="A168" s="75">
        <f t="shared" si="10"/>
        <v>810</v>
      </c>
      <c r="B168" s="75"/>
      <c r="C168" s="49" t="s">
        <v>199</v>
      </c>
      <c r="D168" s="49">
        <f>(21+2.7+0.75*1.8)*10.764</f>
        <v>269.63819999999998</v>
      </c>
      <c r="E168" s="49">
        <v>0</v>
      </c>
      <c r="F168" s="49">
        <f t="shared" si="12"/>
        <v>404.45729999999998</v>
      </c>
      <c r="G168" s="75" t="str">
        <f t="shared" si="11"/>
        <v>8th Floor (Part Refuge Area)</v>
      </c>
      <c r="H168" s="75"/>
      <c r="I168" s="33"/>
      <c r="N168" s="33"/>
    </row>
    <row r="169" spans="1:14" s="52" customFormat="1" x14ac:dyDescent="0.3">
      <c r="A169" s="69">
        <f t="shared" si="10"/>
        <v>811</v>
      </c>
      <c r="B169" s="69"/>
      <c r="C169" s="44" t="s">
        <v>198</v>
      </c>
      <c r="D169" s="44">
        <f>(32.44+2.7+0.75*(2.3+2.75))*10.764</f>
        <v>419.01560999999998</v>
      </c>
      <c r="E169" s="44">
        <v>0</v>
      </c>
      <c r="F169" s="44">
        <f t="shared" si="12"/>
        <v>628.523415</v>
      </c>
      <c r="G169" s="69" t="str">
        <f t="shared" si="11"/>
        <v>8th Floor (Part Refuge Area)</v>
      </c>
      <c r="H169" s="69"/>
      <c r="I169" s="51"/>
      <c r="N169" s="51"/>
    </row>
    <row r="170" spans="1:14" s="32" customFormat="1" x14ac:dyDescent="0.3">
      <c r="A170" s="139" t="s">
        <v>70</v>
      </c>
      <c r="B170" s="139"/>
      <c r="C170" s="139"/>
      <c r="D170" s="139"/>
      <c r="E170" s="139"/>
      <c r="F170" s="139"/>
      <c r="G170" s="139"/>
      <c r="H170" s="139"/>
    </row>
    <row r="171" spans="1:14" s="32" customFormat="1" ht="31.5" customHeight="1" x14ac:dyDescent="0.3">
      <c r="A171" s="53" t="s">
        <v>156</v>
      </c>
      <c r="B171" s="131" t="s">
        <v>217</v>
      </c>
      <c r="C171" s="132"/>
      <c r="D171" s="132"/>
      <c r="E171" s="132"/>
      <c r="F171" s="132"/>
      <c r="G171" s="132"/>
      <c r="H171" s="133"/>
    </row>
    <row r="172" spans="1:14" s="32" customFormat="1" x14ac:dyDescent="0.3">
      <c r="A172" s="53" t="s">
        <v>156</v>
      </c>
      <c r="B172" s="131" t="str">
        <f>(IF(F114="Saleable area Loading :","We have considered Saleable area of Flats as per our Calculation.","We considered Saleable area of Flat as per Builder area Sheet."))</f>
        <v>We have considered Saleable area of Flats as per our Calculation.</v>
      </c>
      <c r="C172" s="132"/>
      <c r="D172" s="132"/>
      <c r="E172" s="132"/>
      <c r="F172" s="132"/>
      <c r="G172" s="132"/>
      <c r="H172" s="133"/>
    </row>
    <row r="173" spans="1:14" s="32" customFormat="1" x14ac:dyDescent="0.3">
      <c r="A173" s="53" t="s">
        <v>156</v>
      </c>
      <c r="B173" s="131" t="s">
        <v>126</v>
      </c>
      <c r="C173" s="132"/>
      <c r="D173" s="132"/>
      <c r="E173" s="132"/>
      <c r="F173" s="132"/>
      <c r="G173" s="132"/>
      <c r="H173" s="133"/>
    </row>
    <row r="174" spans="1:14" s="32" customFormat="1" x14ac:dyDescent="0.3">
      <c r="A174" s="53" t="s">
        <v>156</v>
      </c>
      <c r="B174" s="76" t="s">
        <v>201</v>
      </c>
      <c r="C174" s="76"/>
      <c r="D174" s="76"/>
      <c r="E174" s="76"/>
      <c r="F174" s="76"/>
      <c r="G174" s="76"/>
      <c r="H174" s="76"/>
    </row>
    <row r="175" spans="1:14" s="32" customFormat="1" x14ac:dyDescent="0.3">
      <c r="A175" s="53" t="s">
        <v>156</v>
      </c>
      <c r="B175" s="76" t="s">
        <v>155</v>
      </c>
      <c r="C175" s="76"/>
      <c r="D175" s="76"/>
      <c r="E175" s="76"/>
      <c r="F175" s="76"/>
      <c r="G175" s="76"/>
      <c r="H175" s="76"/>
    </row>
    <row r="176" spans="1:14" s="32" customFormat="1" x14ac:dyDescent="0.3">
      <c r="A176" s="53" t="s">
        <v>156</v>
      </c>
      <c r="B176" s="76" t="s">
        <v>127</v>
      </c>
      <c r="C176" s="76"/>
      <c r="D176" s="76"/>
      <c r="E176" s="76"/>
      <c r="F176" s="76"/>
      <c r="G176" s="76"/>
      <c r="H176" s="76"/>
    </row>
    <row r="177" spans="1:8" s="32" customFormat="1" ht="34.5" customHeight="1" x14ac:dyDescent="0.3">
      <c r="A177" s="53" t="s">
        <v>156</v>
      </c>
      <c r="B177" s="76" t="s">
        <v>157</v>
      </c>
      <c r="C177" s="76"/>
      <c r="D177" s="76"/>
      <c r="E177" s="76"/>
      <c r="F177" s="76"/>
      <c r="G177" s="76"/>
      <c r="H177" s="76"/>
    </row>
    <row r="178" spans="1:8" s="32" customFormat="1" x14ac:dyDescent="0.3">
      <c r="A178" s="39" t="s">
        <v>156</v>
      </c>
      <c r="B178" s="61" t="s">
        <v>128</v>
      </c>
      <c r="C178" s="62"/>
      <c r="D178" s="62"/>
      <c r="E178" s="62"/>
      <c r="F178" s="62"/>
      <c r="G178" s="62"/>
      <c r="H178" s="63"/>
    </row>
    <row r="179" spans="1:8" s="32" customFormat="1" ht="34.200000000000003" customHeight="1" x14ac:dyDescent="0.3">
      <c r="A179" s="39" t="s">
        <v>156</v>
      </c>
      <c r="B179" s="128" t="s">
        <v>216</v>
      </c>
      <c r="C179" s="129"/>
      <c r="D179" s="129"/>
      <c r="E179" s="129"/>
      <c r="F179" s="129"/>
      <c r="G179" s="129"/>
      <c r="H179" s="130"/>
    </row>
    <row r="180" spans="1:8" x14ac:dyDescent="0.3">
      <c r="A180" s="126" t="s">
        <v>63</v>
      </c>
      <c r="B180" s="126"/>
      <c r="C180" s="126"/>
      <c r="D180" s="126"/>
      <c r="E180" s="126"/>
      <c r="F180" s="126"/>
      <c r="G180" s="126"/>
      <c r="H180" s="126"/>
    </row>
    <row r="181" spans="1:8" x14ac:dyDescent="0.3">
      <c r="A181" s="109" t="s">
        <v>64</v>
      </c>
      <c r="B181" s="109"/>
      <c r="C181" s="109"/>
      <c r="D181" s="109"/>
      <c r="E181" s="109"/>
      <c r="F181" s="109"/>
      <c r="G181" s="109"/>
      <c r="H181" s="109"/>
    </row>
    <row r="182" spans="1:8" ht="15.75" customHeight="1" x14ac:dyDescent="0.3">
      <c r="A182" s="152" t="s">
        <v>65</v>
      </c>
      <c r="B182" s="152"/>
      <c r="C182" s="152"/>
      <c r="D182" s="152"/>
      <c r="E182" s="152"/>
      <c r="F182" s="152"/>
      <c r="G182" s="152"/>
      <c r="H182" s="152"/>
    </row>
    <row r="183" spans="1:8" x14ac:dyDescent="0.3">
      <c r="A183" s="109" t="s">
        <v>66</v>
      </c>
      <c r="B183" s="109"/>
      <c r="C183" s="109"/>
      <c r="D183" s="109"/>
      <c r="E183" s="109"/>
      <c r="F183" s="109"/>
      <c r="G183" s="109"/>
      <c r="H183" s="109"/>
    </row>
    <row r="184" spans="1:8" x14ac:dyDescent="0.3">
      <c r="A184" s="109" t="s">
        <v>67</v>
      </c>
      <c r="B184" s="109"/>
      <c r="C184" s="109"/>
      <c r="D184" s="109"/>
      <c r="E184" s="109"/>
      <c r="F184" s="109"/>
      <c r="G184" s="109"/>
      <c r="H184" s="109"/>
    </row>
    <row r="185" spans="1:8" x14ac:dyDescent="0.3">
      <c r="A185" s="109" t="s">
        <v>129</v>
      </c>
      <c r="B185" s="109"/>
      <c r="C185" s="109"/>
      <c r="D185" s="109"/>
      <c r="E185" s="109"/>
      <c r="F185" s="109"/>
      <c r="G185" s="109"/>
      <c r="H185" s="109"/>
    </row>
    <row r="186" spans="1:8" ht="35.25" customHeight="1" x14ac:dyDescent="0.3">
      <c r="A186" s="110" t="s">
        <v>130</v>
      </c>
      <c r="B186" s="110"/>
      <c r="C186" s="110"/>
      <c r="D186" s="110"/>
      <c r="E186" s="110"/>
      <c r="F186" s="110"/>
      <c r="G186" s="110"/>
      <c r="H186" s="110"/>
    </row>
    <row r="187" spans="1:8" x14ac:dyDescent="0.3">
      <c r="A187" s="137" t="s">
        <v>79</v>
      </c>
      <c r="B187" s="137"/>
      <c r="C187" s="137" t="s">
        <v>211</v>
      </c>
      <c r="D187" s="137"/>
      <c r="E187" s="137" t="s">
        <v>109</v>
      </c>
      <c r="F187" s="137"/>
      <c r="G187" s="137" t="s">
        <v>213</v>
      </c>
      <c r="H187" s="137"/>
    </row>
    <row r="188" spans="1:8" x14ac:dyDescent="0.3">
      <c r="A188" s="136" t="s">
        <v>81</v>
      </c>
      <c r="B188" s="136"/>
      <c r="C188" s="136"/>
      <c r="D188" s="136"/>
      <c r="E188" s="136"/>
      <c r="F188" s="136"/>
      <c r="G188" s="136"/>
      <c r="H188" s="136"/>
    </row>
    <row r="189" spans="1:8" x14ac:dyDescent="0.3">
      <c r="A189" s="136"/>
      <c r="B189" s="136"/>
      <c r="C189" s="136"/>
      <c r="D189" s="136"/>
      <c r="E189" s="136"/>
      <c r="F189" s="136"/>
      <c r="G189" s="136"/>
      <c r="H189" s="136"/>
    </row>
    <row r="190" spans="1:8" x14ac:dyDescent="0.3">
      <c r="A190" s="136"/>
      <c r="B190" s="136"/>
      <c r="C190" s="136"/>
      <c r="D190" s="136"/>
      <c r="E190" s="136"/>
      <c r="F190" s="136"/>
      <c r="G190" s="136"/>
      <c r="H190" s="136"/>
    </row>
    <row r="191" spans="1:8" x14ac:dyDescent="0.3">
      <c r="A191" s="136"/>
      <c r="B191" s="136"/>
      <c r="C191" s="136"/>
      <c r="D191" s="136"/>
      <c r="E191" s="136"/>
      <c r="F191" s="136"/>
      <c r="G191" s="136"/>
      <c r="H191" s="136"/>
    </row>
    <row r="192" spans="1:8" x14ac:dyDescent="0.3">
      <c r="A192" s="35" t="s">
        <v>68</v>
      </c>
      <c r="B192" s="36"/>
      <c r="C192" s="36"/>
      <c r="D192" s="35" t="str">
        <f>E8</f>
        <v>Sadguru Harmony Phase 3 &amp; 4</v>
      </c>
      <c r="F192" s="36"/>
      <c r="G192" s="36"/>
      <c r="H192" s="36"/>
    </row>
    <row r="193" spans="1:8" x14ac:dyDescent="0.3">
      <c r="A193" s="36"/>
      <c r="B193" s="36"/>
      <c r="C193" s="36"/>
      <c r="D193" s="36"/>
      <c r="E193" s="36"/>
      <c r="F193" s="36"/>
      <c r="G193" s="36"/>
      <c r="H193" s="36"/>
    </row>
    <row r="194" spans="1:8" x14ac:dyDescent="0.3">
      <c r="A194" s="36"/>
      <c r="B194" s="36"/>
      <c r="C194" s="36"/>
      <c r="D194" s="36"/>
      <c r="E194" s="36"/>
      <c r="F194" s="36"/>
      <c r="G194" s="36"/>
      <c r="H194" s="36"/>
    </row>
    <row r="195" spans="1:8" ht="15" customHeight="1" x14ac:dyDescent="0.3"/>
    <row r="196" spans="1:8" x14ac:dyDescent="0.3">
      <c r="C196" s="38"/>
    </row>
    <row r="236" spans="1:1" x14ac:dyDescent="0.3">
      <c r="A236" s="38" t="s">
        <v>69</v>
      </c>
    </row>
  </sheetData>
  <mergeCells count="351">
    <mergeCell ref="B179:H179"/>
    <mergeCell ref="A16:B16"/>
    <mergeCell ref="C16:H16"/>
    <mergeCell ref="E41:H41"/>
    <mergeCell ref="A41:D41"/>
    <mergeCell ref="A185:H185"/>
    <mergeCell ref="A182:H182"/>
    <mergeCell ref="G157:H157"/>
    <mergeCell ref="A150:B150"/>
    <mergeCell ref="A108:B108"/>
    <mergeCell ref="D114:D115"/>
    <mergeCell ref="E114:E115"/>
    <mergeCell ref="G114:H115"/>
    <mergeCell ref="A74:B74"/>
    <mergeCell ref="F94:H94"/>
    <mergeCell ref="A48:B48"/>
    <mergeCell ref="C48:E48"/>
    <mergeCell ref="A79:B79"/>
    <mergeCell ref="C79:H79"/>
    <mergeCell ref="A81:B81"/>
    <mergeCell ref="C81:H81"/>
    <mergeCell ref="A82:B82"/>
    <mergeCell ref="E82:F82"/>
    <mergeCell ref="G82:H82"/>
    <mergeCell ref="A83:B83"/>
    <mergeCell ref="C50:E50"/>
    <mergeCell ref="A57:C57"/>
    <mergeCell ref="D57:H57"/>
    <mergeCell ref="C49:E49"/>
    <mergeCell ref="A52:B52"/>
    <mergeCell ref="C52:E52"/>
    <mergeCell ref="A49:B49"/>
    <mergeCell ref="A53:H53"/>
    <mergeCell ref="A54:C54"/>
    <mergeCell ref="A55:C55"/>
    <mergeCell ref="D55:H55"/>
    <mergeCell ref="G52:H52"/>
    <mergeCell ref="C51:H51"/>
    <mergeCell ref="A114:A115"/>
    <mergeCell ref="A155:B155"/>
    <mergeCell ref="A156:B156"/>
    <mergeCell ref="G148:H148"/>
    <mergeCell ref="A138:B138"/>
    <mergeCell ref="A112:H112"/>
    <mergeCell ref="B114:B115"/>
    <mergeCell ref="E111:F111"/>
    <mergeCell ref="G119:H119"/>
    <mergeCell ref="C111:D111"/>
    <mergeCell ref="A117:H117"/>
    <mergeCell ref="A122:B122"/>
    <mergeCell ref="G122:H122"/>
    <mergeCell ref="A123:B123"/>
    <mergeCell ref="G123:H123"/>
    <mergeCell ref="A145:H145"/>
    <mergeCell ref="A148:B148"/>
    <mergeCell ref="C114:C115"/>
    <mergeCell ref="A188:H191"/>
    <mergeCell ref="A187:B187"/>
    <mergeCell ref="E187:F187"/>
    <mergeCell ref="C187:D187"/>
    <mergeCell ref="G187:H187"/>
    <mergeCell ref="A105:E105"/>
    <mergeCell ref="F105:H105"/>
    <mergeCell ref="A106:E106"/>
    <mergeCell ref="F106:H106"/>
    <mergeCell ref="A109:B109"/>
    <mergeCell ref="A151:B151"/>
    <mergeCell ref="A183:H183"/>
    <mergeCell ref="A107:H107"/>
    <mergeCell ref="A186:H186"/>
    <mergeCell ref="A184:H184"/>
    <mergeCell ref="A170:H170"/>
    <mergeCell ref="A118:H118"/>
    <mergeCell ref="A119:B119"/>
    <mergeCell ref="C109:D109"/>
    <mergeCell ref="E109:F109"/>
    <mergeCell ref="G109:H109"/>
    <mergeCell ref="G166:H166"/>
    <mergeCell ref="G159:H159"/>
    <mergeCell ref="A162:B162"/>
    <mergeCell ref="C67:H67"/>
    <mergeCell ref="A70:B70"/>
    <mergeCell ref="A72:B72"/>
    <mergeCell ref="E68:F68"/>
    <mergeCell ref="F100:H100"/>
    <mergeCell ref="A94:E94"/>
    <mergeCell ref="F93:H93"/>
    <mergeCell ref="F98:H98"/>
    <mergeCell ref="A93:E93"/>
    <mergeCell ref="A99:E99"/>
    <mergeCell ref="F99:H99"/>
    <mergeCell ref="A100:E100"/>
    <mergeCell ref="E83:F92"/>
    <mergeCell ref="G83:H92"/>
    <mergeCell ref="A84:B84"/>
    <mergeCell ref="A85:B85"/>
    <mergeCell ref="A86:B86"/>
    <mergeCell ref="A87:B87"/>
    <mergeCell ref="A88:B88"/>
    <mergeCell ref="A89:B89"/>
    <mergeCell ref="A90:B90"/>
    <mergeCell ref="A91:B91"/>
    <mergeCell ref="A92:B92"/>
    <mergeCell ref="A69:B69"/>
    <mergeCell ref="G68:H68"/>
    <mergeCell ref="E69:F78"/>
    <mergeCell ref="G69:H78"/>
    <mergeCell ref="A77:B77"/>
    <mergeCell ref="A78:B78"/>
    <mergeCell ref="A76:B76"/>
    <mergeCell ref="A180:H180"/>
    <mergeCell ref="A181:H181"/>
    <mergeCell ref="E108:F108"/>
    <mergeCell ref="B176:H176"/>
    <mergeCell ref="A164:B164"/>
    <mergeCell ref="A158:H158"/>
    <mergeCell ref="A149:B149"/>
    <mergeCell ref="B171:H171"/>
    <mergeCell ref="B172:H172"/>
    <mergeCell ref="B173:H173"/>
    <mergeCell ref="F101:H101"/>
    <mergeCell ref="F104:H104"/>
    <mergeCell ref="F102:H102"/>
    <mergeCell ref="A113:H113"/>
    <mergeCell ref="A103:E103"/>
    <mergeCell ref="B174:H174"/>
    <mergeCell ref="A1:H1"/>
    <mergeCell ref="A2:H2"/>
    <mergeCell ref="A3:D3"/>
    <mergeCell ref="E3:H3"/>
    <mergeCell ref="A4:D4"/>
    <mergeCell ref="A8:D8"/>
    <mergeCell ref="E8:H8"/>
    <mergeCell ref="A10:D10"/>
    <mergeCell ref="E10:H10"/>
    <mergeCell ref="E4:H4"/>
    <mergeCell ref="A9:D9"/>
    <mergeCell ref="E9:H9"/>
    <mergeCell ref="A11:D11"/>
    <mergeCell ref="E11:H11"/>
    <mergeCell ref="A5:D5"/>
    <mergeCell ref="E5:H5"/>
    <mergeCell ref="A6:D6"/>
    <mergeCell ref="E6:H6"/>
    <mergeCell ref="A7:D7"/>
    <mergeCell ref="E7:H7"/>
    <mergeCell ref="A15:B15"/>
    <mergeCell ref="A12:D12"/>
    <mergeCell ref="E12:H12"/>
    <mergeCell ref="A13:D13"/>
    <mergeCell ref="A21:D22"/>
    <mergeCell ref="E21:H22"/>
    <mergeCell ref="E13:H13"/>
    <mergeCell ref="A14:B14"/>
    <mergeCell ref="C14:H14"/>
    <mergeCell ref="C15:H15"/>
    <mergeCell ref="A23:D23"/>
    <mergeCell ref="E23:H23"/>
    <mergeCell ref="A17:B17"/>
    <mergeCell ref="C17:D17"/>
    <mergeCell ref="E17:F17"/>
    <mergeCell ref="G17:H17"/>
    <mergeCell ref="A18:B18"/>
    <mergeCell ref="C18:D18"/>
    <mergeCell ref="E18:F18"/>
    <mergeCell ref="G18:H18"/>
    <mergeCell ref="A19:B19"/>
    <mergeCell ref="C19:D19"/>
    <mergeCell ref="E19:F19"/>
    <mergeCell ref="G19:H19"/>
    <mergeCell ref="A20:B20"/>
    <mergeCell ref="C20:D20"/>
    <mergeCell ref="E20:F20"/>
    <mergeCell ref="G20:H20"/>
    <mergeCell ref="E25:H25"/>
    <mergeCell ref="A27:D27"/>
    <mergeCell ref="E27:H27"/>
    <mergeCell ref="A24:D24"/>
    <mergeCell ref="E24:H24"/>
    <mergeCell ref="A28:D28"/>
    <mergeCell ref="E28:H28"/>
    <mergeCell ref="A25:D25"/>
    <mergeCell ref="A34:B34"/>
    <mergeCell ref="C34:E34"/>
    <mergeCell ref="A29:D29"/>
    <mergeCell ref="E29:H29"/>
    <mergeCell ref="A30:D30"/>
    <mergeCell ref="E30:H30"/>
    <mergeCell ref="A26:D26"/>
    <mergeCell ref="E26:H26"/>
    <mergeCell ref="C31:E31"/>
    <mergeCell ref="F34:H34"/>
    <mergeCell ref="F31:H31"/>
    <mergeCell ref="A32:B32"/>
    <mergeCell ref="A31:B31"/>
    <mergeCell ref="C32:E32"/>
    <mergeCell ref="A33:B33"/>
    <mergeCell ref="C33:E33"/>
    <mergeCell ref="A36:H36"/>
    <mergeCell ref="A35:B35"/>
    <mergeCell ref="C35:E35"/>
    <mergeCell ref="F32:H32"/>
    <mergeCell ref="F33:H33"/>
    <mergeCell ref="A39:H39"/>
    <mergeCell ref="A58:C58"/>
    <mergeCell ref="A59:C59"/>
    <mergeCell ref="D58:H58"/>
    <mergeCell ref="D59:H59"/>
    <mergeCell ref="A42:D42"/>
    <mergeCell ref="E42:H42"/>
    <mergeCell ref="E43:H43"/>
    <mergeCell ref="E44:H44"/>
    <mergeCell ref="E45:H45"/>
    <mergeCell ref="A43:D43"/>
    <mergeCell ref="F35:H35"/>
    <mergeCell ref="A37:B37"/>
    <mergeCell ref="A44:D44"/>
    <mergeCell ref="A45:D45"/>
    <mergeCell ref="A38:B38"/>
    <mergeCell ref="G48:H48"/>
    <mergeCell ref="G50:H50"/>
    <mergeCell ref="D54:H54"/>
    <mergeCell ref="A40:D40"/>
    <mergeCell ref="E40:H40"/>
    <mergeCell ref="A46:H46"/>
    <mergeCell ref="D56:H56"/>
    <mergeCell ref="A56:C56"/>
    <mergeCell ref="G49:H49"/>
    <mergeCell ref="A50:B51"/>
    <mergeCell ref="A75:B75"/>
    <mergeCell ref="A68:B68"/>
    <mergeCell ref="A71:B71"/>
    <mergeCell ref="A67:B67"/>
    <mergeCell ref="A65:B65"/>
    <mergeCell ref="C65:H65"/>
    <mergeCell ref="A73:B73"/>
    <mergeCell ref="A60:C60"/>
    <mergeCell ref="D60:H60"/>
    <mergeCell ref="A61:C61"/>
    <mergeCell ref="D61:H61"/>
    <mergeCell ref="A64:C64"/>
    <mergeCell ref="D64:H64"/>
    <mergeCell ref="A62:C62"/>
    <mergeCell ref="D62:H62"/>
    <mergeCell ref="A63:C63"/>
    <mergeCell ref="D63:H63"/>
    <mergeCell ref="G121:H121"/>
    <mergeCell ref="G162:H162"/>
    <mergeCell ref="G163:H163"/>
    <mergeCell ref="A167:B167"/>
    <mergeCell ref="G167:H167"/>
    <mergeCell ref="A168:B168"/>
    <mergeCell ref="G168:H168"/>
    <mergeCell ref="A169:B169"/>
    <mergeCell ref="G169:H169"/>
    <mergeCell ref="A161:B161"/>
    <mergeCell ref="A102:E102"/>
    <mergeCell ref="A159:B159"/>
    <mergeCell ref="A160:B160"/>
    <mergeCell ref="A163:B163"/>
    <mergeCell ref="G164:H164"/>
    <mergeCell ref="A166:B166"/>
    <mergeCell ref="A165:B165"/>
    <mergeCell ref="G165:H165"/>
    <mergeCell ref="F96:H96"/>
    <mergeCell ref="A101:E101"/>
    <mergeCell ref="A96:E96"/>
    <mergeCell ref="G161:H161"/>
    <mergeCell ref="G153:H153"/>
    <mergeCell ref="G152:H152"/>
    <mergeCell ref="G138:H138"/>
    <mergeCell ref="A146:B146"/>
    <mergeCell ref="G146:H146"/>
    <mergeCell ref="A147:B147"/>
    <mergeCell ref="G147:H147"/>
    <mergeCell ref="G155:H155"/>
    <mergeCell ref="A153:B153"/>
    <mergeCell ref="A120:B120"/>
    <mergeCell ref="G120:H120"/>
    <mergeCell ref="A121:B121"/>
    <mergeCell ref="G141:H141"/>
    <mergeCell ref="B177:H177"/>
    <mergeCell ref="A47:B47"/>
    <mergeCell ref="C47:H47"/>
    <mergeCell ref="B175:H175"/>
    <mergeCell ref="F95:H95"/>
    <mergeCell ref="A95:E95"/>
    <mergeCell ref="G160:H160"/>
    <mergeCell ref="G150:H150"/>
    <mergeCell ref="A97:E97"/>
    <mergeCell ref="A98:E98"/>
    <mergeCell ref="F97:H97"/>
    <mergeCell ref="G110:H110"/>
    <mergeCell ref="F103:H103"/>
    <mergeCell ref="A104:E104"/>
    <mergeCell ref="G111:H111"/>
    <mergeCell ref="A110:B110"/>
    <mergeCell ref="C110:D110"/>
    <mergeCell ref="E110:F110"/>
    <mergeCell ref="C108:D108"/>
    <mergeCell ref="G108:H108"/>
    <mergeCell ref="A111:B111"/>
    <mergeCell ref="G140:H140"/>
    <mergeCell ref="A141:B141"/>
    <mergeCell ref="A140:B140"/>
    <mergeCell ref="C38:H38"/>
    <mergeCell ref="L158:M158"/>
    <mergeCell ref="G151:H151"/>
    <mergeCell ref="A154:B154"/>
    <mergeCell ref="G154:H154"/>
    <mergeCell ref="G156:H156"/>
    <mergeCell ref="A131:H131"/>
    <mergeCell ref="L131:M131"/>
    <mergeCell ref="A132:B132"/>
    <mergeCell ref="G132:H132"/>
    <mergeCell ref="A133:B133"/>
    <mergeCell ref="G133:H133"/>
    <mergeCell ref="A134:B134"/>
    <mergeCell ref="G134:H134"/>
    <mergeCell ref="A135:B135"/>
    <mergeCell ref="G135:H135"/>
    <mergeCell ref="A157:B157"/>
    <mergeCell ref="A152:B152"/>
    <mergeCell ref="A142:B142"/>
    <mergeCell ref="G142:H142"/>
    <mergeCell ref="A136:B136"/>
    <mergeCell ref="G136:H136"/>
    <mergeCell ref="A144:H144"/>
    <mergeCell ref="B178:H178"/>
    <mergeCell ref="C37:H37"/>
    <mergeCell ref="G149:H149"/>
    <mergeCell ref="A130:B130"/>
    <mergeCell ref="G130:H130"/>
    <mergeCell ref="A116:H116"/>
    <mergeCell ref="A143:H143"/>
    <mergeCell ref="A124:B124"/>
    <mergeCell ref="G124:H124"/>
    <mergeCell ref="A125:B125"/>
    <mergeCell ref="G125:H125"/>
    <mergeCell ref="A126:B126"/>
    <mergeCell ref="G126:H126"/>
    <mergeCell ref="A127:B127"/>
    <mergeCell ref="G127:H127"/>
    <mergeCell ref="A128:B128"/>
    <mergeCell ref="G128:H128"/>
    <mergeCell ref="A129:B129"/>
    <mergeCell ref="G129:H129"/>
    <mergeCell ref="A137:B137"/>
    <mergeCell ref="G137:H137"/>
    <mergeCell ref="A139:B139"/>
    <mergeCell ref="G139:H139"/>
  </mergeCells>
  <hyperlinks>
    <hyperlink ref="C38" r:id="rId1" xr:uid="{00000000-0004-0000-0000-000000000000}"/>
  </hyperlinks>
  <printOptions horizontalCentered="1"/>
  <pageMargins left="0.39370078740157483" right="0.39370078740157483" top="0.82677165354330717" bottom="0.78740157480314965" header="0.15748031496062992" footer="0.19685039370078741"/>
  <pageSetup paperSize="2" scale="94" fitToHeight="0" orientation="portrait" r:id="rId2"/>
  <headerFooter>
    <oddHeader>&amp;C&amp;G</oddHeader>
    <oddFooter>&amp;L&amp;"Times New Roman,Bold"&amp;12Ref No: &amp;F&amp;C&amp;G&amp;R&amp;"Times New Roman,Bold"&amp;12&amp;P</oddFooter>
  </headerFooter>
  <rowBreaks count="4" manualBreakCount="4">
    <brk id="78" max="16383" man="1"/>
    <brk id="169" max="7" man="1"/>
    <brk id="191" max="16383" man="1"/>
    <brk id="235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1:I16"/>
  <sheetViews>
    <sheetView zoomScale="85" zoomScaleNormal="85" workbookViewId="0">
      <selection activeCell="C20" sqref="C20"/>
    </sheetView>
  </sheetViews>
  <sheetFormatPr defaultColWidth="8.6640625" defaultRowHeight="14.4" x14ac:dyDescent="0.3"/>
  <cols>
    <col min="1" max="1" width="8.6640625" style="1"/>
    <col min="2" max="2" width="22.109375" style="1" customWidth="1"/>
    <col min="3" max="3" width="37" style="1" customWidth="1"/>
    <col min="4" max="5" width="11.44140625" style="1" customWidth="1"/>
    <col min="6" max="6" width="14" style="1" customWidth="1"/>
    <col min="7" max="7" width="20" style="1" customWidth="1"/>
    <col min="8" max="8" width="16.44140625" style="1" customWidth="1"/>
    <col min="9" max="16384" width="8.6640625" style="1"/>
  </cols>
  <sheetData>
    <row r="1" spans="1:9" ht="15" customHeight="1" x14ac:dyDescent="0.3"/>
    <row r="2" spans="1:9" ht="15" customHeight="1" x14ac:dyDescent="0.3">
      <c r="A2" s="2"/>
      <c r="B2" s="2"/>
      <c r="C2" s="2"/>
      <c r="D2" s="2"/>
      <c r="E2" s="2"/>
      <c r="F2" s="2"/>
      <c r="G2" s="2"/>
      <c r="H2" s="2"/>
    </row>
    <row r="3" spans="1:9" ht="15.75" customHeight="1" x14ac:dyDescent="0.3">
      <c r="A3" s="2"/>
      <c r="B3" s="157" t="s">
        <v>110</v>
      </c>
      <c r="C3" s="157"/>
      <c r="D3" s="157"/>
      <c r="E3" s="157"/>
      <c r="F3" s="157"/>
      <c r="G3" s="157"/>
      <c r="H3" s="157"/>
    </row>
    <row r="4" spans="1:9" x14ac:dyDescent="0.3">
      <c r="A4" s="2"/>
      <c r="B4" s="3" t="s">
        <v>111</v>
      </c>
      <c r="C4" s="3" t="s">
        <v>112</v>
      </c>
      <c r="D4" s="3" t="s">
        <v>71</v>
      </c>
      <c r="E4" s="3" t="s">
        <v>113</v>
      </c>
      <c r="F4" s="3" t="s">
        <v>119</v>
      </c>
      <c r="G4" s="3" t="s">
        <v>120</v>
      </c>
      <c r="H4" s="3" t="s">
        <v>114</v>
      </c>
    </row>
    <row r="5" spans="1:9" ht="15" customHeight="1" x14ac:dyDescent="0.3">
      <c r="A5" s="2"/>
      <c r="B5" s="5" t="s">
        <v>115</v>
      </c>
      <c r="C5" s="6"/>
      <c r="D5" s="5"/>
      <c r="E5" s="5"/>
      <c r="F5" s="7">
        <f>E5*1.6</f>
        <v>0</v>
      </c>
      <c r="G5" s="7" t="e">
        <f>H5/F5</f>
        <v>#DIV/0!</v>
      </c>
      <c r="H5" s="8"/>
    </row>
    <row r="6" spans="1:9" x14ac:dyDescent="0.3">
      <c r="A6" s="2"/>
      <c r="B6" s="5" t="s">
        <v>115</v>
      </c>
      <c r="C6" s="9"/>
      <c r="D6" s="5"/>
      <c r="E6" s="5"/>
      <c r="F6" s="7">
        <f t="shared" ref="F6:F11" si="0">E6*1.6</f>
        <v>0</v>
      </c>
      <c r="G6" s="7" t="e">
        <f t="shared" ref="G6:G11" si="1">H6/F6</f>
        <v>#DIV/0!</v>
      </c>
      <c r="H6" s="8"/>
    </row>
    <row r="7" spans="1:9" ht="15" customHeight="1" x14ac:dyDescent="0.3">
      <c r="A7" s="2"/>
      <c r="B7" s="5" t="s">
        <v>115</v>
      </c>
      <c r="C7" s="6"/>
      <c r="D7" s="5"/>
      <c r="E7" s="5"/>
      <c r="F7" s="7">
        <f t="shared" si="0"/>
        <v>0</v>
      </c>
      <c r="G7" s="7" t="e">
        <f t="shared" si="1"/>
        <v>#DIV/0!</v>
      </c>
      <c r="H7" s="8"/>
    </row>
    <row r="8" spans="1:9" x14ac:dyDescent="0.3">
      <c r="A8" s="2"/>
      <c r="B8" s="5" t="s">
        <v>115</v>
      </c>
      <c r="C8" s="9"/>
      <c r="D8" s="5"/>
      <c r="E8" s="5"/>
      <c r="F8" s="7">
        <f t="shared" si="0"/>
        <v>0</v>
      </c>
      <c r="G8" s="7" t="e">
        <f t="shared" si="1"/>
        <v>#DIV/0!</v>
      </c>
      <c r="H8" s="8"/>
    </row>
    <row r="9" spans="1:9" ht="15" customHeight="1" x14ac:dyDescent="0.3">
      <c r="A9" s="2"/>
      <c r="B9" s="5" t="s">
        <v>115</v>
      </c>
      <c r="C9" s="9"/>
      <c r="D9" s="5"/>
      <c r="E9" s="5"/>
      <c r="F9" s="7">
        <f t="shared" si="0"/>
        <v>0</v>
      </c>
      <c r="G9" s="7" t="e">
        <f t="shared" si="1"/>
        <v>#DIV/0!</v>
      </c>
      <c r="H9" s="8"/>
    </row>
    <row r="10" spans="1:9" ht="15" customHeight="1" x14ac:dyDescent="0.3">
      <c r="A10" s="2"/>
      <c r="B10" s="5" t="s">
        <v>116</v>
      </c>
      <c r="C10" s="6"/>
      <c r="D10" s="5"/>
      <c r="E10" s="5"/>
      <c r="F10" s="7">
        <f t="shared" si="0"/>
        <v>0</v>
      </c>
      <c r="G10" s="7" t="e">
        <f t="shared" si="1"/>
        <v>#DIV/0!</v>
      </c>
      <c r="H10" s="8"/>
    </row>
    <row r="11" spans="1:9" ht="15" customHeight="1" x14ac:dyDescent="0.3">
      <c r="A11" s="2"/>
      <c r="B11" s="5" t="s">
        <v>116</v>
      </c>
      <c r="C11" s="6"/>
      <c r="D11" s="5"/>
      <c r="E11" s="5"/>
      <c r="F11" s="7">
        <f t="shared" si="0"/>
        <v>0</v>
      </c>
      <c r="G11" s="7" t="e">
        <f t="shared" si="1"/>
        <v>#DIV/0!</v>
      </c>
      <c r="H11" s="8"/>
    </row>
    <row r="12" spans="1:9" ht="15" customHeight="1" x14ac:dyDescent="0.3">
      <c r="A12" s="2"/>
      <c r="B12" s="10" t="s">
        <v>117</v>
      </c>
      <c r="C12" s="5"/>
      <c r="D12" s="5"/>
      <c r="E12" s="5"/>
      <c r="F12" s="5"/>
      <c r="G12" s="11" t="e">
        <f>AVERAGE(G5:G11)</f>
        <v>#DIV/0!</v>
      </c>
      <c r="H12" s="5"/>
    </row>
    <row r="13" spans="1:9" ht="15" customHeight="1" x14ac:dyDescent="0.3">
      <c r="B13" s="10" t="s">
        <v>118</v>
      </c>
      <c r="C13" s="5"/>
      <c r="D13" s="5"/>
      <c r="E13" s="5"/>
      <c r="F13" s="12"/>
      <c r="G13" s="10"/>
      <c r="H13" s="10"/>
      <c r="I13" s="4"/>
    </row>
    <row r="14" spans="1:9" ht="15" customHeight="1" x14ac:dyDescent="0.3"/>
    <row r="15" spans="1:9" ht="15" customHeight="1" x14ac:dyDescent="0.3"/>
    <row r="16" spans="1:9" ht="15" customHeight="1" x14ac:dyDescent="0.3"/>
  </sheetData>
  <mergeCells count="1">
    <mergeCell ref="B3:H3"/>
  </mergeCell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zoomScale="70" zoomScaleNormal="70" workbookViewId="0">
      <selection activeCell="E24" sqref="E24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pranitam503@gmail.com</cp:lastModifiedBy>
  <cp:lastPrinted>2025-08-20T09:12:05Z</cp:lastPrinted>
  <dcterms:created xsi:type="dcterms:W3CDTF">2019-07-16T09:29:46Z</dcterms:created>
  <dcterms:modified xsi:type="dcterms:W3CDTF">2025-08-20T09:12:56Z</dcterms:modified>
</cp:coreProperties>
</file>