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20.08\"/>
    </mc:Choice>
  </mc:AlternateContent>
  <xr:revisionPtr revIDLastSave="0" documentId="13_ncr:1_{5D78D14E-6408-428E-A24D-6D2CAA9CD8F0}"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sheetId="4" r:id="rId3"/>
  </sheets>
  <definedNames>
    <definedName name="_xlnm.Print_Area" localSheetId="0">Report!$A$1:$H$399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8" i="1" l="1"/>
  <c r="C77" i="1"/>
  <c r="C76" i="1"/>
  <c r="D176" i="1" l="1"/>
  <c r="F176" i="1" s="1"/>
  <c r="D175" i="1"/>
  <c r="F175" i="1" s="1"/>
  <c r="D174" i="1"/>
  <c r="F174" i="1" s="1"/>
  <c r="D173" i="1"/>
  <c r="F173" i="1" s="1"/>
  <c r="D172" i="1"/>
  <c r="F172" i="1" s="1"/>
  <c r="D171" i="1"/>
  <c r="F171" i="1" s="1"/>
  <c r="D170" i="1"/>
  <c r="F170" i="1" s="1"/>
  <c r="G169" i="1"/>
  <c r="D169" i="1"/>
  <c r="F169" i="1" s="1"/>
  <c r="D252" i="1"/>
  <c r="F252" i="1" s="1"/>
  <c r="D251" i="1"/>
  <c r="F251" i="1" s="1"/>
  <c r="D250" i="1"/>
  <c r="F250" i="1" s="1"/>
  <c r="D249" i="1"/>
  <c r="F249" i="1" s="1"/>
  <c r="D247" i="1"/>
  <c r="F247" i="1" s="1"/>
  <c r="D246" i="1"/>
  <c r="F246" i="1" s="1"/>
  <c r="D245" i="1"/>
  <c r="F245" i="1" s="1"/>
  <c r="D244" i="1"/>
  <c r="F244" i="1" s="1"/>
  <c r="D237" i="1"/>
  <c r="F237" i="1" s="1"/>
  <c r="D236" i="1"/>
  <c r="F236" i="1" s="1"/>
  <c r="D235" i="1"/>
  <c r="F235" i="1" s="1"/>
  <c r="D234" i="1"/>
  <c r="F234" i="1" s="1"/>
  <c r="D232" i="1"/>
  <c r="F232" i="1" s="1"/>
  <c r="D231" i="1"/>
  <c r="F231" i="1" s="1"/>
  <c r="D230" i="1"/>
  <c r="F230" i="1" s="1"/>
  <c r="D227" i="1"/>
  <c r="D226" i="1"/>
  <c r="F226" i="1" s="1"/>
  <c r="D225" i="1"/>
  <c r="F225" i="1" s="1"/>
  <c r="D224" i="1"/>
  <c r="F224" i="1" s="1"/>
  <c r="D222" i="1"/>
  <c r="F222" i="1" s="1"/>
  <c r="D221" i="1"/>
  <c r="F221" i="1" s="1"/>
  <c r="D220" i="1"/>
  <c r="F220" i="1" s="1"/>
  <c r="D219" i="1"/>
  <c r="F219" i="1" s="1"/>
  <c r="D215" i="1"/>
  <c r="F215" i="1" s="1"/>
  <c r="D214" i="1"/>
  <c r="F214" i="1" s="1"/>
  <c r="D210" i="1"/>
  <c r="F210" i="1" s="1"/>
  <c r="D209" i="1"/>
  <c r="G249" i="1"/>
  <c r="G244" i="1"/>
  <c r="D203" i="1"/>
  <c r="F203" i="1" s="1"/>
  <c r="D202" i="1"/>
  <c r="F202" i="1" s="1"/>
  <c r="D201" i="1"/>
  <c r="F201" i="1" s="1"/>
  <c r="D200" i="1"/>
  <c r="F200" i="1" s="1"/>
  <c r="D199" i="1"/>
  <c r="F199" i="1" s="1"/>
  <c r="D198" i="1"/>
  <c r="F198" i="1" s="1"/>
  <c r="D197" i="1"/>
  <c r="F197" i="1" s="1"/>
  <c r="G196" i="1"/>
  <c r="D196" i="1"/>
  <c r="F196" i="1" s="1"/>
  <c r="D178" i="1"/>
  <c r="F178" i="1" s="1"/>
  <c r="D185" i="1"/>
  <c r="F185" i="1" s="1"/>
  <c r="D184" i="1"/>
  <c r="F184" i="1" s="1"/>
  <c r="D183" i="1"/>
  <c r="F183" i="1" s="1"/>
  <c r="D182" i="1"/>
  <c r="F182" i="1" s="1"/>
  <c r="D181" i="1"/>
  <c r="F181" i="1" s="1"/>
  <c r="D180" i="1"/>
  <c r="F180" i="1" s="1"/>
  <c r="G178" i="1"/>
  <c r="G239" i="1"/>
  <c r="G234" i="1"/>
  <c r="D194" i="1"/>
  <c r="D193" i="1"/>
  <c r="D192" i="1"/>
  <c r="D191" i="1"/>
  <c r="D190" i="1"/>
  <c r="D189" i="1"/>
  <c r="D188" i="1"/>
  <c r="F188" i="1" s="1"/>
  <c r="D187" i="1"/>
  <c r="G229" i="1"/>
  <c r="D167" i="1"/>
  <c r="D166" i="1"/>
  <c r="D165" i="1"/>
  <c r="D164" i="1"/>
  <c r="D163" i="1"/>
  <c r="F227" i="1"/>
  <c r="G224" i="1"/>
  <c r="D158" i="1"/>
  <c r="F158" i="1" s="1"/>
  <c r="D157" i="1"/>
  <c r="F157" i="1" s="1"/>
  <c r="D156" i="1"/>
  <c r="F156" i="1" s="1"/>
  <c r="D155" i="1"/>
  <c r="F155" i="1" s="1"/>
  <c r="D154" i="1"/>
  <c r="F154" i="1" s="1"/>
  <c r="D153" i="1"/>
  <c r="F153" i="1" s="1"/>
  <c r="D152" i="1"/>
  <c r="F152" i="1" s="1"/>
  <c r="G151" i="1"/>
  <c r="D151" i="1"/>
  <c r="F151" i="1" s="1"/>
  <c r="G219" i="1"/>
  <c r="D149" i="1"/>
  <c r="D148" i="1"/>
  <c r="D147" i="1"/>
  <c r="D146" i="1"/>
  <c r="D140" i="1"/>
  <c r="F140" i="1" s="1"/>
  <c r="D137" i="1"/>
  <c r="F137" i="1" s="1"/>
  <c r="D131" i="1"/>
  <c r="D128" i="1"/>
  <c r="D145" i="1"/>
  <c r="D144" i="1"/>
  <c r="D143" i="1"/>
  <c r="D142" i="1"/>
  <c r="D136" i="1"/>
  <c r="F136" i="1" s="1"/>
  <c r="D135" i="1"/>
  <c r="F135" i="1" s="1"/>
  <c r="D134" i="1"/>
  <c r="F134" i="1" s="1"/>
  <c r="A134" i="1"/>
  <c r="A135" i="1" s="1"/>
  <c r="A136" i="1" s="1"/>
  <c r="A137" i="1" s="1"/>
  <c r="A138" i="1" s="1"/>
  <c r="A139" i="1" s="1"/>
  <c r="A140" i="1" s="1"/>
  <c r="G133" i="1"/>
  <c r="D133" i="1"/>
  <c r="F133" i="1" s="1"/>
  <c r="G214" i="1"/>
  <c r="G209" i="1"/>
  <c r="I126" i="1"/>
  <c r="I124" i="1"/>
  <c r="D127" i="1"/>
  <c r="D124" i="1"/>
  <c r="C83" i="1"/>
  <c r="D57" i="1"/>
  <c r="E114" i="1" l="1"/>
  <c r="C114" i="1"/>
  <c r="F209" i="1"/>
  <c r="G114" i="1" s="1"/>
  <c r="I113" i="1"/>
  <c r="D160" i="1" l="1"/>
  <c r="D126" i="1"/>
  <c r="D125" i="1"/>
  <c r="I125" i="1"/>
  <c r="I151" i="1"/>
  <c r="I158" i="1"/>
  <c r="C113" i="1" l="1"/>
  <c r="C115" i="1" s="1"/>
  <c r="E113" i="1"/>
  <c r="E115" i="1" s="1"/>
  <c r="F147" i="1"/>
  <c r="F166" i="1"/>
  <c r="F187" i="1"/>
  <c r="F164" i="1"/>
  <c r="F194" i="1"/>
  <c r="F193" i="1"/>
  <c r="F192" i="1"/>
  <c r="F191" i="1"/>
  <c r="F190" i="1"/>
  <c r="F189" i="1"/>
  <c r="K136" i="1" s="1"/>
  <c r="G187" i="1"/>
  <c r="F167" i="1"/>
  <c r="F165" i="1"/>
  <c r="F163" i="1"/>
  <c r="G160" i="1"/>
  <c r="F160" i="1"/>
  <c r="F149" i="1"/>
  <c r="F148" i="1"/>
  <c r="F131" i="1"/>
  <c r="D63" i="1" l="1"/>
  <c r="E30" i="1"/>
  <c r="B255" i="1"/>
  <c r="C69" i="1"/>
  <c r="B70" i="1" s="1"/>
  <c r="E25" i="1"/>
  <c r="E27" i="1" l="1"/>
  <c r="C15" i="1"/>
  <c r="E43" i="1" l="1"/>
  <c r="E44" i="1" s="1"/>
  <c r="F110" i="1" l="1"/>
  <c r="F146" i="1" l="1"/>
  <c r="F145" i="1"/>
  <c r="F144" i="1"/>
  <c r="F143" i="1"/>
  <c r="F142" i="1"/>
  <c r="J113" i="1" s="1"/>
  <c r="F128" i="1"/>
  <c r="F127" i="1"/>
  <c r="F125" i="1"/>
  <c r="F124" i="1"/>
  <c r="F126" i="1"/>
  <c r="G113" i="1" l="1"/>
  <c r="G115" i="1" s="1"/>
  <c r="L99" i="1"/>
  <c r="K99" i="1"/>
  <c r="L98" i="1"/>
  <c r="J112" i="1"/>
  <c r="K98" i="1"/>
  <c r="F11" i="5"/>
  <c r="G11" i="5" s="1"/>
  <c r="F10" i="5"/>
  <c r="G10" i="5" s="1"/>
  <c r="F9" i="5"/>
  <c r="G9" i="5" s="1"/>
  <c r="F8" i="5"/>
  <c r="G8" i="5" s="1"/>
  <c r="F7" i="5"/>
  <c r="G7" i="5" s="1"/>
  <c r="F6" i="5"/>
  <c r="G6" i="5" s="1"/>
  <c r="F5" i="5"/>
  <c r="G5" i="5" s="1"/>
  <c r="G12" i="5" s="1"/>
  <c r="D280" i="1"/>
  <c r="G142" i="1"/>
  <c r="G124" i="1"/>
  <c r="A125" i="1"/>
  <c r="A126" i="1" s="1"/>
  <c r="A127" i="1" s="1"/>
  <c r="A128" i="1" s="1"/>
  <c r="A129" i="1" s="1"/>
  <c r="A130" i="1" s="1"/>
  <c r="A131" i="1" s="1"/>
  <c r="C50" i="1"/>
  <c r="E7" i="1"/>
  <c r="E3" i="1"/>
  <c r="H70" i="1"/>
  <c r="D82" i="1" l="1"/>
  <c r="D80" i="1"/>
  <c r="D79" i="1"/>
  <c r="D78" i="1"/>
  <c r="D76" i="1"/>
  <c r="J69" i="1"/>
  <c r="D81" i="1"/>
  <c r="D77" i="1"/>
  <c r="J73" i="1"/>
  <c r="J74" i="1"/>
  <c r="C73" i="1" s="1"/>
  <c r="J72" i="1"/>
  <c r="J75" i="1"/>
  <c r="J76" i="1" s="1"/>
  <c r="J81" i="1" s="1"/>
  <c r="J77" i="1" l="1"/>
  <c r="J78" i="1" s="1"/>
  <c r="J79" i="1" s="1"/>
  <c r="J80" i="1" s="1"/>
  <c r="D75" i="1"/>
  <c r="J71" i="1"/>
  <c r="D73" i="1"/>
  <c r="J82" i="1" l="1"/>
  <c r="C74" i="1" s="1"/>
  <c r="G73" i="1" s="1"/>
  <c r="D67" i="1" l="1"/>
  <c r="D68" i="1" s="1"/>
  <c r="J70" i="1"/>
  <c r="D74" i="1"/>
  <c r="E73" i="1"/>
  <c r="I70" i="1" l="1"/>
  <c r="I71" i="1" s="1"/>
  <c r="I69" i="1" s="1"/>
  <c r="C71" i="1" s="1"/>
  <c r="F68" i="1"/>
  <c r="B84" i="1" l="1"/>
  <c r="H84" i="1"/>
  <c r="D96" i="1" l="1"/>
  <c r="D94" i="1"/>
  <c r="D92" i="1"/>
  <c r="D90" i="1"/>
  <c r="D93" i="1"/>
  <c r="D89" i="1"/>
  <c r="D95" i="1"/>
  <c r="D91" i="1"/>
  <c r="J87" i="1"/>
  <c r="J88" i="1"/>
  <c r="C87" i="1" s="1"/>
  <c r="J86" i="1"/>
  <c r="J83" i="1"/>
  <c r="J85" i="1" s="1"/>
  <c r="J94" i="1"/>
  <c r="J92" i="1"/>
  <c r="J93" i="1"/>
  <c r="J91" i="1"/>
  <c r="J89" i="1"/>
  <c r="J90" i="1" s="1"/>
  <c r="J95" i="1" s="1"/>
  <c r="J96" i="1" l="1"/>
  <c r="C88" i="1" s="1"/>
  <c r="E87" i="1" s="1"/>
  <c r="D87" i="1"/>
  <c r="G87" i="1" l="1"/>
  <c r="D88" i="1"/>
  <c r="I84" i="1" s="1"/>
  <c r="I85" i="1" s="1"/>
  <c r="J84" i="1"/>
  <c r="I83" i="1" l="1"/>
  <c r="C85" i="1" s="1"/>
</calcChain>
</file>

<file path=xl/sharedStrings.xml><?xml version="1.0" encoding="utf-8"?>
<sst xmlns="http://schemas.openxmlformats.org/spreadsheetml/2006/main" count="435" uniqueCount="257">
  <si>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</si>
  <si>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</si>
  <si>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</si>
  <si>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</si>
  <si>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</si>
  <si>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</si>
  <si>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</si>
  <si>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</si>
  <si>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</si>
  <si>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</si>
  <si>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</si>
  <si>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</si>
  <si>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</si>
  <si>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</si>
  <si>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</si>
  <si>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</si>
  <si>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</si>
  <si>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</si>
  <si>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</si>
  <si>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</si>
  <si>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</si>
  <si>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</si>
  <si>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</si>
  <si>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</si>
  <si>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</si>
  <si>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</si>
  <si>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</si>
  <si>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</si>
  <si>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</si>
  <si>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</si>
  <si>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</si>
  <si>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</si>
  <si>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</si>
  <si>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</si>
  <si>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</si>
  <si>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</si>
  <si>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</si>
  <si>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</si>
  <si>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</si>
  <si>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</si>
  <si>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</si>
  <si>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</si>
  <si>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</si>
  <si>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</si>
  <si>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</si>
  <si>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</si>
  <si>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</si>
  <si>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</si>
  <si>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</si>
  <si>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</si>
  <si>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</si>
  <si>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</si>
  <si>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</si>
  <si>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</si>
  <si>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</si>
  <si>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</si>
  <si>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</si>
  <si>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</si>
  <si>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</si>
  <si>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</si>
  <si>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</si>
  <si>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</si>
  <si>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</si>
  <si>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</si>
  <si>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</si>
  <si>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</si>
  <si>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</si>
  <si>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</si>
  <si>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</si>
  <si>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</si>
  <si>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</si>
  <si>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</si>
  <si>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</si>
  <si>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</si>
  <si>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</si>
  <si>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</si>
  <si>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</si>
  <si>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</si>
  <si>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</si>
  <si>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</si>
  <si>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</si>
  <si>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</si>
  <si>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</si>
  <si>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</si>
  <si>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</si>
  <si>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</si>
  <si>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</si>
  <si>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</si>
  <si>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</si>
  <si>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</si>
  <si>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</si>
  <si>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</si>
  <si>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</si>
  <si>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</si>
  <si>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</si>
  <si>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</si>
  <si>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</si>
  <si>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</si>
  <si>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</si>
  <si>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</si>
  <si>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</si>
  <si>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</si>
  <si>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</si>
  <si>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</si>
  <si>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</si>
  <si>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</si>
  <si>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</si>
  <si>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</si>
  <si>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</si>
  <si>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</si>
  <si>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</si>
  <si>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</si>
  <si>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</si>
  <si>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</si>
  <si>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</si>
  <si>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</si>
  <si>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</si>
  <si>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</si>
  <si>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Flat No.
(Sale Plan)</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</si>
  <si>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</si>
  <si>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</si>
  <si>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</si>
  <si>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</si>
  <si>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</si>
  <si>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</si>
  <si>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</si>
  <si>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</si>
  <si>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</si>
  <si>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</si>
  <si>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</si>
  <si>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</si>
  <si>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</si>
  <si>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</si>
  <si>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</si>
  <si>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</si>
  <si>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</si>
  <si>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</si>
  <si>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</si>
  <si>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</si>
  <si>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</si>
  <si>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</si>
  <si>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</si>
  <si>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</si>
  <si>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</si>
  <si>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</si>
  <si>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</si>
  <si>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</si>
  <si>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</si>
  <si>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</si>
  <si>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</si>
  <si>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</si>
  <si>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</si>
  <si>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</si>
  <si>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</si>
  <si>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</si>
  <si>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</si>
  <si>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</si>
  <si>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</si>
  <si>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</si>
  <si>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</si>
  <si>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</si>
  <si>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Layout :</t>
  </si>
  <si>
    <t>Latitude, Longitude</t>
  </si>
  <si>
    <t>Provided Contact Details (Name &amp; Contact No.)</t>
  </si>
  <si>
    <t>Site Person - Contact Details (Name &amp; Contact No.)</t>
  </si>
  <si>
    <t>Axis Goregaon</t>
  </si>
  <si>
    <t>Sethia Infrastructure Pvt. Ltd</t>
  </si>
  <si>
    <t>9930682007/7666018736/022-28444444</t>
  </si>
  <si>
    <t>P51800046531</t>
  </si>
  <si>
    <t>CTS No</t>
  </si>
  <si>
    <t>Mumbai</t>
  </si>
  <si>
    <t>Akurli</t>
  </si>
  <si>
    <t>Borivali</t>
  </si>
  <si>
    <t>3.4KM from Kandivli Railway Station</t>
  </si>
  <si>
    <t>Western Express Highway</t>
  </si>
  <si>
    <t>Slum Rehabilitation Authority (SRA)</t>
  </si>
  <si>
    <t>R-S/PVT/0083/20201215/AP/S-2</t>
  </si>
  <si>
    <t>Sarovam Bar &amp; Restaurant</t>
  </si>
  <si>
    <t>Hi Pure Technologies</t>
  </si>
  <si>
    <t>https://goo.gl/maps/TyZyTtxWWm2FoEMT8</t>
  </si>
  <si>
    <t>Ground Floor For Entrance Lobby, Meter Room &amp; Parking</t>
  </si>
  <si>
    <t>2BHK</t>
  </si>
  <si>
    <t>1BHK</t>
  </si>
  <si>
    <t>Swimming Pool, Gymnasium, Jogging and Strolling Track, Indoor Games Room etc.</t>
  </si>
  <si>
    <t>Refuge Area</t>
  </si>
  <si>
    <t>We considered Gross carpet area = Net carpet.</t>
  </si>
  <si>
    <t>Approved Plans, CC</t>
  </si>
  <si>
    <t>161, 161/1 &amp; 161/2</t>
  </si>
  <si>
    <t>Narsi Pada</t>
  </si>
  <si>
    <t>Residential Area Details : Building No.2</t>
  </si>
  <si>
    <t>Sheet</t>
  </si>
  <si>
    <t>https://www.99acres.com/sethia-pride-kandivali-east-mumbai-andheri-dahisar-npxid-r396807?nn_medium=search&amp;nn_account=google_new_projects&amp;nn_campaign=8289055906_90961704131&amp;nn_keyword=&amp;nn_adnetwork=_&amp;nn_adtype=Search&amp;nn_placement=&amp;gclid=CjwKCAjwrpOiBhBVEiwA_473dOP5fAfIGFX62EPcaomVxlIkVHZ5KKaxpd_ySgSP-6e_kBBXreEYgBoCFgkQAvD_BwE</t>
  </si>
  <si>
    <t xml:space="preserve">https://housing.com/in/buy/projects/page/282931-sethia-pride-wing-a-by-sethia-infrastructure-in-kandivali-east </t>
  </si>
  <si>
    <t>Housing</t>
  </si>
  <si>
    <t xml:space="preserve">https://www.magicbricks.com/sethia-pride-kandivali-east-mumbai-pdpid-4d4235333334373035 </t>
  </si>
  <si>
    <t>Office No. 1031, Wing J, Akshar Business Park, Plot No. 03 Sector 25, Near APMC Market,
Vashi, Navi Mumbai, Maharashtra 400703 TEL: 022-46090378/79/80                                                                       
E mail : vsjcapf@gmail.com. Web site : www.vsjadon.com</t>
  </si>
  <si>
    <t>Sethia Pride Wing A &amp; B</t>
  </si>
  <si>
    <t>Sale Building No.2 (Wing A &amp; B)</t>
  </si>
  <si>
    <t>RERA Name &amp; No.</t>
  </si>
  <si>
    <t xml:space="preserve">Sethia Pride Wing A </t>
  </si>
  <si>
    <t>Sethia Pride Wing B</t>
  </si>
  <si>
    <t>P51800055888</t>
  </si>
  <si>
    <t>As per Layout</t>
  </si>
  <si>
    <t>19.203833,72.865083</t>
  </si>
  <si>
    <t>Other Plot</t>
  </si>
  <si>
    <t>Rehab Building No.1</t>
  </si>
  <si>
    <t>Building</t>
  </si>
  <si>
    <t>Sale Building No.3</t>
  </si>
  <si>
    <t>Total</t>
  </si>
  <si>
    <t>Building Details Floor Wise</t>
  </si>
  <si>
    <t>Sale Building No.2 (Wing A)</t>
  </si>
  <si>
    <t>Sale Building No.2 (Wing B)</t>
  </si>
  <si>
    <t>Basement Floor For Pump Room, Fire Tank, Flushing Tank, S.T.P, Domestic Tank &amp; Parking</t>
  </si>
  <si>
    <t>Basement Floor For Serv. Room, Flushing Tank, Domestic Tank &amp; Parking</t>
  </si>
  <si>
    <t>Ground Floor For Entrance Lobby, Meter Panel Room, OWC Room &amp; Parking</t>
  </si>
  <si>
    <t>Parking Area</t>
  </si>
  <si>
    <t>1st Floor For Residential &amp; Part Parking Area</t>
  </si>
  <si>
    <t>2nd to 4th Floor</t>
  </si>
  <si>
    <t>5th Floor For Residential</t>
  </si>
  <si>
    <t>6th, 7th, 9th to 14th, 16th to 21st, 23rd to 28th &amp; 30th to 34th Floor</t>
  </si>
  <si>
    <t>8th, 15th, 22nd &amp; 29th (Part Refuge Area)</t>
  </si>
  <si>
    <t>35th Floor</t>
  </si>
  <si>
    <t>36th Floor (Part Refuge Area)</t>
  </si>
  <si>
    <t>3.5BHK Duplex With 36th Floor</t>
  </si>
  <si>
    <t>3BHK Duplex With 36th Floor</t>
  </si>
  <si>
    <t>3.5BHK Duplex With 35th Floor</t>
  </si>
  <si>
    <t>3BHK Duplex With 35th Floor</t>
  </si>
  <si>
    <t>37th &amp; 39th Floor</t>
  </si>
  <si>
    <t>38th Floor</t>
  </si>
  <si>
    <t>40th Floor For Fitness Center Area</t>
  </si>
  <si>
    <t>-</t>
  </si>
  <si>
    <t>Flats - 431</t>
  </si>
  <si>
    <t>We have refered &amp; updated revised approved C.C. from RERA site (on 23/04/2024).</t>
  </si>
  <si>
    <t>We have updated latest approved CC from RERA site on 10/05/2024</t>
  </si>
  <si>
    <t>We have added Wing B &amp; Updated latest approved plans for Wing A on 10/05/2024</t>
  </si>
  <si>
    <t>Nuvoco Kandivali RMC Plant</t>
  </si>
  <si>
    <t>Sale Building No.2 (Wing A) = 1B + Gr + 1st to 40th Floor</t>
  </si>
  <si>
    <t>Sale Building No.2 (Wing B) = 1B + Gr + 1st to 40th Floor</t>
  </si>
  <si>
    <t>Sale Building No.2 (Wing A &amp; B) = 1B + Gr + 1st to 40th Floor</t>
  </si>
  <si>
    <t>High Tension lines are passing beside project Sethia Pride Wing B</t>
  </si>
  <si>
    <t>Please check MSEDCL Noc for HT Line</t>
  </si>
  <si>
    <t>02 Wings</t>
  </si>
  <si>
    <t>Kandivli East</t>
  </si>
  <si>
    <t>Approved Builtup Area of Sale Building No.2 (Wing A &amp; B) (Sq.Mt)</t>
  </si>
  <si>
    <t>Sale Building No.2 
(Wing A)</t>
  </si>
  <si>
    <t>Sale Building No.2 
(Wing B)</t>
  </si>
  <si>
    <t>37th + 38th Floor (Duplex Flat)</t>
  </si>
  <si>
    <t>3BHK</t>
  </si>
  <si>
    <t>39th + 40th Floor (Duplex Flat)</t>
  </si>
  <si>
    <t>This C.C is re-endorsed &amp; further C.C is granted for full work upto 21st (pt) upper
floor and RCC frame work from 21st (pt) upper floor to 22nd upper floor as per
amended approved plans dated 10/11/2023.</t>
  </si>
  <si>
    <t>Sale Building No.2
This C.C is re-endorsed &amp; further extended upto plinth level of wing ' B ' as per approved amended plans dated 02/04/2024.</t>
  </si>
  <si>
    <t>Dev Yadav (CRM) 8657934806</t>
  </si>
  <si>
    <t>Please check for Fire NOC &amp; EC</t>
  </si>
  <si>
    <t>As per RERA - Sethia Pride Wing A = 31/12/2026
                       Sethia Pride Wing B = 31/12/2028</t>
  </si>
  <si>
    <t>Pranita Mhatre</t>
  </si>
  <si>
    <t>Roshan Kudalkar</t>
  </si>
  <si>
    <t>Wing A = Construction work is in process at the time of visit (Slow Speed). 
Wing B = Construction work is same as last visit dtd 13/01/2025.
(Internal photo was not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</si>
</sst>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0.00_);_(* \(#,##0.00\);_(* &quot;-&quot;??_);_(@_)"/>
    <numFmt numFmtId="166" formatCode="0.0"/>
    <numFmt numFmtId="167" formatCode="_(* #,##0_);_(* \(#,##0\);_(* &quot;-&quot;??_);_(@_)"/>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164" fontId="21" fillId="0" borderId="0" applyFont="0" applyFill="0" applyBorder="0" applyAlignment="0" applyProtection="0"/>
    <xf numFmtId="0" fontId="26" fillId="0" borderId="0" applyNumberFormat="0" applyFill="0" applyBorder="0" applyAlignment="0" applyProtection="0"/>
  </cellStyleXfs>
  <cellXfs count="19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6"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1" fontId="7" fillId="0" borderId="1" xfId="1" applyNumberFormat="1" applyFont="1" applyBorder="1" applyAlignment="1">
      <alignment horizontal="center" vertical="center"/>
    </xf>
    <xf numFmtId="0" fontId="26" fillId="0" borderId="0" xfId="10" applyAlignment="1">
      <alignment horizontal="center" vertical="center"/>
    </xf>
    <xf numFmtId="1" fontId="7" fillId="0" borderId="0" xfId="0" applyNumberFormat="1" applyFont="1" applyAlignment="1">
      <alignment horizontal="center" vertical="center"/>
    </xf>
    <xf numFmtId="1" fontId="10" fillId="0" borderId="0" xfId="0" applyNumberFormat="1" applyFont="1" applyAlignment="1">
      <alignment horizontal="center" vertical="center"/>
    </xf>
    <xf numFmtId="0" fontId="10" fillId="0" borderId="0" xfId="0"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0" fontId="7" fillId="0" borderId="0" xfId="1" applyFont="1" applyAlignment="1">
      <alignment horizontal="center" vertical="center"/>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12" fillId="0" borderId="1" xfId="9" applyNumberFormat="1" applyFont="1" applyFill="1" applyBorder="1" applyAlignment="1" applyProtection="1">
      <alignment horizontal="right" vertical="top"/>
      <protection locked="0"/>
    </xf>
    <xf numFmtId="0" fontId="8" fillId="0" borderId="1" xfId="1" applyFont="1" applyBorder="1" applyAlignment="1" applyProtection="1">
      <alignment horizontal="center"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166"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6" fillId="0" borderId="17"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6" fillId="0" borderId="19"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8" xfId="0" applyNumberFormat="1" applyFont="1" applyBorder="1" applyAlignment="1" applyProtection="1">
      <alignment horizontal="center" vertical="center" wrapText="1"/>
      <protection locked="0"/>
    </xf>
    <xf numFmtId="1" fontId="6" fillId="0" borderId="9" xfId="0"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13" fillId="0" borderId="1" xfId="9" applyNumberFormat="1" applyFont="1" applyFill="1" applyBorder="1" applyAlignment="1" applyProtection="1">
      <alignment horizontal="right" vertical="top"/>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6" fillId="0" borderId="24"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6" fillId="0" borderId="21"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1" fontId="8" fillId="0" borderId="8" xfId="0" applyNumberFormat="1" applyFont="1" applyBorder="1" applyAlignment="1" applyProtection="1">
      <alignment horizontal="center" vertical="center" wrapText="1"/>
      <protection locked="0"/>
    </xf>
    <xf numFmtId="1" fontId="8" fillId="0" borderId="9"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microsoft.com/office/2007/relationships/hdphoto" Target="../media/hdphoto2.wdp"/><Relationship Id="rId18" Type="http://schemas.openxmlformats.org/officeDocument/2006/relationships/image" Target="../media/image16.jpeg"/><Relationship Id="rId3" Type="http://schemas.openxmlformats.org/officeDocument/2006/relationships/image" Target="../media/image3.png"/><Relationship Id="rId21" Type="http://schemas.openxmlformats.org/officeDocument/2006/relationships/image" Target="../media/image19.pn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image" Target="../media/image15.jpeg"/><Relationship Id="rId25" Type="http://schemas.openxmlformats.org/officeDocument/2006/relationships/image" Target="../media/image23.png"/><Relationship Id="rId2" Type="http://schemas.openxmlformats.org/officeDocument/2006/relationships/image" Target="../media/image2.png"/><Relationship Id="rId16" Type="http://schemas.openxmlformats.org/officeDocument/2006/relationships/image" Target="../media/image14.jpg"/><Relationship Id="rId20" Type="http://schemas.openxmlformats.org/officeDocument/2006/relationships/image" Target="../media/image18.jpe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10.png"/><Relationship Id="rId24" Type="http://schemas.openxmlformats.org/officeDocument/2006/relationships/image" Target="../media/image22.png"/><Relationship Id="rId5" Type="http://schemas.openxmlformats.org/officeDocument/2006/relationships/image" Target="../media/image4.png"/><Relationship Id="rId15" Type="http://schemas.openxmlformats.org/officeDocument/2006/relationships/image" Target="../media/image13.jpeg"/><Relationship Id="rId23" Type="http://schemas.openxmlformats.org/officeDocument/2006/relationships/image" Target="../media/image21.png"/><Relationship Id="rId10" Type="http://schemas.openxmlformats.org/officeDocument/2006/relationships/image" Target="../media/image9.png"/><Relationship Id="rId19" Type="http://schemas.openxmlformats.org/officeDocument/2006/relationships/image" Target="../media/image17.jpeg"/><Relationship Id="rId4" Type="http://schemas.microsoft.com/office/2007/relationships/hdphoto" Target="../media/hdphoto1.wdp"/><Relationship Id="rId9" Type="http://schemas.openxmlformats.org/officeDocument/2006/relationships/image" Target="../media/image8.png"/><Relationship Id="rId14" Type="http://schemas.openxmlformats.org/officeDocument/2006/relationships/image" Target="../media/image12.png"/><Relationship Id="rId22" Type="http://schemas.openxmlformats.org/officeDocument/2006/relationships/image" Target="../media/image20.png"/></Relationships>
</file>

<file path=xl/drawings/_rels/drawing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 Id="rId4" Type="http://schemas.openxmlformats.org/officeDocument/2006/relationships/image" Target="../media/image2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119027</xdr:colOff>
      <xdr:row>364</xdr:row>
      <xdr:rowOff>93594</xdr:rowOff>
    </xdr:from>
    <xdr:to>
      <xdr:col>6</xdr:col>
      <xdr:colOff>437411</xdr:colOff>
      <xdr:row>378</xdr:row>
      <xdr:rowOff>173242</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81027" y="80551829"/>
          <a:ext cx="4475766" cy="2903532"/>
        </a:xfrm>
        <a:prstGeom prst="rect">
          <a:avLst/>
        </a:prstGeom>
        <a:ln w="12700">
          <a:solidFill>
            <a:schemeClr val="tx1"/>
          </a:solidFill>
        </a:ln>
      </xdr:spPr>
    </xdr:pic>
    <xdr:clientData/>
  </xdr:twoCellAnchor>
  <xdr:twoCellAnchor editAs="oneCell">
    <xdr:from>
      <xdr:col>8</xdr:col>
      <xdr:colOff>133350</xdr:colOff>
      <xdr:row>11</xdr:row>
      <xdr:rowOff>85725</xdr:rowOff>
    </xdr:from>
    <xdr:to>
      <xdr:col>19</xdr:col>
      <xdr:colOff>58301</xdr:colOff>
      <xdr:row>17</xdr:row>
      <xdr:rowOff>124058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6657975" y="2686050"/>
          <a:ext cx="8249801" cy="1667108"/>
        </a:xfrm>
        <a:prstGeom prst="rect">
          <a:avLst/>
        </a:prstGeom>
      </xdr:spPr>
    </xdr:pic>
    <xdr:clientData/>
  </xdr:twoCellAnchor>
  <xdr:twoCellAnchor editAs="oneCell">
    <xdr:from>
      <xdr:col>1</xdr:col>
      <xdr:colOff>555003</xdr:colOff>
      <xdr:row>322</xdr:row>
      <xdr:rowOff>139745</xdr:rowOff>
    </xdr:from>
    <xdr:to>
      <xdr:col>5</xdr:col>
      <xdr:colOff>691076</xdr:colOff>
      <xdr:row>338</xdr:row>
      <xdr:rowOff>195774</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screen">
          <a:extLst>
            <a:ext uri="{BEBA8EAE-BF5A-486C-A8C5-ECC9F3942E4B}">
              <a14:imgProps xmlns:a14="http://schemas.microsoft.com/office/drawing/2010/main">
                <a14:imgLayer r:embed="rId4">
                  <a14:imgEffect>
                    <a14:colorTemperature colorTemp="4700"/>
                  </a14:imgEffect>
                  <a14:imgEffect>
                    <a14:brightnessContrast bright="20000" contrast="40000"/>
                  </a14:imgEffect>
                </a14:imgLayer>
              </a14:imgProps>
            </a:ext>
            <a:ext uri="{28A0092B-C50C-407E-A947-70E740481C1C}">
              <a14:useLocalDpi xmlns:a14="http://schemas.microsoft.com/office/drawing/2010/main"/>
            </a:ext>
          </a:extLst>
        </a:blip>
        <a:stretch>
          <a:fillRect/>
        </a:stretch>
      </xdr:blipFill>
      <xdr:spPr>
        <a:xfrm>
          <a:off x="1317003" y="71722921"/>
          <a:ext cx="3509044" cy="3283325"/>
        </a:xfrm>
        <a:prstGeom prst="rect">
          <a:avLst/>
        </a:prstGeom>
        <a:ln>
          <a:solidFill>
            <a:sysClr val="windowText" lastClr="000000"/>
          </a:solidFill>
        </a:ln>
      </xdr:spPr>
    </xdr:pic>
    <xdr:clientData/>
  </xdr:twoCellAnchor>
  <xdr:twoCellAnchor>
    <xdr:from>
      <xdr:col>0</xdr:col>
      <xdr:colOff>575885</xdr:colOff>
      <xdr:row>379</xdr:row>
      <xdr:rowOff>63329</xdr:rowOff>
    </xdr:from>
    <xdr:to>
      <xdr:col>7</xdr:col>
      <xdr:colOff>51289</xdr:colOff>
      <xdr:row>398</xdr:row>
      <xdr:rowOff>23270</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575885" y="79547812"/>
          <a:ext cx="5313901" cy="3754175"/>
          <a:chOff x="575885" y="54364112"/>
          <a:chExt cx="5165556" cy="3736810"/>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5"/>
          <a:stretch>
            <a:fillRect/>
          </a:stretch>
        </xdr:blipFill>
        <xdr:spPr>
          <a:xfrm>
            <a:off x="575885" y="54364112"/>
            <a:ext cx="5165556" cy="3736810"/>
          </a:xfrm>
          <a:prstGeom prst="rect">
            <a:avLst/>
          </a:prstGeom>
          <a:ln>
            <a:solidFill>
              <a:schemeClr val="tx1"/>
            </a:solidFill>
          </a:ln>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rot="557374">
            <a:off x="2355491" y="56599529"/>
            <a:ext cx="688819" cy="905980"/>
          </a:xfrm>
          <a:prstGeom prst="rect">
            <a:avLst/>
          </a:prstGeom>
          <a:no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2" name="TextBox 21">
            <a:extLst>
              <a:ext uri="{FF2B5EF4-FFF2-40B4-BE49-F238E27FC236}">
                <a16:creationId xmlns:a16="http://schemas.microsoft.com/office/drawing/2014/main" id="{00000000-0008-0000-0000-000016000000}"/>
              </a:ext>
            </a:extLst>
          </xdr:cNvPr>
          <xdr:cNvSpPr txBox="1"/>
        </xdr:nvSpPr>
        <xdr:spPr>
          <a:xfrm rot="16827263">
            <a:off x="1540968" y="56967933"/>
            <a:ext cx="1319247" cy="240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chemeClr val="bg1"/>
                </a:solidFill>
              </a:rPr>
              <a:t>Rehab Bldg </a:t>
            </a:r>
            <a:r>
              <a:rPr lang="en-IN" sz="1200" b="1" baseline="0">
                <a:solidFill>
                  <a:schemeClr val="bg1"/>
                </a:solidFill>
              </a:rPr>
              <a:t> No.1</a:t>
            </a:r>
            <a:endParaRPr lang="en-IN" sz="1200" b="1">
              <a:solidFill>
                <a:schemeClr val="bg1"/>
              </a:solidFill>
            </a:endParaRPr>
          </a:p>
        </xdr:txBody>
      </xdr:sp>
      <xdr:sp macro="" textlink="">
        <xdr:nvSpPr>
          <xdr:cNvPr id="25" name="TextBox 24">
            <a:extLst>
              <a:ext uri="{FF2B5EF4-FFF2-40B4-BE49-F238E27FC236}">
                <a16:creationId xmlns:a16="http://schemas.microsoft.com/office/drawing/2014/main" id="{00000000-0008-0000-0000-000019000000}"/>
              </a:ext>
            </a:extLst>
          </xdr:cNvPr>
          <xdr:cNvSpPr txBox="1"/>
        </xdr:nvSpPr>
        <xdr:spPr>
          <a:xfrm rot="16697936">
            <a:off x="2674215" y="55851348"/>
            <a:ext cx="1222756" cy="578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solidFill>
                  <a:srgbClr val="FFFF00"/>
                </a:solidFill>
              </a:rPr>
              <a:t>Sethia Pride Wing A </a:t>
            </a:r>
          </a:p>
        </xdr:txBody>
      </xdr:sp>
      <xdr:sp macro="" textlink="">
        <xdr:nvSpPr>
          <xdr:cNvPr id="40" name="Rectangle 39">
            <a:extLst>
              <a:ext uri="{FF2B5EF4-FFF2-40B4-BE49-F238E27FC236}">
                <a16:creationId xmlns:a16="http://schemas.microsoft.com/office/drawing/2014/main" id="{00000000-0008-0000-0000-000028000000}"/>
              </a:ext>
            </a:extLst>
          </xdr:cNvPr>
          <xdr:cNvSpPr/>
        </xdr:nvSpPr>
        <xdr:spPr>
          <a:xfrm rot="557374">
            <a:off x="2512407" y="55595523"/>
            <a:ext cx="568844" cy="90598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10</xdr:col>
      <xdr:colOff>21209</xdr:colOff>
      <xdr:row>161</xdr:row>
      <xdr:rowOff>84404</xdr:rowOff>
    </xdr:from>
    <xdr:to>
      <xdr:col>23</xdr:col>
      <xdr:colOff>500903</xdr:colOff>
      <xdr:row>178</xdr:row>
      <xdr:rowOff>105330</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a:stretch>
          <a:fillRect/>
        </a:stretch>
      </xdr:blipFill>
      <xdr:spPr>
        <a:xfrm>
          <a:off x="8481650" y="33152963"/>
          <a:ext cx="9298724" cy="3438720"/>
        </a:xfrm>
        <a:prstGeom prst="rect">
          <a:avLst/>
        </a:prstGeom>
      </xdr:spPr>
    </xdr:pic>
    <xdr:clientData/>
  </xdr:twoCellAnchor>
  <xdr:twoCellAnchor editAs="oneCell">
    <xdr:from>
      <xdr:col>8</xdr:col>
      <xdr:colOff>280454</xdr:colOff>
      <xdr:row>228</xdr:row>
      <xdr:rowOff>60183</xdr:rowOff>
    </xdr:from>
    <xdr:to>
      <xdr:col>22</xdr:col>
      <xdr:colOff>135979</xdr:colOff>
      <xdr:row>236</xdr:row>
      <xdr:rowOff>473102</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a:stretch>
          <a:fillRect/>
        </a:stretch>
      </xdr:blipFill>
      <xdr:spPr>
        <a:xfrm>
          <a:off x="6813483" y="46631830"/>
          <a:ext cx="9996849" cy="2833390"/>
        </a:xfrm>
        <a:prstGeom prst="rect">
          <a:avLst/>
        </a:prstGeom>
      </xdr:spPr>
    </xdr:pic>
    <xdr:clientData/>
  </xdr:twoCellAnchor>
  <xdr:twoCellAnchor editAs="oneCell">
    <xdr:from>
      <xdr:col>8</xdr:col>
      <xdr:colOff>644898</xdr:colOff>
      <xdr:row>39</xdr:row>
      <xdr:rowOff>45945</xdr:rowOff>
    </xdr:from>
    <xdr:to>
      <xdr:col>13</xdr:col>
      <xdr:colOff>423580</xdr:colOff>
      <xdr:row>51</xdr:row>
      <xdr:rowOff>41829</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a:stretch>
          <a:fillRect/>
        </a:stretch>
      </xdr:blipFill>
      <xdr:spPr>
        <a:xfrm>
          <a:off x="7169523" y="8675595"/>
          <a:ext cx="3998257" cy="2624784"/>
        </a:xfrm>
        <a:prstGeom prst="rect">
          <a:avLst/>
        </a:prstGeom>
      </xdr:spPr>
    </xdr:pic>
    <xdr:clientData/>
  </xdr:twoCellAnchor>
  <xdr:twoCellAnchor editAs="oneCell">
    <xdr:from>
      <xdr:col>8</xdr:col>
      <xdr:colOff>604626</xdr:colOff>
      <xdr:row>53</xdr:row>
      <xdr:rowOff>97616</xdr:rowOff>
    </xdr:from>
    <xdr:to>
      <xdr:col>16</xdr:col>
      <xdr:colOff>118642</xdr:colOff>
      <xdr:row>61</xdr:row>
      <xdr:rowOff>21993</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9"/>
        <a:stretch>
          <a:fillRect/>
        </a:stretch>
      </xdr:blipFill>
      <xdr:spPr>
        <a:xfrm>
          <a:off x="7129251" y="12432491"/>
          <a:ext cx="6010066" cy="2200853"/>
        </a:xfrm>
        <a:prstGeom prst="rect">
          <a:avLst/>
        </a:prstGeom>
      </xdr:spPr>
    </xdr:pic>
    <xdr:clientData/>
  </xdr:twoCellAnchor>
  <xdr:twoCellAnchor editAs="oneCell">
    <xdr:from>
      <xdr:col>10</xdr:col>
      <xdr:colOff>307998</xdr:colOff>
      <xdr:row>41</xdr:row>
      <xdr:rowOff>108377</xdr:rowOff>
    </xdr:from>
    <xdr:to>
      <xdr:col>18</xdr:col>
      <xdr:colOff>90419</xdr:colOff>
      <xdr:row>52</xdr:row>
      <xdr:rowOff>90358</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0"/>
        <a:stretch>
          <a:fillRect/>
        </a:stretch>
      </xdr:blipFill>
      <xdr:spPr>
        <a:xfrm>
          <a:off x="8768439" y="9196348"/>
          <a:ext cx="5575862" cy="2970054"/>
        </a:xfrm>
        <a:prstGeom prst="rect">
          <a:avLst/>
        </a:prstGeom>
      </xdr:spPr>
    </xdr:pic>
    <xdr:clientData/>
  </xdr:twoCellAnchor>
  <xdr:twoCellAnchor editAs="oneCell">
    <xdr:from>
      <xdr:col>8</xdr:col>
      <xdr:colOff>622781</xdr:colOff>
      <xdr:row>97</xdr:row>
      <xdr:rowOff>17668</xdr:rowOff>
    </xdr:from>
    <xdr:to>
      <xdr:col>14</xdr:col>
      <xdr:colOff>634099</xdr:colOff>
      <xdr:row>117</xdr:row>
      <xdr:rowOff>480772</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1"/>
        <a:stretch>
          <a:fillRect/>
        </a:stretch>
      </xdr:blipFill>
      <xdr:spPr>
        <a:xfrm>
          <a:off x="7468081" y="22426818"/>
          <a:ext cx="5307218" cy="2914204"/>
        </a:xfrm>
        <a:prstGeom prst="rect">
          <a:avLst/>
        </a:prstGeom>
      </xdr:spPr>
    </xdr:pic>
    <xdr:clientData/>
  </xdr:twoCellAnchor>
  <xdr:twoCellAnchor>
    <xdr:from>
      <xdr:col>0</xdr:col>
      <xdr:colOff>329574</xdr:colOff>
      <xdr:row>339</xdr:row>
      <xdr:rowOff>136827</xdr:rowOff>
    </xdr:from>
    <xdr:to>
      <xdr:col>7</xdr:col>
      <xdr:colOff>480330</xdr:colOff>
      <xdr:row>361</xdr:row>
      <xdr:rowOff>77318</xdr:rowOff>
    </xdr:to>
    <xdr:grpSp>
      <xdr:nvGrpSpPr>
        <xdr:cNvPr id="65" name="Group 64">
          <a:extLst>
            <a:ext uri="{FF2B5EF4-FFF2-40B4-BE49-F238E27FC236}">
              <a16:creationId xmlns:a16="http://schemas.microsoft.com/office/drawing/2014/main" id="{00000000-0008-0000-0000-000041000000}"/>
            </a:ext>
          </a:extLst>
        </xdr:cNvPr>
        <xdr:cNvGrpSpPr/>
      </xdr:nvGrpSpPr>
      <xdr:grpSpPr>
        <a:xfrm>
          <a:off x="329574" y="71633448"/>
          <a:ext cx="5989253" cy="4333815"/>
          <a:chOff x="352706" y="75237370"/>
          <a:chExt cx="5846706" cy="4341041"/>
        </a:xfrm>
      </xdr:grpSpPr>
      <xdr:grpSp>
        <xdr:nvGrpSpPr>
          <xdr:cNvPr id="48" name="Group 47">
            <a:extLst>
              <a:ext uri="{FF2B5EF4-FFF2-40B4-BE49-F238E27FC236}">
                <a16:creationId xmlns:a16="http://schemas.microsoft.com/office/drawing/2014/main" id="{00000000-0008-0000-0000-000030000000}"/>
              </a:ext>
            </a:extLst>
          </xdr:cNvPr>
          <xdr:cNvGrpSpPr/>
        </xdr:nvGrpSpPr>
        <xdr:grpSpPr>
          <a:xfrm>
            <a:off x="352706" y="75237370"/>
            <a:ext cx="5846706" cy="4341041"/>
            <a:chOff x="352706" y="75046870"/>
            <a:chExt cx="5846706" cy="4341041"/>
          </a:xfrm>
        </xdr:grpSpPr>
        <xdr:grpSp>
          <xdr:nvGrpSpPr>
            <xdr:cNvPr id="16" name="Group 15">
              <a:extLst>
                <a:ext uri="{FF2B5EF4-FFF2-40B4-BE49-F238E27FC236}">
                  <a16:creationId xmlns:a16="http://schemas.microsoft.com/office/drawing/2014/main" id="{00000000-0008-0000-0000-000010000000}"/>
                </a:ext>
              </a:extLst>
            </xdr:cNvPr>
            <xdr:cNvGrpSpPr/>
          </xdr:nvGrpSpPr>
          <xdr:grpSpPr>
            <a:xfrm>
              <a:off x="352706" y="75046870"/>
              <a:ext cx="5846706" cy="4341041"/>
              <a:chOff x="391683" y="45970532"/>
              <a:chExt cx="5840908" cy="4316282"/>
            </a:xfrm>
          </xdr:grpSpPr>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colorTemperature colorTemp="4700"/>
                        </a14:imgEffect>
                        <a14:imgEffect>
                          <a14:brightnessContrast bright="20000" contrast="40000"/>
                        </a14:imgEffect>
                      </a14:imgLayer>
                    </a14:imgProps>
                  </a:ext>
                </a:extLst>
              </a:blip>
              <a:stretch>
                <a:fillRect/>
              </a:stretch>
            </xdr:blipFill>
            <xdr:spPr>
              <a:xfrm>
                <a:off x="391683" y="45970532"/>
                <a:ext cx="5840908" cy="4185196"/>
              </a:xfrm>
              <a:prstGeom prst="rect">
                <a:avLst/>
              </a:prstGeom>
              <a:ln>
                <a:solidFill>
                  <a:sysClr val="windowText" lastClr="000000"/>
                </a:solidFill>
              </a:ln>
            </xdr:spPr>
          </xdr:pic>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272426" y="49728991"/>
                <a:ext cx="1484257" cy="452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b="1">
                    <a:solidFill>
                      <a:srgbClr val="FF00FF"/>
                    </a:solidFill>
                    <a:latin typeface="Times New Roman" panose="02020603050405020304" pitchFamily="18" charset="0"/>
                    <a:cs typeface="Times New Roman" panose="02020603050405020304" pitchFamily="18" charset="0"/>
                  </a:rPr>
                  <a:t>(Sale Building No. 2) </a:t>
                </a:r>
                <a:r>
                  <a:rPr lang="en-IN" sz="1100" b="1">
                    <a:solidFill>
                      <a:srgbClr val="FF00FF"/>
                    </a:solidFill>
                    <a:effectLst/>
                    <a:latin typeface="Times New Roman" panose="02020603050405020304" pitchFamily="18" charset="0"/>
                    <a:ea typeface="+mn-ea"/>
                    <a:cs typeface="Times New Roman" panose="02020603050405020304" pitchFamily="18" charset="0"/>
                  </a:rPr>
                  <a:t>Wing B </a:t>
                </a:r>
                <a:endParaRPr lang="en-IN" sz="1100" b="1">
                  <a:solidFill>
                    <a:srgbClr val="FF00FF"/>
                  </a:solidFill>
                  <a:latin typeface="Times New Roman" panose="02020603050405020304" pitchFamily="18" charset="0"/>
                  <a:cs typeface="Times New Roman" panose="02020603050405020304" pitchFamily="18" charset="0"/>
                </a:endParaRPr>
              </a:p>
            </xdr:txBody>
          </xdr:sp>
          <xdr:sp macro="" textlink="">
            <xdr:nvSpPr>
              <xdr:cNvPr id="15" name="Rectangle 14">
                <a:extLst>
                  <a:ext uri="{FF2B5EF4-FFF2-40B4-BE49-F238E27FC236}">
                    <a16:creationId xmlns:a16="http://schemas.microsoft.com/office/drawing/2014/main" id="{00000000-0008-0000-0000-00000F000000}"/>
                  </a:ext>
                </a:extLst>
              </xdr:cNvPr>
              <xdr:cNvSpPr/>
            </xdr:nvSpPr>
            <xdr:spPr>
              <a:xfrm>
                <a:off x="3354457" y="49091022"/>
                <a:ext cx="927651" cy="612912"/>
              </a:xfrm>
              <a:prstGeom prst="rect">
                <a:avLst/>
              </a:prstGeom>
              <a:noFill/>
              <a:ln w="2857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8" name="Rectangle 27">
                <a:extLst>
                  <a:ext uri="{FF2B5EF4-FFF2-40B4-BE49-F238E27FC236}">
                    <a16:creationId xmlns:a16="http://schemas.microsoft.com/office/drawing/2014/main" id="{00000000-0008-0000-0000-00001C000000}"/>
                  </a:ext>
                </a:extLst>
              </xdr:cNvPr>
              <xdr:cNvSpPr/>
            </xdr:nvSpPr>
            <xdr:spPr>
              <a:xfrm>
                <a:off x="2170043" y="49082738"/>
                <a:ext cx="1159565" cy="62119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1986157" y="49772779"/>
                <a:ext cx="1484257" cy="452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b="1">
                    <a:solidFill>
                      <a:srgbClr val="0000FF"/>
                    </a:solidFill>
                    <a:latin typeface="Times New Roman" panose="02020603050405020304" pitchFamily="18" charset="0"/>
                    <a:cs typeface="Times New Roman" panose="02020603050405020304" pitchFamily="18" charset="0"/>
                  </a:rPr>
                  <a:t>(Sale Building No. 2) </a:t>
                </a:r>
                <a:r>
                  <a:rPr lang="en-IN" sz="1100" b="1">
                    <a:solidFill>
                      <a:srgbClr val="0000FF"/>
                    </a:solidFill>
                    <a:effectLst/>
                    <a:latin typeface="Times New Roman" panose="02020603050405020304" pitchFamily="18" charset="0"/>
                    <a:ea typeface="+mn-ea"/>
                    <a:cs typeface="Times New Roman" panose="02020603050405020304" pitchFamily="18" charset="0"/>
                  </a:rPr>
                  <a:t>Wing A</a:t>
                </a:r>
                <a:endParaRPr lang="en-IN" sz="1100" b="1">
                  <a:solidFill>
                    <a:srgbClr val="0000FF"/>
                  </a:solidFill>
                  <a:latin typeface="Times New Roman" panose="02020603050405020304" pitchFamily="18" charset="0"/>
                  <a:cs typeface="Times New Roman" panose="02020603050405020304" pitchFamily="18" charset="0"/>
                </a:endParaRPr>
              </a:p>
            </xdr:txBody>
          </xdr:sp>
          <xdr:sp macro="" textlink="">
            <xdr:nvSpPr>
              <xdr:cNvPr id="38" name="Rectangle 37">
                <a:extLst>
                  <a:ext uri="{FF2B5EF4-FFF2-40B4-BE49-F238E27FC236}">
                    <a16:creationId xmlns:a16="http://schemas.microsoft.com/office/drawing/2014/main" id="{00000000-0008-0000-0000-000026000000}"/>
                  </a:ext>
                </a:extLst>
              </xdr:cNvPr>
              <xdr:cNvSpPr/>
            </xdr:nvSpPr>
            <xdr:spPr>
              <a:xfrm>
                <a:off x="935935" y="49074457"/>
                <a:ext cx="1101586" cy="69574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768612" y="48756791"/>
                <a:ext cx="1484257" cy="452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b="1">
                    <a:solidFill>
                      <a:schemeClr val="tx1"/>
                    </a:solidFill>
                    <a:latin typeface="Times New Roman" panose="02020603050405020304" pitchFamily="18" charset="0"/>
                    <a:cs typeface="Times New Roman" panose="02020603050405020304" pitchFamily="18" charset="0"/>
                  </a:rPr>
                  <a:t>Rehab</a:t>
                </a:r>
                <a:r>
                  <a:rPr lang="en-IN" sz="1100" b="1" baseline="0">
                    <a:solidFill>
                      <a:schemeClr val="tx1"/>
                    </a:solidFill>
                    <a:latin typeface="Times New Roman" panose="02020603050405020304" pitchFamily="18" charset="0"/>
                    <a:cs typeface="Times New Roman" panose="02020603050405020304" pitchFamily="18" charset="0"/>
                  </a:rPr>
                  <a:t> Building No.1</a:t>
                </a:r>
                <a:endParaRPr lang="en-IN" sz="1100" b="1">
                  <a:solidFill>
                    <a:schemeClr val="tx1"/>
                  </a:solidFill>
                  <a:latin typeface="Times New Roman" panose="02020603050405020304" pitchFamily="18" charset="0"/>
                  <a:cs typeface="Times New Roman" panose="02020603050405020304" pitchFamily="18" charset="0"/>
                </a:endParaRPr>
              </a:p>
            </xdr:txBody>
          </xdr:sp>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1249003" y="47776670"/>
                <a:ext cx="1484257" cy="452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b="1">
                    <a:solidFill>
                      <a:schemeClr val="tx1"/>
                    </a:solidFill>
                    <a:latin typeface="Times New Roman" panose="02020603050405020304" pitchFamily="18" charset="0"/>
                    <a:cs typeface="Times New Roman" panose="02020603050405020304" pitchFamily="18" charset="0"/>
                  </a:rPr>
                  <a:t>Sale</a:t>
                </a:r>
                <a:r>
                  <a:rPr lang="en-IN" sz="1100" b="1" baseline="0">
                    <a:solidFill>
                      <a:schemeClr val="tx1"/>
                    </a:solidFill>
                    <a:latin typeface="Times New Roman" panose="02020603050405020304" pitchFamily="18" charset="0"/>
                    <a:cs typeface="Times New Roman" panose="02020603050405020304" pitchFamily="18" charset="0"/>
                  </a:rPr>
                  <a:t> Building No.3</a:t>
                </a:r>
                <a:endParaRPr lang="en-IN" sz="1100" b="1">
                  <a:solidFill>
                    <a:schemeClr val="tx1"/>
                  </a:solidFill>
                  <a:latin typeface="Times New Roman" panose="02020603050405020304" pitchFamily="18" charset="0"/>
                  <a:cs typeface="Times New Roman" panose="02020603050405020304" pitchFamily="18" charset="0"/>
                </a:endParaRP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rot="2037326">
                <a:off x="4300106" y="48772452"/>
                <a:ext cx="1484257" cy="452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solidFill>
                      <a:srgbClr val="FF0000"/>
                    </a:solidFill>
                    <a:latin typeface="Times New Roman" panose="02020603050405020304" pitchFamily="18" charset="0"/>
                    <a:cs typeface="Times New Roman" panose="02020603050405020304" pitchFamily="18" charset="0"/>
                  </a:rPr>
                  <a:t>H.T Line</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rot="7392664">
                <a:off x="4485307" y="49212302"/>
                <a:ext cx="1477256" cy="671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solidFill>
                      <a:srgbClr val="FF0000"/>
                    </a:solidFill>
                    <a:latin typeface="Times New Roman" panose="02020603050405020304" pitchFamily="18" charset="0"/>
                    <a:cs typeface="Times New Roman" panose="02020603050405020304" pitchFamily="18" charset="0"/>
                  </a:rPr>
                  <a:t>H.T Line</a:t>
                </a:r>
              </a:p>
            </xdr:txBody>
          </xdr:sp>
        </xdr:grpSp>
        <xdr:sp macro="" textlink="">
          <xdr:nvSpPr>
            <xdr:cNvPr id="47" name="Freeform 46">
              <a:extLst>
                <a:ext uri="{FF2B5EF4-FFF2-40B4-BE49-F238E27FC236}">
                  <a16:creationId xmlns:a16="http://schemas.microsoft.com/office/drawing/2014/main" id="{00000000-0008-0000-0000-00002F000000}"/>
                </a:ext>
              </a:extLst>
            </xdr:cNvPr>
            <xdr:cNvSpPr/>
          </xdr:nvSpPr>
          <xdr:spPr>
            <a:xfrm>
              <a:off x="676275" y="76495274"/>
              <a:ext cx="2695575" cy="1409700"/>
            </a:xfrm>
            <a:custGeom>
              <a:avLst/>
              <a:gdLst>
                <a:gd name="connsiteX0" fmla="*/ 0 w 2486025"/>
                <a:gd name="connsiteY0" fmla="*/ 1057275 h 1295400"/>
                <a:gd name="connsiteX1" fmla="*/ 533400 w 2486025"/>
                <a:gd name="connsiteY1" fmla="*/ 9525 h 1295400"/>
                <a:gd name="connsiteX2" fmla="*/ 1514475 w 2486025"/>
                <a:gd name="connsiteY2" fmla="*/ 0 h 1295400"/>
                <a:gd name="connsiteX3" fmla="*/ 2486025 w 2486025"/>
                <a:gd name="connsiteY3" fmla="*/ 933450 h 1295400"/>
                <a:gd name="connsiteX4" fmla="*/ 2447925 w 2486025"/>
                <a:gd name="connsiteY4" fmla="*/ 1190625 h 1295400"/>
                <a:gd name="connsiteX5" fmla="*/ 1714500 w 2486025"/>
                <a:gd name="connsiteY5" fmla="*/ 1152525 h 1295400"/>
                <a:gd name="connsiteX6" fmla="*/ 1438275 w 2486025"/>
                <a:gd name="connsiteY6" fmla="*/ 809625 h 1295400"/>
                <a:gd name="connsiteX7" fmla="*/ 704850 w 2486025"/>
                <a:gd name="connsiteY7" fmla="*/ 819150 h 1295400"/>
                <a:gd name="connsiteX8" fmla="*/ 457200 w 2486025"/>
                <a:gd name="connsiteY8" fmla="*/ 1295400 h 1295400"/>
                <a:gd name="connsiteX9" fmla="*/ 0 w 2486025"/>
                <a:gd name="connsiteY9" fmla="*/ 1057275 h 1295400"/>
                <a:gd name="connsiteX0" fmla="*/ 0 w 2486025"/>
                <a:gd name="connsiteY0" fmla="*/ 1057275 h 1295400"/>
                <a:gd name="connsiteX1" fmla="*/ 533400 w 2486025"/>
                <a:gd name="connsiteY1" fmla="*/ 9525 h 1295400"/>
                <a:gd name="connsiteX2" fmla="*/ 1514475 w 2486025"/>
                <a:gd name="connsiteY2" fmla="*/ 0 h 1295400"/>
                <a:gd name="connsiteX3" fmla="*/ 2486025 w 2486025"/>
                <a:gd name="connsiteY3" fmla="*/ 933450 h 1295400"/>
                <a:gd name="connsiteX4" fmla="*/ 2447925 w 2486025"/>
                <a:gd name="connsiteY4" fmla="*/ 1190625 h 1295400"/>
                <a:gd name="connsiteX5" fmla="*/ 1714500 w 2486025"/>
                <a:gd name="connsiteY5" fmla="*/ 1152525 h 1295400"/>
                <a:gd name="connsiteX6" fmla="*/ 1438275 w 2486025"/>
                <a:gd name="connsiteY6" fmla="*/ 809625 h 1295400"/>
                <a:gd name="connsiteX7" fmla="*/ 809893 w 2486025"/>
                <a:gd name="connsiteY7" fmla="*/ 802217 h 1295400"/>
                <a:gd name="connsiteX8" fmla="*/ 457200 w 2486025"/>
                <a:gd name="connsiteY8" fmla="*/ 1295400 h 1295400"/>
                <a:gd name="connsiteX9" fmla="*/ 0 w 2486025"/>
                <a:gd name="connsiteY9" fmla="*/ 1057275 h 1295400"/>
                <a:gd name="connsiteX0" fmla="*/ 0 w 2486025"/>
                <a:gd name="connsiteY0" fmla="*/ 1057275 h 1253067"/>
                <a:gd name="connsiteX1" fmla="*/ 533400 w 2486025"/>
                <a:gd name="connsiteY1" fmla="*/ 9525 h 1253067"/>
                <a:gd name="connsiteX2" fmla="*/ 1514475 w 2486025"/>
                <a:gd name="connsiteY2" fmla="*/ 0 h 1253067"/>
                <a:gd name="connsiteX3" fmla="*/ 2486025 w 2486025"/>
                <a:gd name="connsiteY3" fmla="*/ 933450 h 1253067"/>
                <a:gd name="connsiteX4" fmla="*/ 2447925 w 2486025"/>
                <a:gd name="connsiteY4" fmla="*/ 1190625 h 1253067"/>
                <a:gd name="connsiteX5" fmla="*/ 1714500 w 2486025"/>
                <a:gd name="connsiteY5" fmla="*/ 1152525 h 1253067"/>
                <a:gd name="connsiteX6" fmla="*/ 1438275 w 2486025"/>
                <a:gd name="connsiteY6" fmla="*/ 809625 h 1253067"/>
                <a:gd name="connsiteX7" fmla="*/ 809893 w 2486025"/>
                <a:gd name="connsiteY7" fmla="*/ 802217 h 1253067"/>
                <a:gd name="connsiteX8" fmla="*/ 553490 w 2486025"/>
                <a:gd name="connsiteY8" fmla="*/ 1253067 h 1253067"/>
                <a:gd name="connsiteX9" fmla="*/ 0 w 2486025"/>
                <a:gd name="connsiteY9" fmla="*/ 1057275 h 1253067"/>
                <a:gd name="connsiteX0" fmla="*/ 0 w 2477271"/>
                <a:gd name="connsiteY0" fmla="*/ 1031875 h 1253067"/>
                <a:gd name="connsiteX1" fmla="*/ 524646 w 2477271"/>
                <a:gd name="connsiteY1" fmla="*/ 9525 h 1253067"/>
                <a:gd name="connsiteX2" fmla="*/ 1505721 w 2477271"/>
                <a:gd name="connsiteY2" fmla="*/ 0 h 1253067"/>
                <a:gd name="connsiteX3" fmla="*/ 2477271 w 2477271"/>
                <a:gd name="connsiteY3" fmla="*/ 933450 h 1253067"/>
                <a:gd name="connsiteX4" fmla="*/ 2439171 w 2477271"/>
                <a:gd name="connsiteY4" fmla="*/ 1190625 h 1253067"/>
                <a:gd name="connsiteX5" fmla="*/ 1705746 w 2477271"/>
                <a:gd name="connsiteY5" fmla="*/ 1152525 h 1253067"/>
                <a:gd name="connsiteX6" fmla="*/ 1429521 w 2477271"/>
                <a:gd name="connsiteY6" fmla="*/ 809625 h 1253067"/>
                <a:gd name="connsiteX7" fmla="*/ 801139 w 2477271"/>
                <a:gd name="connsiteY7" fmla="*/ 802217 h 1253067"/>
                <a:gd name="connsiteX8" fmla="*/ 544736 w 2477271"/>
                <a:gd name="connsiteY8" fmla="*/ 1253067 h 1253067"/>
                <a:gd name="connsiteX9" fmla="*/ 0 w 2477271"/>
                <a:gd name="connsiteY9" fmla="*/ 1031875 h 12530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477271" h="1253067">
                  <a:moveTo>
                    <a:pt x="0" y="1031875"/>
                  </a:moveTo>
                  <a:lnTo>
                    <a:pt x="524646" y="9525"/>
                  </a:lnTo>
                  <a:lnTo>
                    <a:pt x="1505721" y="0"/>
                  </a:lnTo>
                  <a:lnTo>
                    <a:pt x="2477271" y="933450"/>
                  </a:lnTo>
                  <a:lnTo>
                    <a:pt x="2439171" y="1190625"/>
                  </a:lnTo>
                  <a:lnTo>
                    <a:pt x="1705746" y="1152525"/>
                  </a:lnTo>
                  <a:lnTo>
                    <a:pt x="1429521" y="809625"/>
                  </a:lnTo>
                  <a:lnTo>
                    <a:pt x="801139" y="802217"/>
                  </a:lnTo>
                  <a:lnTo>
                    <a:pt x="544736" y="1253067"/>
                  </a:lnTo>
                  <a:lnTo>
                    <a:pt x="0" y="1031875"/>
                  </a:lnTo>
                  <a:close/>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xnSp macro="">
        <xdr:nvCxnSpPr>
          <xdr:cNvPr id="53" name="Straight Connector 52">
            <a:extLst>
              <a:ext uri="{FF2B5EF4-FFF2-40B4-BE49-F238E27FC236}">
                <a16:creationId xmlns:a16="http://schemas.microsoft.com/office/drawing/2014/main" id="{00000000-0008-0000-0000-000035000000}"/>
              </a:ext>
            </a:extLst>
          </xdr:cNvPr>
          <xdr:cNvCxnSpPr/>
        </xdr:nvCxnSpPr>
        <xdr:spPr>
          <a:xfrm>
            <a:off x="2133600" y="75866625"/>
            <a:ext cx="2867025" cy="2581275"/>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a:extLst>
              <a:ext uri="{FF2B5EF4-FFF2-40B4-BE49-F238E27FC236}">
                <a16:creationId xmlns:a16="http://schemas.microsoft.com/office/drawing/2014/main" id="{00000000-0008-0000-0000-000036000000}"/>
              </a:ext>
            </a:extLst>
          </xdr:cNvPr>
          <xdr:cNvCxnSpPr/>
        </xdr:nvCxnSpPr>
        <xdr:spPr>
          <a:xfrm>
            <a:off x="2019300" y="75971400"/>
            <a:ext cx="2867025" cy="2581275"/>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a:extLst>
              <a:ext uri="{FF2B5EF4-FFF2-40B4-BE49-F238E27FC236}">
                <a16:creationId xmlns:a16="http://schemas.microsoft.com/office/drawing/2014/main" id="{00000000-0008-0000-0000-000037000000}"/>
              </a:ext>
            </a:extLst>
          </xdr:cNvPr>
          <xdr:cNvCxnSpPr/>
        </xdr:nvCxnSpPr>
        <xdr:spPr>
          <a:xfrm>
            <a:off x="1885950" y="76095225"/>
            <a:ext cx="2867025" cy="2581275"/>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00000000-0008-0000-0000-000038000000}"/>
              </a:ext>
            </a:extLst>
          </xdr:cNvPr>
          <xdr:cNvCxnSpPr/>
        </xdr:nvCxnSpPr>
        <xdr:spPr>
          <a:xfrm>
            <a:off x="1781175" y="76209525"/>
            <a:ext cx="2867025" cy="2581275"/>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a:extLst>
              <a:ext uri="{FF2B5EF4-FFF2-40B4-BE49-F238E27FC236}">
                <a16:creationId xmlns:a16="http://schemas.microsoft.com/office/drawing/2014/main" id="{00000000-0008-0000-0000-000039000000}"/>
              </a:ext>
            </a:extLst>
          </xdr:cNvPr>
          <xdr:cNvCxnSpPr/>
        </xdr:nvCxnSpPr>
        <xdr:spPr>
          <a:xfrm>
            <a:off x="4993325" y="78444276"/>
            <a:ext cx="285750" cy="167878"/>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a:extLst>
              <a:ext uri="{FF2B5EF4-FFF2-40B4-BE49-F238E27FC236}">
                <a16:creationId xmlns:a16="http://schemas.microsoft.com/office/drawing/2014/main" id="{00000000-0008-0000-0000-00003C000000}"/>
              </a:ext>
            </a:extLst>
          </xdr:cNvPr>
          <xdr:cNvCxnSpPr/>
        </xdr:nvCxnSpPr>
        <xdr:spPr>
          <a:xfrm>
            <a:off x="4908014" y="78569757"/>
            <a:ext cx="280212" cy="130348"/>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a:extLst>
              <a:ext uri="{FF2B5EF4-FFF2-40B4-BE49-F238E27FC236}">
                <a16:creationId xmlns:a16="http://schemas.microsoft.com/office/drawing/2014/main" id="{00000000-0008-0000-0000-00003E000000}"/>
              </a:ext>
            </a:extLst>
          </xdr:cNvPr>
          <xdr:cNvCxnSpPr/>
        </xdr:nvCxnSpPr>
        <xdr:spPr>
          <a:xfrm>
            <a:off x="4808622" y="78695238"/>
            <a:ext cx="291703" cy="135597"/>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63" name="Straight Connector 62">
            <a:extLst>
              <a:ext uri="{FF2B5EF4-FFF2-40B4-BE49-F238E27FC236}">
                <a16:creationId xmlns:a16="http://schemas.microsoft.com/office/drawing/2014/main" id="{00000000-0008-0000-0000-00003F000000}"/>
              </a:ext>
            </a:extLst>
          </xdr:cNvPr>
          <xdr:cNvCxnSpPr/>
        </xdr:nvCxnSpPr>
        <xdr:spPr>
          <a:xfrm>
            <a:off x="4667817" y="78819477"/>
            <a:ext cx="354757" cy="155197"/>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8</xdr:col>
      <xdr:colOff>895350</xdr:colOff>
      <xdr:row>351</xdr:row>
      <xdr:rowOff>28575</xdr:rowOff>
    </xdr:from>
    <xdr:ext cx="184731" cy="264560"/>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7419975" y="7729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sz="1100"/>
        </a:p>
      </xdr:txBody>
    </xdr:sp>
    <xdr:clientData/>
  </xdr:oneCellAnchor>
  <xdr:twoCellAnchor editAs="oneCell">
    <xdr:from>
      <xdr:col>11</xdr:col>
      <xdr:colOff>232522</xdr:colOff>
      <xdr:row>56</xdr:row>
      <xdr:rowOff>401170</xdr:rowOff>
    </xdr:from>
    <xdr:to>
      <xdr:col>13</xdr:col>
      <xdr:colOff>197441</xdr:colOff>
      <xdr:row>70</xdr:row>
      <xdr:rowOff>206112</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4"/>
        <a:stretch>
          <a:fillRect/>
        </a:stretch>
      </xdr:blipFill>
      <xdr:spPr>
        <a:xfrm>
          <a:off x="9398934" y="12806082"/>
          <a:ext cx="1556154" cy="3482152"/>
        </a:xfrm>
        <a:prstGeom prst="rect">
          <a:avLst/>
        </a:prstGeom>
      </xdr:spPr>
    </xdr:pic>
    <xdr:clientData/>
  </xdr:twoCellAnchor>
  <xdr:twoCellAnchor>
    <xdr:from>
      <xdr:col>13</xdr:col>
      <xdr:colOff>341747</xdr:colOff>
      <xdr:row>284</xdr:row>
      <xdr:rowOff>81261</xdr:rowOff>
    </xdr:from>
    <xdr:to>
      <xdr:col>14</xdr:col>
      <xdr:colOff>370579</xdr:colOff>
      <xdr:row>286</xdr:row>
      <xdr:rowOff>51018</xdr:rowOff>
    </xdr:to>
    <xdr:sp macro="" textlink="">
      <xdr:nvSpPr>
        <xdr:cNvPr id="70" name="TextBox 11">
          <a:extLst>
            <a:ext uri="{FF2B5EF4-FFF2-40B4-BE49-F238E27FC236}">
              <a16:creationId xmlns:a16="http://schemas.microsoft.com/office/drawing/2014/main" id="{00000000-0008-0000-0000-000046000000}"/>
            </a:ext>
          </a:extLst>
        </xdr:cNvPr>
        <xdr:cNvSpPr txBox="1"/>
      </xdr:nvSpPr>
      <xdr:spPr>
        <a:xfrm>
          <a:off x="11606647" y="59364861"/>
          <a:ext cx="905132" cy="36345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clientData/>
  </xdr:twoCellAnchor>
  <xdr:twoCellAnchor>
    <xdr:from>
      <xdr:col>11</xdr:col>
      <xdr:colOff>469547</xdr:colOff>
      <xdr:row>278</xdr:row>
      <xdr:rowOff>158750</xdr:rowOff>
    </xdr:from>
    <xdr:to>
      <xdr:col>12</xdr:col>
      <xdr:colOff>546533</xdr:colOff>
      <xdr:row>280</xdr:row>
      <xdr:rowOff>128507</xdr:rowOff>
    </xdr:to>
    <xdr:sp macro="" textlink="">
      <xdr:nvSpPr>
        <xdr:cNvPr id="80" name="TextBox 13">
          <a:extLst>
            <a:ext uri="{FF2B5EF4-FFF2-40B4-BE49-F238E27FC236}">
              <a16:creationId xmlns:a16="http://schemas.microsoft.com/office/drawing/2014/main" id="{00000000-0008-0000-0000-000050000000}"/>
            </a:ext>
          </a:extLst>
        </xdr:cNvPr>
        <xdr:cNvSpPr txBox="1"/>
      </xdr:nvSpPr>
      <xdr:spPr>
        <a:xfrm>
          <a:off x="10070747" y="58261250"/>
          <a:ext cx="915186" cy="36345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clientData/>
  </xdr:twoCellAnchor>
  <xdr:twoCellAnchor>
    <xdr:from>
      <xdr:col>3</xdr:col>
      <xdr:colOff>219100</xdr:colOff>
      <xdr:row>383</xdr:row>
      <xdr:rowOff>1982</xdr:rowOff>
    </xdr:from>
    <xdr:to>
      <xdr:col>3</xdr:col>
      <xdr:colOff>788582</xdr:colOff>
      <xdr:row>385</xdr:row>
      <xdr:rowOff>105582</xdr:rowOff>
    </xdr:to>
    <xdr:sp macro="" textlink="">
      <xdr:nvSpPr>
        <xdr:cNvPr id="66" name="Rectangle 65">
          <a:extLst>
            <a:ext uri="{FF2B5EF4-FFF2-40B4-BE49-F238E27FC236}">
              <a16:creationId xmlns:a16="http://schemas.microsoft.com/office/drawing/2014/main" id="{00000000-0008-0000-0000-000042000000}"/>
            </a:ext>
          </a:extLst>
        </xdr:cNvPr>
        <xdr:cNvSpPr/>
      </xdr:nvSpPr>
      <xdr:spPr>
        <a:xfrm rot="557374">
          <a:off x="2628925" y="80345357"/>
          <a:ext cx="569482" cy="50365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431279</xdr:colOff>
      <xdr:row>381</xdr:row>
      <xdr:rowOff>140985</xdr:rowOff>
    </xdr:from>
    <xdr:to>
      <xdr:col>4</xdr:col>
      <xdr:colOff>718784</xdr:colOff>
      <xdr:row>386</xdr:row>
      <xdr:rowOff>92212</xdr:rowOff>
    </xdr:to>
    <xdr:sp macro="" textlink="">
      <xdr:nvSpPr>
        <xdr:cNvPr id="71" name="TextBox 70">
          <a:extLst>
            <a:ext uri="{FF2B5EF4-FFF2-40B4-BE49-F238E27FC236}">
              <a16:creationId xmlns:a16="http://schemas.microsoft.com/office/drawing/2014/main" id="{00000000-0008-0000-0000-000047000000}"/>
            </a:ext>
          </a:extLst>
        </xdr:cNvPr>
        <xdr:cNvSpPr txBox="1"/>
      </xdr:nvSpPr>
      <xdr:spPr>
        <a:xfrm rot="16697936">
          <a:off x="2980668" y="79944746"/>
          <a:ext cx="951352" cy="1230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solidFill>
                <a:srgbClr val="FFFF00"/>
              </a:solidFill>
            </a:rPr>
            <a:t>Sethia Pride Wing B</a:t>
          </a:r>
        </a:p>
      </xdr:txBody>
    </xdr:sp>
    <xdr:clientData/>
  </xdr:twoCellAnchor>
  <xdr:twoCellAnchor>
    <xdr:from>
      <xdr:col>3</xdr:col>
      <xdr:colOff>414532</xdr:colOff>
      <xdr:row>380</xdr:row>
      <xdr:rowOff>133392</xdr:rowOff>
    </xdr:from>
    <xdr:to>
      <xdr:col>3</xdr:col>
      <xdr:colOff>734318</xdr:colOff>
      <xdr:row>382</xdr:row>
      <xdr:rowOff>41371</xdr:rowOff>
    </xdr:to>
    <xdr:sp macro="" textlink="">
      <xdr:nvSpPr>
        <xdr:cNvPr id="73" name="Rectangle 72">
          <a:extLst>
            <a:ext uri="{FF2B5EF4-FFF2-40B4-BE49-F238E27FC236}">
              <a16:creationId xmlns:a16="http://schemas.microsoft.com/office/drawing/2014/main" id="{00000000-0008-0000-0000-000049000000}"/>
            </a:ext>
          </a:extLst>
        </xdr:cNvPr>
        <xdr:cNvSpPr/>
      </xdr:nvSpPr>
      <xdr:spPr>
        <a:xfrm rot="2389370">
          <a:off x="2823797" y="80501980"/>
          <a:ext cx="319786" cy="31139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571501</xdr:colOff>
      <xdr:row>379</xdr:row>
      <xdr:rowOff>63329</xdr:rowOff>
    </xdr:from>
    <xdr:to>
      <xdr:col>3</xdr:col>
      <xdr:colOff>748424</xdr:colOff>
      <xdr:row>394</xdr:row>
      <xdr:rowOff>8283</xdr:rowOff>
    </xdr:to>
    <xdr:cxnSp macro="">
      <xdr:nvCxnSpPr>
        <xdr:cNvPr id="4" name="Straight Connector 3">
          <a:extLst>
            <a:ext uri="{FF2B5EF4-FFF2-40B4-BE49-F238E27FC236}">
              <a16:creationId xmlns:a16="http://schemas.microsoft.com/office/drawing/2014/main" id="{00000000-0008-0000-0000-000004000000}"/>
            </a:ext>
          </a:extLst>
        </xdr:cNvPr>
        <xdr:cNvCxnSpPr>
          <a:stCxn id="17" idx="0"/>
        </xdr:cNvCxnSpPr>
      </xdr:nvCxnSpPr>
      <xdr:spPr>
        <a:xfrm flipH="1">
          <a:off x="571501" y="79162242"/>
          <a:ext cx="2587162" cy="292669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588065</xdr:colOff>
      <xdr:row>379</xdr:row>
      <xdr:rowOff>91109</xdr:rowOff>
    </xdr:from>
    <xdr:to>
      <xdr:col>4</xdr:col>
      <xdr:colOff>248478</xdr:colOff>
      <xdr:row>396</xdr:row>
      <xdr:rowOff>16566</xdr:rowOff>
    </xdr:to>
    <xdr:cxnSp macro="">
      <xdr:nvCxnSpPr>
        <xdr:cNvPr id="74" name="Straight Connector 73">
          <a:extLst>
            <a:ext uri="{FF2B5EF4-FFF2-40B4-BE49-F238E27FC236}">
              <a16:creationId xmlns:a16="http://schemas.microsoft.com/office/drawing/2014/main" id="{00000000-0008-0000-0000-00004A000000}"/>
            </a:ext>
          </a:extLst>
        </xdr:cNvPr>
        <xdr:cNvCxnSpPr/>
      </xdr:nvCxnSpPr>
      <xdr:spPr>
        <a:xfrm flipH="1">
          <a:off x="588065" y="79190022"/>
          <a:ext cx="3014870" cy="330476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106603</xdr:colOff>
      <xdr:row>386</xdr:row>
      <xdr:rowOff>44489</xdr:rowOff>
    </xdr:from>
    <xdr:to>
      <xdr:col>3</xdr:col>
      <xdr:colOff>210230</xdr:colOff>
      <xdr:row>392</xdr:row>
      <xdr:rowOff>74819</xdr:rowOff>
    </xdr:to>
    <xdr:sp macro="" textlink="">
      <xdr:nvSpPr>
        <xdr:cNvPr id="72" name="TextBox 71">
          <a:extLst>
            <a:ext uri="{FF2B5EF4-FFF2-40B4-BE49-F238E27FC236}">
              <a16:creationId xmlns:a16="http://schemas.microsoft.com/office/drawing/2014/main" id="{00000000-0008-0000-0000-000048000000}"/>
            </a:ext>
          </a:extLst>
        </xdr:cNvPr>
        <xdr:cNvSpPr txBox="1"/>
      </xdr:nvSpPr>
      <xdr:spPr>
        <a:xfrm rot="21294755">
          <a:off x="1672016" y="80534880"/>
          <a:ext cx="948453" cy="1223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baseline="0">
              <a:solidFill>
                <a:srgbClr val="FFFF00"/>
              </a:solidFill>
            </a:rPr>
            <a:t> Sale Bldg No. 2</a:t>
          </a:r>
          <a:endParaRPr lang="en-IN" sz="1200" b="1">
            <a:solidFill>
              <a:srgbClr val="FFFF00"/>
            </a:solidFill>
          </a:endParaRPr>
        </a:p>
      </xdr:txBody>
    </xdr:sp>
    <xdr:clientData/>
  </xdr:twoCellAnchor>
  <xdr:oneCellAnchor>
    <xdr:from>
      <xdr:col>1</xdr:col>
      <xdr:colOff>82826</xdr:colOff>
      <xdr:row>388</xdr:row>
      <xdr:rowOff>99391</xdr:rowOff>
    </xdr:from>
    <xdr:ext cx="591380"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844826" y="80987348"/>
          <a:ext cx="59138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HT line</a:t>
          </a:r>
        </a:p>
      </xdr:txBody>
    </xdr:sp>
    <xdr:clientData/>
  </xdr:oneCellAnchor>
  <xdr:twoCellAnchor>
    <xdr:from>
      <xdr:col>9</xdr:col>
      <xdr:colOff>262725</xdr:colOff>
      <xdr:row>277</xdr:row>
      <xdr:rowOff>131196</xdr:rowOff>
    </xdr:from>
    <xdr:to>
      <xdr:col>17</xdr:col>
      <xdr:colOff>173374</xdr:colOff>
      <xdr:row>315</xdr:row>
      <xdr:rowOff>101449</xdr:rowOff>
    </xdr:to>
    <xdr:grpSp>
      <xdr:nvGrpSpPr>
        <xdr:cNvPr id="75" name="Group 74">
          <a:extLst>
            <a:ext uri="{FF2B5EF4-FFF2-40B4-BE49-F238E27FC236}">
              <a16:creationId xmlns:a16="http://schemas.microsoft.com/office/drawing/2014/main" id="{00000000-0008-0000-0000-00004B000000}"/>
            </a:ext>
          </a:extLst>
        </xdr:cNvPr>
        <xdr:cNvGrpSpPr/>
      </xdr:nvGrpSpPr>
      <xdr:grpSpPr>
        <a:xfrm>
          <a:off x="8150739" y="59246630"/>
          <a:ext cx="6022414" cy="7558722"/>
          <a:chOff x="495250" y="807338"/>
          <a:chExt cx="5867501" cy="7523992"/>
        </a:xfrm>
      </xdr:grpSpPr>
      <xdr:grpSp>
        <xdr:nvGrpSpPr>
          <xdr:cNvPr id="76" name="Group 75">
            <a:extLst>
              <a:ext uri="{FF2B5EF4-FFF2-40B4-BE49-F238E27FC236}">
                <a16:creationId xmlns:a16="http://schemas.microsoft.com/office/drawing/2014/main" id="{00000000-0008-0000-0000-00004C000000}"/>
              </a:ext>
            </a:extLst>
          </xdr:cNvPr>
          <xdr:cNvGrpSpPr/>
        </xdr:nvGrpSpPr>
        <xdr:grpSpPr>
          <a:xfrm>
            <a:off x="495250" y="807338"/>
            <a:ext cx="5867501" cy="2908800"/>
            <a:chOff x="518559" y="807338"/>
            <a:chExt cx="5867501" cy="2908800"/>
          </a:xfrm>
        </xdr:grpSpPr>
        <xdr:grpSp>
          <xdr:nvGrpSpPr>
            <xdr:cNvPr id="86" name="Group 85">
              <a:extLst>
                <a:ext uri="{FF2B5EF4-FFF2-40B4-BE49-F238E27FC236}">
                  <a16:creationId xmlns:a16="http://schemas.microsoft.com/office/drawing/2014/main" id="{00000000-0008-0000-0000-000056000000}"/>
                </a:ext>
              </a:extLst>
            </xdr:cNvPr>
            <xdr:cNvGrpSpPr/>
          </xdr:nvGrpSpPr>
          <xdr:grpSpPr>
            <a:xfrm>
              <a:off x="518559" y="807338"/>
              <a:ext cx="2069975" cy="2908800"/>
              <a:chOff x="518559" y="807338"/>
              <a:chExt cx="2069975" cy="2908800"/>
            </a:xfrm>
          </xdr:grpSpPr>
          <xdr:pic>
            <xdr:nvPicPr>
              <xdr:cNvPr id="91" name="Pictur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18559" y="807338"/>
                <a:ext cx="2069975" cy="2908800"/>
              </a:xfrm>
              <a:prstGeom prst="rect">
                <a:avLst/>
              </a:prstGeom>
              <a:ln>
                <a:solidFill>
                  <a:schemeClr val="tx1"/>
                </a:solidFill>
              </a:ln>
            </xdr:spPr>
          </xdr:pic>
          <xdr:sp macro="" textlink="">
            <xdr:nvSpPr>
              <xdr:cNvPr id="92" name="TextBox 13">
                <a:extLst>
                  <a:ext uri="{FF2B5EF4-FFF2-40B4-BE49-F238E27FC236}">
                    <a16:creationId xmlns:a16="http://schemas.microsoft.com/office/drawing/2014/main" id="{00000000-0008-0000-0000-00005C000000}"/>
                  </a:ext>
                </a:extLst>
              </xdr:cNvPr>
              <xdr:cNvSpPr txBox="1"/>
            </xdr:nvSpPr>
            <xdr:spPr>
              <a:xfrm>
                <a:off x="1642642" y="1010675"/>
                <a:ext cx="870012" cy="36703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t>Wing A</a:t>
                </a:r>
                <a:endParaRPr lang="en-IN" sz="1800" b="1"/>
              </a:p>
            </xdr:txBody>
          </xdr:sp>
        </xdr:grpSp>
        <xdr:grpSp>
          <xdr:nvGrpSpPr>
            <xdr:cNvPr id="87" name="Group 86">
              <a:extLst>
                <a:ext uri="{FF2B5EF4-FFF2-40B4-BE49-F238E27FC236}">
                  <a16:creationId xmlns:a16="http://schemas.microsoft.com/office/drawing/2014/main" id="{00000000-0008-0000-0000-000057000000}"/>
                </a:ext>
              </a:extLst>
            </xdr:cNvPr>
            <xdr:cNvGrpSpPr/>
          </xdr:nvGrpSpPr>
          <xdr:grpSpPr>
            <a:xfrm>
              <a:off x="2734961" y="807338"/>
              <a:ext cx="3651099" cy="2908800"/>
              <a:chOff x="2743154" y="3183587"/>
              <a:chExt cx="3651099" cy="2908800"/>
            </a:xfrm>
          </xdr:grpSpPr>
          <xdr:pic>
            <xdr:nvPicPr>
              <xdr:cNvPr id="88" name="Pictur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43154" y="3183587"/>
                <a:ext cx="3651099" cy="2908800"/>
              </a:xfrm>
              <a:prstGeom prst="rect">
                <a:avLst/>
              </a:prstGeom>
              <a:ln>
                <a:solidFill>
                  <a:schemeClr val="tx1"/>
                </a:solidFill>
              </a:ln>
            </xdr:spPr>
          </xdr:pic>
          <xdr:sp macro="" textlink="">
            <xdr:nvSpPr>
              <xdr:cNvPr id="89" name="TextBox 13">
                <a:extLst>
                  <a:ext uri="{FF2B5EF4-FFF2-40B4-BE49-F238E27FC236}">
                    <a16:creationId xmlns:a16="http://schemas.microsoft.com/office/drawing/2014/main" id="{00000000-0008-0000-0000-000059000000}"/>
                  </a:ext>
                </a:extLst>
              </xdr:cNvPr>
              <xdr:cNvSpPr txBox="1"/>
            </xdr:nvSpPr>
            <xdr:spPr>
              <a:xfrm>
                <a:off x="3367826" y="3783879"/>
                <a:ext cx="874603" cy="36703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cxnSp macro="">
            <xdr:nvCxnSpPr>
              <xdr:cNvPr id="90" name="Straight Arrow Connector 89">
                <a:extLst>
                  <a:ext uri="{FF2B5EF4-FFF2-40B4-BE49-F238E27FC236}">
                    <a16:creationId xmlns:a16="http://schemas.microsoft.com/office/drawing/2014/main" id="{00000000-0008-0000-0000-00005A000000}"/>
                  </a:ext>
                </a:extLst>
              </xdr:cNvPr>
              <xdr:cNvCxnSpPr>
                <a:stCxn id="89" idx="2"/>
              </xdr:cNvCxnSpPr>
            </xdr:nvCxnSpPr>
            <xdr:spPr>
              <a:xfrm>
                <a:off x="3805128" y="4150916"/>
                <a:ext cx="591921" cy="107578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grpSp>
      <xdr:grpSp>
        <xdr:nvGrpSpPr>
          <xdr:cNvPr id="77" name="Group 76">
            <a:extLst>
              <a:ext uri="{FF2B5EF4-FFF2-40B4-BE49-F238E27FC236}">
                <a16:creationId xmlns:a16="http://schemas.microsoft.com/office/drawing/2014/main" id="{00000000-0008-0000-0000-00004D000000}"/>
              </a:ext>
            </a:extLst>
          </xdr:cNvPr>
          <xdr:cNvGrpSpPr/>
        </xdr:nvGrpSpPr>
        <xdr:grpSpPr>
          <a:xfrm>
            <a:off x="949451" y="3842134"/>
            <a:ext cx="4959098" cy="2184427"/>
            <a:chOff x="355859" y="3842134"/>
            <a:chExt cx="4959098" cy="2184427"/>
          </a:xfrm>
        </xdr:grpSpPr>
        <xdr:grpSp>
          <xdr:nvGrpSpPr>
            <xdr:cNvPr id="81" name="Group 80">
              <a:extLst>
                <a:ext uri="{FF2B5EF4-FFF2-40B4-BE49-F238E27FC236}">
                  <a16:creationId xmlns:a16="http://schemas.microsoft.com/office/drawing/2014/main" id="{00000000-0008-0000-0000-000051000000}"/>
                </a:ext>
              </a:extLst>
            </xdr:cNvPr>
            <xdr:cNvGrpSpPr/>
          </xdr:nvGrpSpPr>
          <xdr:grpSpPr>
            <a:xfrm>
              <a:off x="355859" y="3844961"/>
              <a:ext cx="1552481" cy="2181600"/>
              <a:chOff x="355859" y="3844961"/>
              <a:chExt cx="1552481" cy="2181600"/>
            </a:xfrm>
          </xdr:grpSpPr>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55859" y="3844961"/>
                <a:ext cx="1552481" cy="2181600"/>
              </a:xfrm>
              <a:prstGeom prst="rect">
                <a:avLst/>
              </a:prstGeom>
              <a:ln>
                <a:solidFill>
                  <a:schemeClr val="tx1"/>
                </a:solidFill>
              </a:ln>
            </xdr:spPr>
          </xdr:pic>
          <xdr:sp macro="" textlink="">
            <xdr:nvSpPr>
              <xdr:cNvPr id="85" name="TextBox 13">
                <a:extLst>
                  <a:ext uri="{FF2B5EF4-FFF2-40B4-BE49-F238E27FC236}">
                    <a16:creationId xmlns:a16="http://schemas.microsoft.com/office/drawing/2014/main" id="{00000000-0008-0000-0000-000055000000}"/>
                  </a:ext>
                </a:extLst>
              </xdr:cNvPr>
              <xdr:cNvSpPr txBox="1"/>
            </xdr:nvSpPr>
            <xdr:spPr>
              <a:xfrm>
                <a:off x="1294876" y="3844961"/>
                <a:ext cx="613464" cy="36703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A</a:t>
                </a:r>
                <a:endParaRPr lang="en-IN" sz="1000" b="1"/>
              </a:p>
            </xdr:txBody>
          </xdr:sp>
        </xdr:grpSp>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054767" y="3842134"/>
              <a:ext cx="1552481" cy="2181600"/>
            </a:xfrm>
            <a:prstGeom prst="rect">
              <a:avLst/>
            </a:prstGeom>
            <a:ln>
              <a:solidFill>
                <a:schemeClr val="tx1"/>
              </a:solidFill>
            </a:ln>
          </xdr:spPr>
        </xdr:pic>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753675" y="3842134"/>
              <a:ext cx="1561282" cy="2181600"/>
            </a:xfrm>
            <a:prstGeom prst="rect">
              <a:avLst/>
            </a:prstGeom>
            <a:ln>
              <a:solidFill>
                <a:schemeClr val="tx1"/>
              </a:solidFill>
            </a:ln>
          </xdr:spPr>
        </xdr:pic>
      </xdr:grpSp>
      <xdr:pic>
        <xdr:nvPicPr>
          <xdr:cNvPr id="79" name="Pictur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037845" y="6149730"/>
            <a:ext cx="2738325" cy="2181600"/>
          </a:xfrm>
          <a:prstGeom prst="rect">
            <a:avLst/>
          </a:prstGeom>
          <a:ln>
            <a:solidFill>
              <a:schemeClr val="tx1"/>
            </a:solidFill>
          </a:ln>
        </xdr:spPr>
      </xdr:pic>
    </xdr:grpSp>
    <xdr:clientData/>
  </xdr:twoCellAnchor>
  <xdr:twoCellAnchor>
    <xdr:from>
      <xdr:col>0</xdr:col>
      <xdr:colOff>190500</xdr:colOff>
      <xdr:row>280</xdr:row>
      <xdr:rowOff>190500</xdr:rowOff>
    </xdr:from>
    <xdr:to>
      <xdr:col>7</xdr:col>
      <xdr:colOff>594360</xdr:colOff>
      <xdr:row>319</xdr:row>
      <xdr:rowOff>167640</xdr:rowOff>
    </xdr:to>
    <xdr:grpSp>
      <xdr:nvGrpSpPr>
        <xdr:cNvPr id="30" name="Group 29">
          <a:extLst>
            <a:ext uri="{FF2B5EF4-FFF2-40B4-BE49-F238E27FC236}">
              <a16:creationId xmlns:a16="http://schemas.microsoft.com/office/drawing/2014/main" id="{657E457F-F8EE-F113-ECE4-EFB69E994E83}"/>
            </a:ext>
          </a:extLst>
        </xdr:cNvPr>
        <xdr:cNvGrpSpPr/>
      </xdr:nvGrpSpPr>
      <xdr:grpSpPr>
        <a:xfrm>
          <a:off x="190500" y="59905024"/>
          <a:ext cx="6242357" cy="7765306"/>
          <a:chOff x="190500" y="59535060"/>
          <a:chExt cx="6248400" cy="7703820"/>
        </a:xfrm>
      </xdr:grpSpPr>
      <xdr:grpSp>
        <xdr:nvGrpSpPr>
          <xdr:cNvPr id="2" name="Group 1">
            <a:extLst>
              <a:ext uri="{FF2B5EF4-FFF2-40B4-BE49-F238E27FC236}">
                <a16:creationId xmlns:a16="http://schemas.microsoft.com/office/drawing/2014/main" id="{E4262E79-FEE9-EBD6-4A0F-CDDD3D7D3B4A}"/>
              </a:ext>
            </a:extLst>
          </xdr:cNvPr>
          <xdr:cNvGrpSpPr/>
        </xdr:nvGrpSpPr>
        <xdr:grpSpPr>
          <a:xfrm>
            <a:off x="190500" y="59535060"/>
            <a:ext cx="6248400" cy="7703820"/>
            <a:chOff x="399410" y="-240527"/>
            <a:chExt cx="5829315" cy="6851392"/>
          </a:xfrm>
        </xdr:grpSpPr>
        <xdr:pic>
          <xdr:nvPicPr>
            <xdr:cNvPr id="3" name="Picture 2">
              <a:extLst>
                <a:ext uri="{FF2B5EF4-FFF2-40B4-BE49-F238E27FC236}">
                  <a16:creationId xmlns:a16="http://schemas.microsoft.com/office/drawing/2014/main" id="{2D503648-EB2C-42E0-0D2C-902790E4F5EF}"/>
                </a:ext>
              </a:extLst>
            </xdr:cNvPr>
            <xdr:cNvPicPr>
              <a:picLocks noChangeAspect="1"/>
            </xdr:cNvPicPr>
          </xdr:nvPicPr>
          <xdr:blipFill>
            <a:blip xmlns:r="http://schemas.openxmlformats.org/officeDocument/2006/relationships" r:embed="rId21"/>
            <a:stretch>
              <a:fillRect/>
            </a:stretch>
          </xdr:blipFill>
          <xdr:spPr>
            <a:xfrm>
              <a:off x="1866334" y="4784371"/>
              <a:ext cx="1369871" cy="1826494"/>
            </a:xfrm>
            <a:prstGeom prst="rect">
              <a:avLst/>
            </a:prstGeom>
            <a:ln>
              <a:solidFill>
                <a:schemeClr val="tx1"/>
              </a:solidFill>
            </a:ln>
          </xdr:spPr>
        </xdr:pic>
        <xdr:pic>
          <xdr:nvPicPr>
            <xdr:cNvPr id="5" name="Picture 4">
              <a:extLst>
                <a:ext uri="{FF2B5EF4-FFF2-40B4-BE49-F238E27FC236}">
                  <a16:creationId xmlns:a16="http://schemas.microsoft.com/office/drawing/2014/main" id="{FFE9131D-DCBE-55E8-3AF6-68C42D0C2B1D}"/>
                </a:ext>
              </a:extLst>
            </xdr:cNvPr>
            <xdr:cNvPicPr>
              <a:picLocks noChangeAspect="1"/>
            </xdr:cNvPicPr>
          </xdr:nvPicPr>
          <xdr:blipFill>
            <a:blip xmlns:r="http://schemas.openxmlformats.org/officeDocument/2006/relationships" r:embed="rId22"/>
            <a:stretch>
              <a:fillRect/>
            </a:stretch>
          </xdr:blipFill>
          <xdr:spPr>
            <a:xfrm>
              <a:off x="1589615" y="-240527"/>
              <a:ext cx="3678769" cy="4905025"/>
            </a:xfrm>
            <a:prstGeom prst="rect">
              <a:avLst/>
            </a:prstGeom>
            <a:ln>
              <a:solidFill>
                <a:schemeClr val="tx1"/>
              </a:solidFill>
            </a:ln>
          </xdr:spPr>
        </xdr:pic>
        <xdr:pic>
          <xdr:nvPicPr>
            <xdr:cNvPr id="6" name="Picture 5">
              <a:extLst>
                <a:ext uri="{FF2B5EF4-FFF2-40B4-BE49-F238E27FC236}">
                  <a16:creationId xmlns:a16="http://schemas.microsoft.com/office/drawing/2014/main" id="{FC92FBAB-F27C-B58B-9097-E5C42D80F9B2}"/>
                </a:ext>
              </a:extLst>
            </xdr:cNvPr>
            <xdr:cNvPicPr>
              <a:picLocks noChangeAspect="1"/>
            </xdr:cNvPicPr>
          </xdr:nvPicPr>
          <xdr:blipFill>
            <a:blip xmlns:r="http://schemas.openxmlformats.org/officeDocument/2006/relationships" r:embed="rId23"/>
            <a:stretch>
              <a:fillRect/>
            </a:stretch>
          </xdr:blipFill>
          <xdr:spPr>
            <a:xfrm>
              <a:off x="399410" y="4784371"/>
              <a:ext cx="1369871" cy="1826494"/>
            </a:xfrm>
            <a:prstGeom prst="rect">
              <a:avLst/>
            </a:prstGeom>
            <a:ln>
              <a:solidFill>
                <a:schemeClr val="tx1"/>
              </a:solidFill>
            </a:ln>
          </xdr:spPr>
        </xdr:pic>
        <xdr:pic>
          <xdr:nvPicPr>
            <xdr:cNvPr id="10" name="Picture 9">
              <a:extLst>
                <a:ext uri="{FF2B5EF4-FFF2-40B4-BE49-F238E27FC236}">
                  <a16:creationId xmlns:a16="http://schemas.microsoft.com/office/drawing/2014/main" id="{E7EBD947-969E-BFEF-68E7-E815369C2C19}"/>
                </a:ext>
              </a:extLst>
            </xdr:cNvPr>
            <xdr:cNvPicPr>
              <a:picLocks noChangeAspect="1"/>
            </xdr:cNvPicPr>
          </xdr:nvPicPr>
          <xdr:blipFill>
            <a:blip xmlns:r="http://schemas.openxmlformats.org/officeDocument/2006/relationships" r:embed="rId24"/>
            <a:stretch>
              <a:fillRect/>
            </a:stretch>
          </xdr:blipFill>
          <xdr:spPr>
            <a:xfrm>
              <a:off x="3354859" y="4784371"/>
              <a:ext cx="1369871" cy="1826494"/>
            </a:xfrm>
            <a:prstGeom prst="rect">
              <a:avLst/>
            </a:prstGeom>
            <a:ln>
              <a:solidFill>
                <a:schemeClr val="tx1"/>
              </a:solidFill>
            </a:ln>
          </xdr:spPr>
        </xdr:pic>
        <xdr:pic>
          <xdr:nvPicPr>
            <xdr:cNvPr id="12" name="Picture 11">
              <a:extLst>
                <a:ext uri="{FF2B5EF4-FFF2-40B4-BE49-F238E27FC236}">
                  <a16:creationId xmlns:a16="http://schemas.microsoft.com/office/drawing/2014/main" id="{9D9A18FB-F16C-B929-CC37-556BE4EE21E0}"/>
                </a:ext>
              </a:extLst>
            </xdr:cNvPr>
            <xdr:cNvPicPr>
              <a:picLocks noChangeAspect="1"/>
            </xdr:cNvPicPr>
          </xdr:nvPicPr>
          <xdr:blipFill>
            <a:blip xmlns:r="http://schemas.openxmlformats.org/officeDocument/2006/relationships" r:embed="rId25"/>
            <a:stretch>
              <a:fillRect/>
            </a:stretch>
          </xdr:blipFill>
          <xdr:spPr>
            <a:xfrm>
              <a:off x="4858854" y="4784371"/>
              <a:ext cx="1369871" cy="1826494"/>
            </a:xfrm>
            <a:prstGeom prst="rect">
              <a:avLst/>
            </a:prstGeom>
            <a:ln>
              <a:solidFill>
                <a:schemeClr val="tx1"/>
              </a:solidFill>
            </a:ln>
          </xdr:spPr>
        </xdr:pic>
      </xdr:grpSp>
      <xdr:sp macro="" textlink="">
        <xdr:nvSpPr>
          <xdr:cNvPr id="23" name="TextBox 13">
            <a:extLst>
              <a:ext uri="{FF2B5EF4-FFF2-40B4-BE49-F238E27FC236}">
                <a16:creationId xmlns:a16="http://schemas.microsoft.com/office/drawing/2014/main" id="{B6F6CAE1-163F-4CFD-8F8D-1DBD62F5E1AC}"/>
              </a:ext>
            </a:extLst>
          </xdr:cNvPr>
          <xdr:cNvSpPr txBox="1"/>
        </xdr:nvSpPr>
        <xdr:spPr>
          <a:xfrm>
            <a:off x="1508760" y="59656980"/>
            <a:ext cx="892904" cy="36580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t>Wing A</a:t>
            </a:r>
            <a:endParaRPr lang="en-IN" sz="18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360238</xdr:colOff>
      <xdr:row>23</xdr:row>
      <xdr:rowOff>47119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381000"/>
          <a:ext cx="2809524" cy="4047619"/>
        </a:xfrm>
        <a:prstGeom prst="rect">
          <a:avLst/>
        </a:prstGeom>
      </xdr:spPr>
    </xdr:pic>
    <xdr:clientData/>
  </xdr:twoCellAnchor>
  <xdr:twoCellAnchor editAs="oneCell">
    <xdr:from>
      <xdr:col>4</xdr:col>
      <xdr:colOff>449036</xdr:colOff>
      <xdr:row>1</xdr:row>
      <xdr:rowOff>176893</xdr:rowOff>
    </xdr:from>
    <xdr:to>
      <xdr:col>9</xdr:col>
      <xdr:colOff>225524</xdr:colOff>
      <xdr:row>14</xdr:row>
      <xdr:rowOff>43250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898322" y="367393"/>
          <a:ext cx="2838095" cy="2342857"/>
        </a:xfrm>
        <a:prstGeom prst="rect">
          <a:avLst/>
        </a:prstGeom>
      </xdr:spPr>
    </xdr:pic>
    <xdr:clientData/>
  </xdr:twoCellAnchor>
  <xdr:twoCellAnchor editAs="oneCell">
    <xdr:from>
      <xdr:col>9</xdr:col>
      <xdr:colOff>381000</xdr:colOff>
      <xdr:row>1</xdr:row>
      <xdr:rowOff>163286</xdr:rowOff>
    </xdr:from>
    <xdr:to>
      <xdr:col>20</xdr:col>
      <xdr:colOff>150226</xdr:colOff>
      <xdr:row>13</xdr:row>
      <xdr:rowOff>77286</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891893" y="353786"/>
          <a:ext cx="6504762" cy="2200000"/>
        </a:xfrm>
        <a:prstGeom prst="rect">
          <a:avLst/>
        </a:prstGeom>
      </xdr:spPr>
    </xdr:pic>
    <xdr:clientData/>
  </xdr:twoCellAnchor>
  <xdr:twoCellAnchor editAs="oneCell">
    <xdr:from>
      <xdr:col>9</xdr:col>
      <xdr:colOff>244928</xdr:colOff>
      <xdr:row>14</xdr:row>
      <xdr:rowOff>54429</xdr:rowOff>
    </xdr:from>
    <xdr:to>
      <xdr:col>19</xdr:col>
      <xdr:colOff>483619</xdr:colOff>
      <xdr:row>25</xdr:row>
      <xdr:rowOff>25596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5755821" y="2721429"/>
          <a:ext cx="6361905" cy="2066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agicbricks.com/sethia-pride-kandivali-east-mumbai-pdpid-4d4235333334373035" TargetMode="External"/><Relationship Id="rId2" Type="http://schemas.openxmlformats.org/officeDocument/2006/relationships/hyperlink" Target="https://housing.com/in/buy/projects/page/282931-sethia-pride-wing-a-by-sethia-infrastructure-in-kandivali-east" TargetMode="External"/><Relationship Id="rId1" Type="http://schemas.openxmlformats.org/officeDocument/2006/relationships/hyperlink" Target="https://goo.gl/maps/TyZyTtxWWm2FoEMT8"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87"/>
  <sheetViews>
    <sheetView tabSelected="1" view="pageBreakPreview" topLeftCell="B281" zoomScale="145" zoomScaleNormal="100" zoomScaleSheetLayoutView="145" workbookViewId="0">
      <selection activeCell="H287" sqref="H287"/>
    </sheetView>
  </sheetViews>
  <sheetFormatPr defaultColWidth="9.109375" defaultRowHeight="15.6" x14ac:dyDescent="0.3"/>
  <cols>
    <col min="1" max="1" width="11.44140625" style="40" customWidth="1"/>
    <col min="2" max="2" width="12" style="40" customWidth="1"/>
    <col min="3" max="3" width="12.6640625" style="40" customWidth="1"/>
    <col min="4" max="4" width="14.109375" style="40" customWidth="1"/>
    <col min="5" max="7" width="11.6640625" style="40" customWidth="1"/>
    <col min="8" max="8" width="12.44140625" style="40" customWidth="1"/>
    <col min="9" max="9" width="17.44140625" style="21" customWidth="1"/>
    <col min="10" max="10" width="11.44140625" style="21" customWidth="1"/>
    <col min="11" max="11" width="10.5546875" style="21" bestFit="1" customWidth="1"/>
    <col min="12" max="12" width="12" style="21" customWidth="1"/>
    <col min="13" max="13" width="11.88671875" style="21" customWidth="1"/>
    <col min="14" max="14" width="12.5546875" style="21" customWidth="1"/>
    <col min="15" max="15" width="9.88671875" style="21" customWidth="1"/>
    <col min="16" max="16" width="11.6640625" style="21" customWidth="1"/>
    <col min="17"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8" ht="46.5" customHeight="1" x14ac:dyDescent="0.3">
      <c r="A1" s="139" t="s">
        <v>195</v>
      </c>
      <c r="B1" s="139"/>
      <c r="C1" s="139"/>
      <c r="D1" s="139"/>
      <c r="E1" s="139"/>
      <c r="F1" s="139"/>
      <c r="G1" s="139"/>
      <c r="H1" s="139"/>
    </row>
    <row r="2" spans="1:8" ht="16.5" customHeight="1" x14ac:dyDescent="0.3">
      <c r="A2" s="70" t="s">
        <v>0</v>
      </c>
      <c r="B2" s="70"/>
      <c r="C2" s="70"/>
      <c r="D2" s="70"/>
      <c r="E2" s="70"/>
      <c r="F2" s="70"/>
      <c r="G2" s="70"/>
      <c r="H2" s="70"/>
    </row>
    <row r="3" spans="1:8" x14ac:dyDescent="0.3">
      <c r="A3" s="86" t="s">
        <v>1</v>
      </c>
      <c r="B3" s="86"/>
      <c r="C3" s="86"/>
      <c r="D3" s="86"/>
      <c r="E3" s="86" t="str">
        <f ca="1">TEXT(TODAY(),"DD/MM/YYYY")</f>
        <v>20/08/2025</v>
      </c>
      <c r="F3" s="86"/>
      <c r="G3" s="86"/>
      <c r="H3" s="86"/>
    </row>
    <row r="4" spans="1:8" x14ac:dyDescent="0.3">
      <c r="A4" s="86" t="s">
        <v>2</v>
      </c>
      <c r="B4" s="86"/>
      <c r="C4" s="86"/>
      <c r="D4" s="86"/>
      <c r="E4" s="86" t="s">
        <v>165</v>
      </c>
      <c r="F4" s="86"/>
      <c r="G4" s="86"/>
      <c r="H4" s="86"/>
    </row>
    <row r="5" spans="1:8" x14ac:dyDescent="0.3">
      <c r="A5" s="86" t="s">
        <v>3</v>
      </c>
      <c r="B5" s="86"/>
      <c r="C5" s="86"/>
      <c r="D5" s="86"/>
      <c r="E5" s="140">
        <v>45883</v>
      </c>
      <c r="F5" s="86"/>
      <c r="G5" s="86"/>
      <c r="H5" s="86"/>
    </row>
    <row r="6" spans="1:8" ht="16.5" customHeight="1" x14ac:dyDescent="0.3">
      <c r="A6" s="86" t="s">
        <v>4</v>
      </c>
      <c r="B6" s="86"/>
      <c r="C6" s="86"/>
      <c r="D6" s="86"/>
      <c r="E6" s="86" t="s">
        <v>166</v>
      </c>
      <c r="F6" s="86"/>
      <c r="G6" s="86"/>
      <c r="H6" s="86"/>
    </row>
    <row r="7" spans="1:8" ht="15" customHeight="1" x14ac:dyDescent="0.3">
      <c r="A7" s="86" t="s">
        <v>5</v>
      </c>
      <c r="B7" s="86"/>
      <c r="C7" s="86"/>
      <c r="D7" s="86"/>
      <c r="E7" s="86" t="str">
        <f>E6</f>
        <v>Sethia Infrastructure Pvt. Ltd</v>
      </c>
      <c r="F7" s="86"/>
      <c r="G7" s="86"/>
      <c r="H7" s="86"/>
    </row>
    <row r="8" spans="1:8" x14ac:dyDescent="0.3">
      <c r="A8" s="86" t="s">
        <v>6</v>
      </c>
      <c r="B8" s="86"/>
      <c r="C8" s="86"/>
      <c r="D8" s="86"/>
      <c r="E8" s="114" t="s">
        <v>196</v>
      </c>
      <c r="F8" s="115"/>
      <c r="G8" s="115"/>
      <c r="H8" s="116"/>
    </row>
    <row r="9" spans="1:8" x14ac:dyDescent="0.3">
      <c r="A9" s="86" t="s">
        <v>163</v>
      </c>
      <c r="B9" s="86"/>
      <c r="C9" s="86"/>
      <c r="D9" s="86"/>
      <c r="E9" s="86" t="s">
        <v>167</v>
      </c>
      <c r="F9" s="86"/>
      <c r="G9" s="86"/>
      <c r="H9" s="86"/>
    </row>
    <row r="10" spans="1:8" x14ac:dyDescent="0.3">
      <c r="A10" s="86" t="s">
        <v>164</v>
      </c>
      <c r="B10" s="86"/>
      <c r="C10" s="86"/>
      <c r="D10" s="86"/>
      <c r="E10" s="86" t="s">
        <v>251</v>
      </c>
      <c r="F10" s="86"/>
      <c r="G10" s="86"/>
      <c r="H10" s="86"/>
    </row>
    <row r="11" spans="1:8" x14ac:dyDescent="0.3">
      <c r="A11" s="86" t="s">
        <v>7</v>
      </c>
      <c r="B11" s="86"/>
      <c r="C11" s="86"/>
      <c r="D11" s="86"/>
      <c r="E11" s="86" t="s">
        <v>197</v>
      </c>
      <c r="F11" s="86"/>
      <c r="G11" s="86"/>
      <c r="H11" s="86"/>
    </row>
    <row r="12" spans="1:8" x14ac:dyDescent="0.3">
      <c r="A12" s="64" t="s">
        <v>8</v>
      </c>
      <c r="B12" s="64"/>
      <c r="C12" s="64"/>
      <c r="D12" s="64"/>
      <c r="E12" s="102" t="s">
        <v>186</v>
      </c>
      <c r="F12" s="102"/>
      <c r="G12" s="102"/>
      <c r="H12" s="102"/>
    </row>
    <row r="13" spans="1:8" x14ac:dyDescent="0.3">
      <c r="A13" s="133" t="s">
        <v>198</v>
      </c>
      <c r="B13" s="134"/>
      <c r="C13" s="134"/>
      <c r="D13" s="135"/>
      <c r="E13" s="129" t="s">
        <v>199</v>
      </c>
      <c r="F13" s="130"/>
      <c r="G13" s="131" t="s">
        <v>168</v>
      </c>
      <c r="H13" s="132"/>
    </row>
    <row r="14" spans="1:8" x14ac:dyDescent="0.3">
      <c r="A14" s="136"/>
      <c r="B14" s="137"/>
      <c r="C14" s="137"/>
      <c r="D14" s="138"/>
      <c r="E14" s="129" t="s">
        <v>200</v>
      </c>
      <c r="F14" s="130"/>
      <c r="G14" s="131" t="s">
        <v>201</v>
      </c>
      <c r="H14" s="132"/>
    </row>
    <row r="15" spans="1:8" ht="49.5" customHeight="1" x14ac:dyDescent="0.3">
      <c r="A15" s="97" t="s">
        <v>9</v>
      </c>
      <c r="B15" s="97"/>
      <c r="C15" s="97" t="str">
        <f>CONCATENATE((IF(OR(E8="",E8="NA"),"",E8)),", ",(IF(OR(A16="",A16="NA"),"",A16)),".",(IF(OR(C16="",C16="NA"),"",C16)),", near ",(IF(OR(C21="",C21="NA"),"",C21)),", ",(IF(OR(C18="",C18="NA"),"",C18)),", ",(IF(OR(C17="",C17="NA"),"",C17)),", ",(IF(OR(G18="",G18="NA"),"",G18)),", ",(IF(OR(C19="",C19="NA"),"",C19)),", ",(IF(OR(C20="",C20="NA"),"",C20)),", ",(IF(OR(G19="",G19="NA"),"",G19))," - ",(IF(OR(G20="",G20="NA"),"",G20)),".")</f>
        <v>Sethia Pride Wing A &amp; B, CTS No.161, 161/1 &amp; 161/2, near Sarovam Bar &amp; Restaurant, Western Express Highway, Narsi Pada, Akurli, Kandivli East, Borivali, Mumbai - 400101.</v>
      </c>
      <c r="D15" s="97"/>
      <c r="E15" s="97"/>
      <c r="F15" s="97"/>
      <c r="G15" s="97"/>
      <c r="H15" s="97"/>
    </row>
    <row r="16" spans="1:8" x14ac:dyDescent="0.3">
      <c r="A16" s="102" t="s">
        <v>169</v>
      </c>
      <c r="B16" s="102"/>
      <c r="C16" s="102" t="s">
        <v>187</v>
      </c>
      <c r="D16" s="102"/>
      <c r="E16" s="102"/>
      <c r="F16" s="102"/>
      <c r="G16" s="102"/>
      <c r="H16" s="102"/>
    </row>
    <row r="17" spans="1:8" ht="15.75" customHeight="1" x14ac:dyDescent="0.3">
      <c r="A17" s="102" t="s">
        <v>160</v>
      </c>
      <c r="B17" s="102"/>
      <c r="C17" s="102" t="s">
        <v>188</v>
      </c>
      <c r="D17" s="102"/>
      <c r="E17" s="102"/>
      <c r="F17" s="102"/>
      <c r="G17" s="102"/>
      <c r="H17" s="102"/>
    </row>
    <row r="18" spans="1:8" ht="15.75" customHeight="1" x14ac:dyDescent="0.3">
      <c r="A18" s="97" t="s">
        <v>10</v>
      </c>
      <c r="B18" s="97"/>
      <c r="C18" s="86" t="s">
        <v>174</v>
      </c>
      <c r="D18" s="86"/>
      <c r="E18" s="97" t="s">
        <v>71</v>
      </c>
      <c r="F18" s="97"/>
      <c r="G18" s="102" t="s">
        <v>171</v>
      </c>
      <c r="H18" s="102"/>
    </row>
    <row r="19" spans="1:8" x14ac:dyDescent="0.3">
      <c r="A19" s="64" t="s">
        <v>12</v>
      </c>
      <c r="B19" s="64"/>
      <c r="C19" s="102" t="s">
        <v>242</v>
      </c>
      <c r="D19" s="102"/>
      <c r="E19" s="97" t="s">
        <v>11</v>
      </c>
      <c r="F19" s="97"/>
      <c r="G19" s="128" t="s">
        <v>170</v>
      </c>
      <c r="H19" s="128"/>
    </row>
    <row r="20" spans="1:8" x14ac:dyDescent="0.3">
      <c r="A20" s="64" t="s">
        <v>72</v>
      </c>
      <c r="B20" s="64"/>
      <c r="C20" s="102" t="s">
        <v>172</v>
      </c>
      <c r="D20" s="102"/>
      <c r="E20" s="97" t="s">
        <v>13</v>
      </c>
      <c r="F20" s="97"/>
      <c r="G20" s="102">
        <v>400101</v>
      </c>
      <c r="H20" s="102"/>
    </row>
    <row r="21" spans="1:8" ht="32.25" customHeight="1" x14ac:dyDescent="0.3">
      <c r="A21" s="64" t="s">
        <v>119</v>
      </c>
      <c r="B21" s="64"/>
      <c r="C21" s="102" t="s">
        <v>177</v>
      </c>
      <c r="D21" s="102"/>
      <c r="E21" s="97" t="s">
        <v>14</v>
      </c>
      <c r="F21" s="97"/>
      <c r="G21" s="102" t="s">
        <v>173</v>
      </c>
      <c r="H21" s="102"/>
    </row>
    <row r="22" spans="1:8" ht="15" customHeight="1" x14ac:dyDescent="0.3">
      <c r="A22" s="97" t="s">
        <v>74</v>
      </c>
      <c r="B22" s="97"/>
      <c r="C22" s="97"/>
      <c r="D22" s="97"/>
      <c r="E22" s="86" t="s">
        <v>15</v>
      </c>
      <c r="F22" s="86"/>
      <c r="G22" s="86"/>
      <c r="H22" s="86"/>
    </row>
    <row r="23" spans="1:8" ht="18.75" customHeight="1" x14ac:dyDescent="0.3">
      <c r="A23" s="97"/>
      <c r="B23" s="97"/>
      <c r="C23" s="97"/>
      <c r="D23" s="97"/>
      <c r="E23" s="86"/>
      <c r="F23" s="86"/>
      <c r="G23" s="86"/>
      <c r="H23" s="86"/>
    </row>
    <row r="24" spans="1:8" ht="15" customHeight="1" x14ac:dyDescent="0.3">
      <c r="A24" s="97" t="s">
        <v>16</v>
      </c>
      <c r="B24" s="97"/>
      <c r="C24" s="97"/>
      <c r="D24" s="97"/>
      <c r="E24" s="102" t="s">
        <v>17</v>
      </c>
      <c r="F24" s="102"/>
      <c r="G24" s="102"/>
      <c r="H24" s="102"/>
    </row>
    <row r="25" spans="1:8" ht="15" customHeight="1" x14ac:dyDescent="0.3">
      <c r="A25" s="64" t="s">
        <v>18</v>
      </c>
      <c r="B25" s="64"/>
      <c r="C25" s="64"/>
      <c r="D25" s="64"/>
      <c r="E25" s="102" t="str">
        <f>IF(AND(G19="Mumbai"),"Upper Class","Middle Class")</f>
        <v>Upper Class</v>
      </c>
      <c r="F25" s="102"/>
      <c r="G25" s="102"/>
      <c r="H25" s="102"/>
    </row>
    <row r="26" spans="1:8" x14ac:dyDescent="0.3">
      <c r="A26" s="64" t="s">
        <v>19</v>
      </c>
      <c r="B26" s="64"/>
      <c r="C26" s="64"/>
      <c r="D26" s="64"/>
      <c r="E26" s="102" t="s">
        <v>20</v>
      </c>
      <c r="F26" s="102"/>
      <c r="G26" s="102"/>
      <c r="H26" s="102"/>
    </row>
    <row r="27" spans="1:8" ht="15.75" customHeight="1" x14ac:dyDescent="0.3">
      <c r="A27" s="64" t="s">
        <v>21</v>
      </c>
      <c r="B27" s="64"/>
      <c r="C27" s="64"/>
      <c r="D27" s="64"/>
      <c r="E27" s="102" t="str">
        <f>IF(AND(G19="Mumbai"),"Developed","Developing")</f>
        <v>Developed</v>
      </c>
      <c r="F27" s="102"/>
      <c r="G27" s="102"/>
      <c r="H27" s="102"/>
    </row>
    <row r="28" spans="1:8" x14ac:dyDescent="0.3">
      <c r="A28" s="64" t="s">
        <v>22</v>
      </c>
      <c r="B28" s="64"/>
      <c r="C28" s="64"/>
      <c r="D28" s="64"/>
      <c r="E28" s="102" t="s">
        <v>23</v>
      </c>
      <c r="F28" s="102"/>
      <c r="G28" s="102"/>
      <c r="H28" s="102"/>
    </row>
    <row r="29" spans="1:8" ht="15.75" customHeight="1" x14ac:dyDescent="0.3">
      <c r="A29" s="64" t="s">
        <v>79</v>
      </c>
      <c r="B29" s="64"/>
      <c r="C29" s="64"/>
      <c r="D29" s="64"/>
      <c r="E29" s="102" t="s">
        <v>80</v>
      </c>
      <c r="F29" s="102"/>
      <c r="G29" s="102"/>
      <c r="H29" s="102"/>
    </row>
    <row r="30" spans="1:8" ht="15" customHeight="1" x14ac:dyDescent="0.3">
      <c r="A30" s="64" t="s">
        <v>31</v>
      </c>
      <c r="B30" s="64"/>
      <c r="C30" s="64"/>
      <c r="D30" s="64"/>
      <c r="E30" s="102" t="str">
        <f>IF(AND(ISNUMBER(SEARCH("Flat",D58)),ISNUMBER(SEARCH("Shop",D58)),ISNUMBER(SEARCH("Office",D58))),"Residential + Commercial",IF(AND(ISNUMBER(SEARCH("Flat",D58)),ISNUMBER(SEARCH("Shop",D58))),"Residential + Commercial",IF(AND(ISNUMBER(SEARCH("Flat",D58)),ISNUMBER(SEARCH("Office",D58))),"Residential + Commercial",IF(AND(ISNUMBER(SEARCH("Shop",D58)),ISNUMBER(SEARCH("Office",D58))),"Commercial",IF(ISNUMBER(SEARCH("Shop",D58)),"Commercial",IF(ISNUMBER(SEARCH("Office",D58)),"Commercial",IF(ISNUMBER(SEARCH("Flat",D58)),"Residential")))))))</f>
        <v>Residential</v>
      </c>
      <c r="F30" s="102"/>
      <c r="G30" s="102"/>
      <c r="H30" s="102"/>
    </row>
    <row r="31" spans="1:8" ht="15.75" customHeight="1" x14ac:dyDescent="0.3">
      <c r="A31" s="64" t="s">
        <v>90</v>
      </c>
      <c r="B31" s="64"/>
      <c r="C31" s="64"/>
      <c r="D31" s="64"/>
      <c r="E31" s="102" t="s">
        <v>32</v>
      </c>
      <c r="F31" s="102"/>
      <c r="G31" s="102"/>
      <c r="H31" s="102"/>
    </row>
    <row r="32" spans="1:8" s="22" customFormat="1" x14ac:dyDescent="0.3">
      <c r="A32" s="127" t="s">
        <v>91</v>
      </c>
      <c r="B32" s="127"/>
      <c r="C32" s="126" t="s">
        <v>202</v>
      </c>
      <c r="D32" s="126"/>
      <c r="E32" s="126"/>
      <c r="F32" s="126" t="s">
        <v>29</v>
      </c>
      <c r="G32" s="126"/>
      <c r="H32" s="126"/>
    </row>
    <row r="33" spans="1:9" s="22" customFormat="1" x14ac:dyDescent="0.3">
      <c r="A33" s="107" t="s">
        <v>24</v>
      </c>
      <c r="B33" s="107" t="s">
        <v>28</v>
      </c>
      <c r="C33" s="108" t="s">
        <v>204</v>
      </c>
      <c r="D33" s="108"/>
      <c r="E33" s="108"/>
      <c r="F33" s="108" t="s">
        <v>178</v>
      </c>
      <c r="G33" s="108"/>
      <c r="H33" s="108"/>
    </row>
    <row r="34" spans="1:9" x14ac:dyDescent="0.3">
      <c r="A34" s="107" t="s">
        <v>25</v>
      </c>
      <c r="B34" s="107" t="s">
        <v>28</v>
      </c>
      <c r="C34" s="108" t="s">
        <v>207</v>
      </c>
      <c r="D34" s="108"/>
      <c r="E34" s="108"/>
      <c r="F34" s="108" t="s">
        <v>206</v>
      </c>
      <c r="G34" s="108"/>
      <c r="H34" s="108"/>
    </row>
    <row r="35" spans="1:9" s="22" customFormat="1" x14ac:dyDescent="0.3">
      <c r="A35" s="107" t="s">
        <v>27</v>
      </c>
      <c r="B35" s="107" t="s">
        <v>28</v>
      </c>
      <c r="C35" s="108" t="s">
        <v>204</v>
      </c>
      <c r="D35" s="108"/>
      <c r="E35" s="108"/>
      <c r="F35" s="108" t="s">
        <v>235</v>
      </c>
      <c r="G35" s="108"/>
      <c r="H35" s="108"/>
    </row>
    <row r="36" spans="1:9" x14ac:dyDescent="0.3">
      <c r="A36" s="107" t="s">
        <v>26</v>
      </c>
      <c r="B36" s="107" t="s">
        <v>28</v>
      </c>
      <c r="C36" s="108" t="s">
        <v>205</v>
      </c>
      <c r="D36" s="108"/>
      <c r="E36" s="108"/>
      <c r="F36" s="108" t="s">
        <v>205</v>
      </c>
      <c r="G36" s="108"/>
      <c r="H36" s="108"/>
    </row>
    <row r="37" spans="1:9" x14ac:dyDescent="0.3">
      <c r="A37" s="64" t="s">
        <v>30</v>
      </c>
      <c r="B37" s="64"/>
      <c r="C37" s="64"/>
      <c r="D37" s="64"/>
      <c r="E37" s="64"/>
      <c r="F37" s="64"/>
      <c r="G37" s="64"/>
      <c r="H37" s="64"/>
    </row>
    <row r="38" spans="1:9" ht="15.75" customHeight="1" x14ac:dyDescent="0.3">
      <c r="A38" s="64" t="s">
        <v>162</v>
      </c>
      <c r="B38" s="64"/>
      <c r="C38" s="100" t="s">
        <v>203</v>
      </c>
      <c r="D38" s="100"/>
      <c r="E38" s="100"/>
      <c r="F38" s="100"/>
      <c r="G38" s="100"/>
      <c r="H38" s="100"/>
    </row>
    <row r="39" spans="1:9" x14ac:dyDescent="0.3">
      <c r="A39" s="64" t="s">
        <v>159</v>
      </c>
      <c r="B39" s="64"/>
      <c r="C39" s="111" t="s">
        <v>179</v>
      </c>
      <c r="D39" s="102"/>
      <c r="E39" s="102"/>
      <c r="F39" s="102"/>
      <c r="G39" s="102"/>
      <c r="H39" s="102"/>
    </row>
    <row r="40" spans="1:9" x14ac:dyDescent="0.3">
      <c r="A40" s="110" t="s">
        <v>33</v>
      </c>
      <c r="B40" s="110"/>
      <c r="C40" s="110"/>
      <c r="D40" s="110"/>
      <c r="E40" s="110"/>
      <c r="F40" s="110"/>
      <c r="G40" s="110"/>
      <c r="H40" s="110"/>
    </row>
    <row r="41" spans="1:9" x14ac:dyDescent="0.3">
      <c r="A41" s="64" t="s">
        <v>34</v>
      </c>
      <c r="B41" s="64"/>
      <c r="C41" s="64"/>
      <c r="D41" s="64"/>
      <c r="E41" s="109">
        <v>9443.02</v>
      </c>
      <c r="F41" s="109"/>
      <c r="G41" s="109"/>
      <c r="H41" s="109"/>
      <c r="I41" s="22"/>
    </row>
    <row r="42" spans="1:9" x14ac:dyDescent="0.3">
      <c r="A42" s="64" t="s">
        <v>35</v>
      </c>
      <c r="B42" s="64"/>
      <c r="C42" s="64"/>
      <c r="D42" s="64"/>
      <c r="E42" s="84">
        <v>1</v>
      </c>
      <c r="F42" s="84"/>
      <c r="G42" s="84"/>
      <c r="H42" s="84"/>
    </row>
    <row r="43" spans="1:9" x14ac:dyDescent="0.3">
      <c r="A43" s="64" t="s">
        <v>36</v>
      </c>
      <c r="B43" s="64"/>
      <c r="C43" s="64"/>
      <c r="D43" s="64"/>
      <c r="E43" s="84">
        <f>E45/E41-E42</f>
        <v>1.6611380681180385</v>
      </c>
      <c r="F43" s="84"/>
      <c r="G43" s="84"/>
      <c r="H43" s="84"/>
    </row>
    <row r="44" spans="1:9" x14ac:dyDescent="0.3">
      <c r="A44" s="64" t="s">
        <v>37</v>
      </c>
      <c r="B44" s="64"/>
      <c r="C44" s="64"/>
      <c r="D44" s="64"/>
      <c r="E44" s="84">
        <f>E42+E43</f>
        <v>2.6611380681180385</v>
      </c>
      <c r="F44" s="84"/>
      <c r="G44" s="84"/>
      <c r="H44" s="84"/>
    </row>
    <row r="45" spans="1:9" x14ac:dyDescent="0.3">
      <c r="A45" s="64" t="s">
        <v>89</v>
      </c>
      <c r="B45" s="64"/>
      <c r="C45" s="64"/>
      <c r="D45" s="64"/>
      <c r="E45" s="85">
        <v>25129.18</v>
      </c>
      <c r="F45" s="85"/>
      <c r="G45" s="85"/>
      <c r="H45" s="85"/>
    </row>
    <row r="46" spans="1:9" x14ac:dyDescent="0.3">
      <c r="A46" s="86" t="s">
        <v>38</v>
      </c>
      <c r="B46" s="86"/>
      <c r="C46" s="86"/>
      <c r="D46" s="86"/>
      <c r="E46" s="86" t="s">
        <v>241</v>
      </c>
      <c r="F46" s="86"/>
      <c r="G46" s="86"/>
      <c r="H46" s="86"/>
    </row>
    <row r="47" spans="1:9" x14ac:dyDescent="0.3">
      <c r="A47" s="100" t="s">
        <v>39</v>
      </c>
      <c r="B47" s="100"/>
      <c r="C47" s="100"/>
      <c r="D47" s="100"/>
      <c r="E47" s="100"/>
      <c r="F47" s="100"/>
      <c r="G47" s="100"/>
      <c r="H47" s="100"/>
    </row>
    <row r="48" spans="1:9" ht="33.75" customHeight="1" x14ac:dyDescent="0.3">
      <c r="A48" s="112" t="s">
        <v>147</v>
      </c>
      <c r="B48" s="113"/>
      <c r="C48" s="114" t="s">
        <v>175</v>
      </c>
      <c r="D48" s="115"/>
      <c r="E48" s="115"/>
      <c r="F48" s="115"/>
      <c r="G48" s="115"/>
      <c r="H48" s="116"/>
    </row>
    <row r="49" spans="1:14" x14ac:dyDescent="0.3">
      <c r="A49" s="112" t="s">
        <v>40</v>
      </c>
      <c r="B49" s="113"/>
      <c r="C49" s="112" t="s">
        <v>176</v>
      </c>
      <c r="D49" s="178"/>
      <c r="E49" s="113"/>
      <c r="F49" s="18" t="s">
        <v>41</v>
      </c>
      <c r="G49" s="121">
        <v>45384</v>
      </c>
      <c r="H49" s="113"/>
    </row>
    <row r="50" spans="1:14" x14ac:dyDescent="0.3">
      <c r="A50" s="112" t="s">
        <v>42</v>
      </c>
      <c r="B50" s="113"/>
      <c r="C50" s="112" t="str">
        <f>C49</f>
        <v>R-S/PVT/0083/20201215/AP/S-2</v>
      </c>
      <c r="D50" s="178"/>
      <c r="E50" s="113"/>
      <c r="F50" s="18" t="s">
        <v>41</v>
      </c>
      <c r="G50" s="121">
        <v>45384</v>
      </c>
      <c r="H50" s="113"/>
    </row>
    <row r="51" spans="1:14" s="23" customFormat="1" x14ac:dyDescent="0.3">
      <c r="A51" s="122" t="s">
        <v>151</v>
      </c>
      <c r="B51" s="123"/>
      <c r="C51" s="112" t="s">
        <v>176</v>
      </c>
      <c r="D51" s="178"/>
      <c r="E51" s="113"/>
      <c r="F51" s="18" t="s">
        <v>41</v>
      </c>
      <c r="G51" s="121">
        <v>45216</v>
      </c>
      <c r="H51" s="113"/>
    </row>
    <row r="52" spans="1:14" s="23" customFormat="1" ht="58.5" customHeight="1" x14ac:dyDescent="0.3">
      <c r="A52" s="124"/>
      <c r="B52" s="125"/>
      <c r="C52" s="112" t="s">
        <v>249</v>
      </c>
      <c r="D52" s="178"/>
      <c r="E52" s="178"/>
      <c r="F52" s="178"/>
      <c r="G52" s="178"/>
      <c r="H52" s="113"/>
    </row>
    <row r="53" spans="1:14" s="23" customFormat="1" x14ac:dyDescent="0.3">
      <c r="A53" s="122" t="s">
        <v>151</v>
      </c>
      <c r="B53" s="123"/>
      <c r="C53" s="112" t="s">
        <v>176</v>
      </c>
      <c r="D53" s="178"/>
      <c r="E53" s="113"/>
      <c r="F53" s="18" t="s">
        <v>41</v>
      </c>
      <c r="G53" s="121">
        <v>45400</v>
      </c>
      <c r="H53" s="113"/>
    </row>
    <row r="54" spans="1:14" s="23" customFormat="1" ht="52.5" customHeight="1" x14ac:dyDescent="0.3">
      <c r="A54" s="124"/>
      <c r="B54" s="125"/>
      <c r="C54" s="129" t="s">
        <v>250</v>
      </c>
      <c r="D54" s="187"/>
      <c r="E54" s="187"/>
      <c r="F54" s="187"/>
      <c r="G54" s="187"/>
      <c r="H54" s="130"/>
    </row>
    <row r="55" spans="1:14" x14ac:dyDescent="0.3">
      <c r="A55" s="179" t="s">
        <v>43</v>
      </c>
      <c r="B55" s="180"/>
      <c r="C55" s="179" t="s">
        <v>103</v>
      </c>
      <c r="D55" s="181"/>
      <c r="E55" s="180"/>
      <c r="F55" s="46" t="s">
        <v>41</v>
      </c>
      <c r="G55" s="182" t="s">
        <v>28</v>
      </c>
      <c r="H55" s="183"/>
    </row>
    <row r="56" spans="1:14" x14ac:dyDescent="0.3">
      <c r="A56" s="149" t="s">
        <v>45</v>
      </c>
      <c r="B56" s="149"/>
      <c r="C56" s="149"/>
      <c r="D56" s="149"/>
      <c r="E56" s="149"/>
      <c r="F56" s="149"/>
      <c r="G56" s="149"/>
      <c r="H56" s="149"/>
    </row>
    <row r="57" spans="1:14" ht="32.25" customHeight="1" x14ac:dyDescent="0.3">
      <c r="A57" s="97" t="s">
        <v>243</v>
      </c>
      <c r="B57" s="97"/>
      <c r="C57" s="97"/>
      <c r="D57" s="64">
        <f>14287.96+9368.52</f>
        <v>23656.48</v>
      </c>
      <c r="E57" s="64"/>
      <c r="F57" s="64"/>
      <c r="G57" s="64"/>
      <c r="H57" s="64"/>
    </row>
    <row r="58" spans="1:14" x14ac:dyDescent="0.3">
      <c r="A58" s="102" t="s">
        <v>46</v>
      </c>
      <c r="B58" s="86"/>
      <c r="C58" s="86"/>
      <c r="D58" s="86" t="s">
        <v>231</v>
      </c>
      <c r="E58" s="86"/>
      <c r="F58" s="86"/>
      <c r="G58" s="86"/>
      <c r="H58" s="86"/>
      <c r="I58" s="24"/>
    </row>
    <row r="59" spans="1:14" x14ac:dyDescent="0.3">
      <c r="A59" s="118" t="s">
        <v>47</v>
      </c>
      <c r="B59" s="119"/>
      <c r="C59" s="120"/>
      <c r="D59" s="104" t="s">
        <v>238</v>
      </c>
      <c r="E59" s="117"/>
      <c r="F59" s="117"/>
      <c r="G59" s="117"/>
      <c r="H59" s="117"/>
    </row>
    <row r="60" spans="1:14" ht="15.75" customHeight="1" x14ac:dyDescent="0.3">
      <c r="A60" s="118" t="s">
        <v>87</v>
      </c>
      <c r="B60" s="119"/>
      <c r="C60" s="120"/>
      <c r="D60" s="104" t="s">
        <v>236</v>
      </c>
      <c r="E60" s="117"/>
      <c r="F60" s="117"/>
      <c r="G60" s="117"/>
      <c r="H60" s="117"/>
    </row>
    <row r="61" spans="1:14" ht="15.75" customHeight="1" x14ac:dyDescent="0.3">
      <c r="A61" s="184"/>
      <c r="B61" s="185"/>
      <c r="C61" s="186"/>
      <c r="D61" s="104" t="s">
        <v>237</v>
      </c>
      <c r="E61" s="117"/>
      <c r="F61" s="117"/>
      <c r="G61" s="117"/>
      <c r="H61" s="117"/>
    </row>
    <row r="62" spans="1:14" ht="33" customHeight="1" x14ac:dyDescent="0.3">
      <c r="A62" s="64" t="s">
        <v>44</v>
      </c>
      <c r="B62" s="64"/>
      <c r="C62" s="64"/>
      <c r="D62" s="97" t="s">
        <v>253</v>
      </c>
      <c r="E62" s="97"/>
      <c r="F62" s="97"/>
      <c r="G62" s="97"/>
      <c r="H62" s="97"/>
      <c r="J62" s="25"/>
      <c r="K62" s="24"/>
      <c r="N62" s="24"/>
    </row>
    <row r="63" spans="1:14" ht="15.75" customHeight="1" x14ac:dyDescent="0.3">
      <c r="A63" s="64" t="s">
        <v>85</v>
      </c>
      <c r="B63" s="64"/>
      <c r="C63" s="64"/>
      <c r="D63" s="83" t="str">
        <f>(IF(G55="NA","60 Years After Completion",IF(G55&lt;&gt;"NA",""&amp;60-ROUNDDOWN((E3-G55)/360,0)&amp;" Years"," ")))</f>
        <v>60 Years After Completion</v>
      </c>
      <c r="E63" s="83"/>
      <c r="F63" s="83"/>
      <c r="G63" s="83"/>
      <c r="H63" s="83"/>
      <c r="N63" s="24"/>
    </row>
    <row r="64" spans="1:14" ht="15.75" customHeight="1" x14ac:dyDescent="0.3">
      <c r="A64" s="64" t="s">
        <v>86</v>
      </c>
      <c r="B64" s="64"/>
      <c r="C64" s="64"/>
      <c r="D64" s="97" t="s">
        <v>23</v>
      </c>
      <c r="E64" s="97"/>
      <c r="F64" s="97"/>
      <c r="G64" s="97"/>
      <c r="H64" s="97"/>
      <c r="J64" s="26"/>
      <c r="K64" s="26"/>
    </row>
    <row r="65" spans="1:14" ht="31.5" customHeight="1" x14ac:dyDescent="0.3">
      <c r="A65" s="64" t="s">
        <v>73</v>
      </c>
      <c r="B65" s="64"/>
      <c r="C65" s="64"/>
      <c r="D65" s="102" t="s">
        <v>183</v>
      </c>
      <c r="E65" s="97"/>
      <c r="F65" s="97"/>
      <c r="G65" s="97"/>
      <c r="H65" s="97"/>
    </row>
    <row r="66" spans="1:14" x14ac:dyDescent="0.3">
      <c r="A66" s="97" t="s">
        <v>145</v>
      </c>
      <c r="B66" s="97"/>
      <c r="C66" s="97"/>
      <c r="D66" s="97" t="s">
        <v>28</v>
      </c>
      <c r="E66" s="97"/>
      <c r="F66" s="97"/>
      <c r="G66" s="97"/>
      <c r="H66" s="97"/>
      <c r="I66" s="27"/>
      <c r="J66" s="27"/>
      <c r="K66" s="27"/>
      <c r="L66" s="27"/>
      <c r="M66" s="27"/>
      <c r="N66" s="27"/>
    </row>
    <row r="67" spans="1:14" ht="15.75" customHeight="1" x14ac:dyDescent="0.3">
      <c r="A67" s="105" t="s">
        <v>84</v>
      </c>
      <c r="B67" s="105"/>
      <c r="C67" s="105"/>
      <c r="D67" s="104" t="str">
        <f ca="1">(IF(G73&gt;95%,"Nothing",IF(G73&gt;0%,"Cement, Aggregate, Steel, etc",IF(G73=0%,"Work not yet Started"))))</f>
        <v>Cement, Aggregate, Steel, etc</v>
      </c>
      <c r="E67" s="104"/>
      <c r="F67" s="104"/>
      <c r="G67" s="104"/>
      <c r="H67" s="104"/>
      <c r="J67" s="26"/>
    </row>
    <row r="68" spans="1:14" ht="33.75" customHeight="1" thickBot="1" x14ac:dyDescent="0.35">
      <c r="A68" s="103" t="s">
        <v>116</v>
      </c>
      <c r="B68" s="103"/>
      <c r="C68" s="103"/>
      <c r="D68" s="104" t="str">
        <f ca="1">(IF(D67="Nothing","Yes",IF(D67="Cement, Aggregate, Steel, etc","Under Construction",IF(D67="Work not yet Started","Work not yet Started"))))</f>
        <v>Under Construction</v>
      </c>
      <c r="E68" s="104"/>
      <c r="F68" s="104" t="str">
        <f ca="1">(IF(D67="Nothing","Yes",IF(D67="Cement, Aggregate, Steel, etc","Under Construction",IF(D67="Work not yet Started","Work not yet Started"))))</f>
        <v>Under Construction</v>
      </c>
      <c r="G68" s="104"/>
      <c r="H68" s="104"/>
    </row>
    <row r="69" spans="1:14" ht="15.75" customHeight="1" x14ac:dyDescent="0.3">
      <c r="A69" s="155" t="s">
        <v>137</v>
      </c>
      <c r="B69" s="156"/>
      <c r="C69" s="157" t="str">
        <f>D60</f>
        <v>Sale Building No.2 (Wing A) = 1B + Gr + 1st to 40th Floor</v>
      </c>
      <c r="D69" s="158"/>
      <c r="E69" s="158"/>
      <c r="F69" s="158"/>
      <c r="G69" s="158"/>
      <c r="H69" s="159"/>
      <c r="I69" s="50" t="str">
        <f ca="1">IF(D82=100%,"All work Completed. Possession granted to the Building.",IF(D81=100%,"All work Completed, Waiting for OC",I70&amp;""&amp;I71&amp;""&amp;J70&amp;""&amp;J69&amp;" "&amp;J71))</f>
        <v>Excavation, Plinth Completed, RCC upto 22 Slab, Brickwork upto 21 Floor, Internal Plaster upto 19.95 Floor, External Plaster upto 17.85 Floor Completed</v>
      </c>
      <c r="J69" s="51" t="str">
        <f ca="1">(IF(C75=(D70+F70+H70),"",IF(C75&gt;0,", RCC upto "&amp;C75&amp;" Slab","")))&amp;(IF(C76=H70,"",IF(C76&gt;0,", Brickwork upto "&amp;C76&amp;" Floor","")))&amp;(IF(C77=H70,"",IF(C77&gt;0,", Internal Plaster upto "&amp;C77&amp;" Floor","")))&amp;(IF(C78=H70,"",IF(C78&gt;0,", External Plaster upto "&amp;C78&amp;" Floor","")))&amp;(IF(C79=H70,"",IF(C79&gt;0,", Flooring upto "&amp;C79&amp;" Floor","")))&amp;(IF(C80=H70,"",IF(C80&gt;0,", Painting upto "&amp;C80&amp;" Floor","")))&amp;(IF(C81=H70,"",IF(C81&gt;0,", Finishing upto "&amp;C81&amp;" Floor","")))&amp;(IF(C82=H70,"",IF(C82&gt;0,", Possession upto "&amp;C82&amp;" Floor","")))</f>
        <v>, RCC upto 22 Slab, Brickwork upto 21 Floor, Internal Plaster upto 19.95 Floor, External Plaster upto 17.85 Floor</v>
      </c>
    </row>
    <row r="70" spans="1:14" x14ac:dyDescent="0.3">
      <c r="A70" s="16" t="s">
        <v>139</v>
      </c>
      <c r="B70" s="48">
        <f>IF(AND(ISNUMBER(SEARCH("1B",C69))),1,IF(AND(ISNUMBER(SEARCH("2B",C69))),2,IF(AND(ISNUMBER(SEARCH("3B",C69))),3,IF(AND(ISNUMBER(SEARCH("4B",C69))),4,IF(ISNUMBER(SEARCH("5B",C69)),5,0)))))</f>
        <v>1</v>
      </c>
      <c r="C70" s="48" t="s">
        <v>70</v>
      </c>
      <c r="D70" s="48">
        <v>1</v>
      </c>
      <c r="E70" s="48" t="s">
        <v>69</v>
      </c>
      <c r="F70" s="48">
        <v>0</v>
      </c>
      <c r="G70" s="49" t="s">
        <v>78</v>
      </c>
      <c r="H70" s="17">
        <f ca="1">--TRIM(RIGHT(SUBSTITUTE(LEFT(C69,_xlfn.AGGREGATE(16,6,FIND({0,1,2,3,4,5,6,7,8,9},C69,ROW(INDIRECT("1:"&amp;LEN(C69)))),1))," ",REPT(" ",LEN(C69))),LEN(C69)))</f>
        <v>40</v>
      </c>
      <c r="I70" s="52" t="str">
        <f ca="1">IF(D73=100%,"Excavation","")&amp;IF(D74=100%,", Plinth","")&amp;IF(D75=100%,", RCC Slab","")&amp;IF(D76=100%,", Brickwork","")&amp;IF(D77=100%,", Internal Plaster","")&amp;IF(D78=100%,", External Plaster","")&amp;IF(D79=100%,", Flooring","")&amp;IF(D80=100%,", Painting","")&amp;IF(D81=100%,", Building common Amenities","")</f>
        <v>Excavation, Plinth</v>
      </c>
      <c r="J70" s="53" t="str">
        <f ca="1">(IF(C73=0,"Work not yet Started.",IF(D73=25%,"Piling work in process",IF(D73=50%,"Excavation work in process",IF(D73=100%,"","0")))))&amp;(IF(C74=0%,"",IF(C74=J75,", Footing work is process",IF(C74=J76,", Footing work Completed",IF(C74=J77,", 1st Basement Completed",IF(C74=J78,", 1st &amp; 2nd Basement Completed",IF(C74=J79,", 1st to 3rd Basement Completed",IF(C74=J80,", 1st to 4th Basement Completed",IF(C74=J81,", Plinth work is process",IF(C74=J82,"","0"))))))))))</f>
        <v/>
      </c>
    </row>
    <row r="71" spans="1:14" ht="34.799999999999997" customHeight="1" x14ac:dyDescent="0.3">
      <c r="A71" s="154" t="s">
        <v>88</v>
      </c>
      <c r="B71" s="110"/>
      <c r="C71" s="160" t="str">
        <f ca="1">I69</f>
        <v>Excavation, Plinth Completed, RCC upto 22 Slab, Brickwork upto 21 Floor, Internal Plaster upto 19.95 Floor, External Plaster upto 17.85 Floor Completed</v>
      </c>
      <c r="D71" s="160"/>
      <c r="E71" s="160"/>
      <c r="F71" s="160"/>
      <c r="G71" s="160"/>
      <c r="H71" s="161"/>
      <c r="I71" s="52" t="str">
        <f ca="1">IF(I70&lt;&gt;""," Completed","")</f>
        <v xml:space="preserve"> Completed</v>
      </c>
      <c r="J71" s="53" t="str">
        <f ca="1">IF(J69&lt;&gt;"","Completed","")</f>
        <v>Completed</v>
      </c>
    </row>
    <row r="72" spans="1:14" ht="15.75" customHeight="1" x14ac:dyDescent="0.3">
      <c r="A72" s="152" t="s">
        <v>48</v>
      </c>
      <c r="B72" s="153"/>
      <c r="C72" s="44" t="s">
        <v>136</v>
      </c>
      <c r="D72" s="44" t="s">
        <v>81</v>
      </c>
      <c r="E72" s="99" t="s">
        <v>83</v>
      </c>
      <c r="F72" s="99"/>
      <c r="G72" s="99" t="s">
        <v>82</v>
      </c>
      <c r="H72" s="106"/>
      <c r="I72" s="14" t="s">
        <v>138</v>
      </c>
      <c r="J72" s="28">
        <f ca="1">H70*25%</f>
        <v>10</v>
      </c>
    </row>
    <row r="73" spans="1:14" x14ac:dyDescent="0.3">
      <c r="A73" s="98" t="s">
        <v>125</v>
      </c>
      <c r="B73" s="99"/>
      <c r="C73" s="44">
        <f ca="1">J74</f>
        <v>40</v>
      </c>
      <c r="D73" s="19">
        <f ca="1">((100/H70)*C73)/100</f>
        <v>1</v>
      </c>
      <c r="E73" s="88">
        <f ca="1">(((C74/H70*10)+(40/(D70+F70+H70)*C75)+(7.5/(H70)*C76)+(7.5/(H70)*C77)+(10/H70*C78)+(10/H70*C79)+(5/H70*C80)+(5/H70*C81)+(5/H70*C82))/100)</f>
        <v>0.43604039634146341</v>
      </c>
      <c r="F73" s="89"/>
      <c r="G73" s="88">
        <f ca="1">((((C73/H70)*20)+((C74/H70)*25)+(30/(H70+F70+D70)*C75)+(5/H70*C76)+(5/H70*C77)+(5/H70*C78)+(5/H70*C79)+(0/H70*C80)+(0/H70*C81)+(5/H70*C82))/100)</f>
        <v>0.68447560975609756</v>
      </c>
      <c r="H73" s="94"/>
      <c r="I73" s="14" t="s">
        <v>98</v>
      </c>
      <c r="J73" s="29">
        <f ca="1">H70*50%</f>
        <v>20</v>
      </c>
    </row>
    <row r="74" spans="1:14" x14ac:dyDescent="0.3">
      <c r="A74" s="98" t="s">
        <v>49</v>
      </c>
      <c r="B74" s="99"/>
      <c r="C74" s="44">
        <f ca="1">J82</f>
        <v>40</v>
      </c>
      <c r="D74" s="19">
        <f ca="1">((100/H70)*C74)/100</f>
        <v>1</v>
      </c>
      <c r="E74" s="90"/>
      <c r="F74" s="91"/>
      <c r="G74" s="90"/>
      <c r="H74" s="95"/>
      <c r="I74" s="14" t="s">
        <v>99</v>
      </c>
      <c r="J74" s="29">
        <f ca="1">H70</f>
        <v>40</v>
      </c>
    </row>
    <row r="75" spans="1:14" ht="15.75" customHeight="1" x14ac:dyDescent="0.3">
      <c r="A75" s="98" t="s">
        <v>126</v>
      </c>
      <c r="B75" s="99"/>
      <c r="C75" s="44">
        <v>22</v>
      </c>
      <c r="D75" s="19">
        <f ca="1">((100/(D70+F70+H70))*C75)/100</f>
        <v>0.53658536585365857</v>
      </c>
      <c r="E75" s="90"/>
      <c r="F75" s="91"/>
      <c r="G75" s="90"/>
      <c r="H75" s="95"/>
      <c r="I75" s="14" t="s">
        <v>100</v>
      </c>
      <c r="J75" s="30">
        <f ca="1">(IF(B70&gt;1,(H70/(B70+2)),H70/4))</f>
        <v>10</v>
      </c>
    </row>
    <row r="76" spans="1:14" ht="15.75" customHeight="1" x14ac:dyDescent="0.3">
      <c r="A76" s="98" t="s">
        <v>133</v>
      </c>
      <c r="B76" s="99" t="s">
        <v>127</v>
      </c>
      <c r="C76" s="44">
        <f>C75-D70</f>
        <v>21</v>
      </c>
      <c r="D76" s="19">
        <f ca="1">((100/H70)*C76)/100</f>
        <v>0.52500000000000002</v>
      </c>
      <c r="E76" s="90"/>
      <c r="F76" s="91"/>
      <c r="G76" s="90"/>
      <c r="H76" s="95"/>
      <c r="I76" s="14" t="s">
        <v>101</v>
      </c>
      <c r="J76" s="30">
        <f ca="1">(IF(B70&gt;1,(H70/(B70+2)+J75),H70/4+J75))</f>
        <v>20</v>
      </c>
    </row>
    <row r="77" spans="1:14" ht="15.75" customHeight="1" x14ac:dyDescent="0.3">
      <c r="A77" s="98" t="s">
        <v>134</v>
      </c>
      <c r="B77" s="99" t="s">
        <v>127</v>
      </c>
      <c r="C77" s="60">
        <f>C76*0.95</f>
        <v>19.95</v>
      </c>
      <c r="D77" s="19">
        <f ca="1">((100/H70)*C77)/100</f>
        <v>0.49875000000000003</v>
      </c>
      <c r="E77" s="90"/>
      <c r="F77" s="91"/>
      <c r="G77" s="90"/>
      <c r="H77" s="95"/>
      <c r="I77" s="14" t="s">
        <v>143</v>
      </c>
      <c r="J77" s="30">
        <f>(IF(B70&gt;1,(H70/(B70+2)+J76),0))</f>
        <v>0</v>
      </c>
    </row>
    <row r="78" spans="1:14" ht="15" customHeight="1" x14ac:dyDescent="0.3">
      <c r="A78" s="98" t="s">
        <v>132</v>
      </c>
      <c r="B78" s="99" t="s">
        <v>129</v>
      </c>
      <c r="C78" s="60">
        <f>C76*0.85</f>
        <v>17.849999999999998</v>
      </c>
      <c r="D78" s="19">
        <f ca="1">((100/(H70))*C78)/100</f>
        <v>0.44624999999999992</v>
      </c>
      <c r="E78" s="90"/>
      <c r="F78" s="91"/>
      <c r="G78" s="90"/>
      <c r="H78" s="95"/>
      <c r="I78" s="14" t="s">
        <v>140</v>
      </c>
      <c r="J78" s="30">
        <f>(IF(B70&gt;2,(H70/(B70+2)+J77),0))</f>
        <v>0</v>
      </c>
    </row>
    <row r="79" spans="1:14" ht="15.75" customHeight="1" x14ac:dyDescent="0.3">
      <c r="A79" s="98" t="s">
        <v>128</v>
      </c>
      <c r="B79" s="99" t="s">
        <v>128</v>
      </c>
      <c r="C79" s="44">
        <v>0</v>
      </c>
      <c r="D79" s="19">
        <f ca="1">((100/H70)*C79)/100</f>
        <v>0</v>
      </c>
      <c r="E79" s="90"/>
      <c r="F79" s="91"/>
      <c r="G79" s="90"/>
      <c r="H79" s="95"/>
      <c r="I79" s="14" t="s">
        <v>141</v>
      </c>
      <c r="J79" s="31">
        <f>(IF(B70&gt;3,(H70/(B70+2)+J78),0))</f>
        <v>0</v>
      </c>
    </row>
    <row r="80" spans="1:14" ht="15.75" customHeight="1" x14ac:dyDescent="0.3">
      <c r="A80" s="98" t="s">
        <v>135</v>
      </c>
      <c r="B80" s="99"/>
      <c r="C80" s="44">
        <v>0</v>
      </c>
      <c r="D80" s="19">
        <f ca="1">((100/H70)*C80)/100</f>
        <v>0</v>
      </c>
      <c r="E80" s="90"/>
      <c r="F80" s="91"/>
      <c r="G80" s="90"/>
      <c r="H80" s="95"/>
      <c r="I80" s="14" t="s">
        <v>142</v>
      </c>
      <c r="J80" s="30">
        <f>(IF(B70&gt;4,(H70/(B70+2)+J79),0))</f>
        <v>0</v>
      </c>
    </row>
    <row r="81" spans="1:10" ht="15.75" customHeight="1" x14ac:dyDescent="0.3">
      <c r="A81" s="98" t="s">
        <v>130</v>
      </c>
      <c r="B81" s="99" t="s">
        <v>130</v>
      </c>
      <c r="C81" s="44">
        <v>0</v>
      </c>
      <c r="D81" s="19">
        <f ca="1">((100/(H70))*C81)/100</f>
        <v>0</v>
      </c>
      <c r="E81" s="90"/>
      <c r="F81" s="91"/>
      <c r="G81" s="90"/>
      <c r="H81" s="95"/>
      <c r="I81" s="14" t="s">
        <v>144</v>
      </c>
      <c r="J81" s="30">
        <f ca="1">(IF(B70=1,(H70/(B70+3)+J76),IF(B70=0,(H70/4+J76),IF(B70&gt;1,0))))</f>
        <v>30</v>
      </c>
    </row>
    <row r="82" spans="1:10" ht="16.2" thickBot="1" x14ac:dyDescent="0.35">
      <c r="A82" s="176" t="s">
        <v>131</v>
      </c>
      <c r="B82" s="177"/>
      <c r="C82" s="45">
        <v>0</v>
      </c>
      <c r="D82" s="20">
        <f ca="1">((100/(H70))*C82)/100</f>
        <v>0</v>
      </c>
      <c r="E82" s="92"/>
      <c r="F82" s="93"/>
      <c r="G82" s="92"/>
      <c r="H82" s="96"/>
      <c r="I82" s="15" t="s">
        <v>102</v>
      </c>
      <c r="J82" s="32">
        <f ca="1">(IF(B70&gt;1.5,(H70/(B70+2)+J76+MAX(0,J77-J76)+MAX(0,J78-J77)+MAX(0,J79-J78)+MAX(0,J80-J79)+MAX(0,J81-J80)),IF(B70=1,(H70/(B70+3)+J81),IF(B70=0,H70/4+J81))))</f>
        <v>40</v>
      </c>
    </row>
    <row r="83" spans="1:10" x14ac:dyDescent="0.3">
      <c r="A83" s="155" t="s">
        <v>137</v>
      </c>
      <c r="B83" s="156"/>
      <c r="C83" s="157" t="str">
        <f>D61</f>
        <v>Sale Building No.2 (Wing B) = 1B + Gr + 1st to 40th Floor</v>
      </c>
      <c r="D83" s="158"/>
      <c r="E83" s="158"/>
      <c r="F83" s="158"/>
      <c r="G83" s="158"/>
      <c r="H83" s="159"/>
      <c r="I83" s="50" t="str">
        <f ca="1">IF(D96=100%,"All work Completed. Possession granted to the Building.",IF(D95=100%,"All work Completed, Waiting for OC",I84&amp;""&amp;I85&amp;""&amp;J84&amp;""&amp;J83&amp;" "&amp;J85))</f>
        <v>Excavation, Plinth Completed, RCC upto 1 Slab Completed</v>
      </c>
      <c r="J83" s="51" t="str">
        <f ca="1">(IF(C89=(D84+F84+H84),"",IF(C89&gt;0,", RCC upto "&amp;C89&amp;" Slab","")))&amp;(IF(C90=H84,"",IF(C90&gt;0,", Brickwork upto "&amp;C90&amp;" Floor","")))&amp;(IF(C91=H84,"",IF(C91&gt;0,", Internal Plaster upto "&amp;C91&amp;" Floor","")))&amp;(IF(C92=H84,"",IF(C92&gt;0,", External Plaster upto "&amp;C92&amp;" Floor","")))&amp;(IF(C93=H84,"",IF(C93&gt;0,", Flooring upto "&amp;C93&amp;" Floor","")))&amp;(IF(C94=H84,"",IF(C94&gt;0,", Painting upto "&amp;C94&amp;" Floor","")))&amp;(IF(C95=H84,"",IF(C95&gt;0,", Finishing upto "&amp;C95&amp;" Floor","")))&amp;(IF(C96=H84,"",IF(C96&gt;0,", Possession upto "&amp;C96&amp;" Floor","")))</f>
        <v>, RCC upto 1 Slab</v>
      </c>
    </row>
    <row r="84" spans="1:10" x14ac:dyDescent="0.3">
      <c r="A84" s="16" t="s">
        <v>139</v>
      </c>
      <c r="B84" s="48">
        <f>IF(AND(ISNUMBER(SEARCH("1B",C83))),1,IF(AND(ISNUMBER(SEARCH("2B",C83))),2,IF(AND(ISNUMBER(SEARCH("3B",C83))),3,IF(AND(ISNUMBER(SEARCH("4B",C83))),4,IF(ISNUMBER(SEARCH("5B",C83)),5,0)))))</f>
        <v>1</v>
      </c>
      <c r="C84" s="48" t="s">
        <v>70</v>
      </c>
      <c r="D84" s="48">
        <v>1</v>
      </c>
      <c r="E84" s="48" t="s">
        <v>69</v>
      </c>
      <c r="F84" s="48">
        <v>0</v>
      </c>
      <c r="G84" s="49" t="s">
        <v>78</v>
      </c>
      <c r="H84" s="17">
        <f ca="1">--TRIM(RIGHT(SUBSTITUTE(LEFT(C83,_xlfn.AGGREGATE(16,6,FIND({0,1,2,3,4,5,6,7,8,9},C83,ROW(INDIRECT("1:"&amp;LEN(C83)))),1))," ",REPT(" ",LEN(C83))),LEN(C83)))</f>
        <v>40</v>
      </c>
      <c r="I84" s="52" t="str">
        <f ca="1">IF(D87=100%,"Excavation","")&amp;IF(D88=100%,", Plinth","")&amp;IF(D89=100%,", RCC Slab","")&amp;IF(D90=100%,", Brickwork","")&amp;IF(D91=100%,", Internal Plaster","")&amp;IF(D92=100%,", External Plaster","")&amp;IF(D93=100%,", Flooring","")&amp;IF(D94=100%,", Painting","")&amp;IF(D95=100%,", Building common Amenities","")</f>
        <v>Excavation, Plinth</v>
      </c>
      <c r="J84" s="53" t="str">
        <f ca="1">(IF(C87=0,"Work not yet Started.",IF(D87=25%,"Piling work in process",IF(D87=50%,"Excavation work in process",IF(D87=100%,"","0")))))&amp;(IF(C88=0%,"",IF(C88=J89,", Footing work is process",IF(C88=J90,", Footing work Completed",IF(C88=J91,", 1st Basement Completed",IF(C88=J92,", 1st &amp; 2nd Basement Completed",IF(C88=J93,", 1st to 3rd Basement Completed",IF(C88=J94,", 1st to 4th Basement Completed",IF(C88=J95,", Plinth work is process",IF(C88=J96,"","0"))))))))))</f>
        <v/>
      </c>
    </row>
    <row r="85" spans="1:10" x14ac:dyDescent="0.3">
      <c r="A85" s="154" t="s">
        <v>88</v>
      </c>
      <c r="B85" s="110"/>
      <c r="C85" s="160" t="str">
        <f ca="1">I83</f>
        <v>Excavation, Plinth Completed, RCC upto 1 Slab Completed</v>
      </c>
      <c r="D85" s="160"/>
      <c r="E85" s="160"/>
      <c r="F85" s="160"/>
      <c r="G85" s="160"/>
      <c r="H85" s="161"/>
      <c r="I85" s="52" t="str">
        <f ca="1">IF(I84&lt;&gt;""," Completed","")</f>
        <v xml:space="preserve"> Completed</v>
      </c>
      <c r="J85" s="53" t="str">
        <f ca="1">IF(J83&lt;&gt;"","Completed","")</f>
        <v>Completed</v>
      </c>
    </row>
    <row r="86" spans="1:10" x14ac:dyDescent="0.3">
      <c r="A86" s="98" t="s">
        <v>48</v>
      </c>
      <c r="B86" s="99"/>
      <c r="C86" s="44" t="s">
        <v>136</v>
      </c>
      <c r="D86" s="44" t="s">
        <v>81</v>
      </c>
      <c r="E86" s="99" t="s">
        <v>83</v>
      </c>
      <c r="F86" s="99"/>
      <c r="G86" s="99" t="s">
        <v>82</v>
      </c>
      <c r="H86" s="106"/>
      <c r="I86" s="14" t="s">
        <v>138</v>
      </c>
      <c r="J86" s="28">
        <f ca="1">H84*25%</f>
        <v>10</v>
      </c>
    </row>
    <row r="87" spans="1:10" s="33" customFormat="1" x14ac:dyDescent="0.25">
      <c r="A87" s="98" t="s">
        <v>125</v>
      </c>
      <c r="B87" s="99"/>
      <c r="C87" s="44">
        <f ca="1">J88</f>
        <v>40</v>
      </c>
      <c r="D87" s="19">
        <f ca="1">((100/H84)*C87)/100</f>
        <v>1</v>
      </c>
      <c r="E87" s="88">
        <f ca="1">(((C88/H84*10)+(40/(D84+F84+H84)*C89)+(7.5/(H84)*C90)+(7.5/(H84)*C91)+(10/H84*C92)+(10/H84*C93)+(5/H84*C94)+(5/H84*C95)+(5/H84*C96))/100)</f>
        <v>0.10975609756097562</v>
      </c>
      <c r="F87" s="89"/>
      <c r="G87" s="88">
        <f ca="1">((((C87/H84)*20)+((C88/H84)*25)+(30/(H84+F84+D84)*C89)+(5/H84*C90)+(5/H84*C91)+(5/H84*C92)+(5/H84*C93)+(0/H84*C94)+(0/H84*C95)+(5/H84*C96))/100)</f>
        <v>0.45731707317073172</v>
      </c>
      <c r="H87" s="94"/>
      <c r="I87" s="14" t="s">
        <v>98</v>
      </c>
      <c r="J87" s="29">
        <f ca="1">H84*50%</f>
        <v>20</v>
      </c>
    </row>
    <row r="88" spans="1:10" s="33" customFormat="1" x14ac:dyDescent="0.25">
      <c r="A88" s="98" t="s">
        <v>49</v>
      </c>
      <c r="B88" s="99"/>
      <c r="C88" s="60">
        <f ca="1">J96</f>
        <v>40</v>
      </c>
      <c r="D88" s="19">
        <f ca="1">((100/H84)*C88)/100</f>
        <v>1</v>
      </c>
      <c r="E88" s="90"/>
      <c r="F88" s="91"/>
      <c r="G88" s="90"/>
      <c r="H88" s="95"/>
      <c r="I88" s="14" t="s">
        <v>99</v>
      </c>
      <c r="J88" s="29">
        <f ca="1">H84</f>
        <v>40</v>
      </c>
    </row>
    <row r="89" spans="1:10" s="33" customFormat="1" x14ac:dyDescent="0.3">
      <c r="A89" s="98" t="s">
        <v>126</v>
      </c>
      <c r="B89" s="99"/>
      <c r="C89" s="44">
        <v>1</v>
      </c>
      <c r="D89" s="19">
        <f ca="1">((100/(D84+F84+H84))*C89)/100</f>
        <v>2.4390243902439025E-2</v>
      </c>
      <c r="E89" s="90"/>
      <c r="F89" s="91"/>
      <c r="G89" s="90"/>
      <c r="H89" s="95"/>
      <c r="I89" s="14" t="s">
        <v>100</v>
      </c>
      <c r="J89" s="30">
        <f ca="1">(IF(B84&gt;1,(H84/(B84+2)),H84/4))</f>
        <v>10</v>
      </c>
    </row>
    <row r="90" spans="1:10" s="33" customFormat="1" x14ac:dyDescent="0.3">
      <c r="A90" s="98" t="s">
        <v>133</v>
      </c>
      <c r="B90" s="99" t="s">
        <v>127</v>
      </c>
      <c r="C90" s="44">
        <v>0</v>
      </c>
      <c r="D90" s="19">
        <f ca="1">((100/H84)*C90)/100</f>
        <v>0</v>
      </c>
      <c r="E90" s="90"/>
      <c r="F90" s="91"/>
      <c r="G90" s="90"/>
      <c r="H90" s="95"/>
      <c r="I90" s="14" t="s">
        <v>101</v>
      </c>
      <c r="J90" s="30">
        <f ca="1">(IF(B84&gt;1,(H84/(B84+2)+J89),H84/4+J89))</f>
        <v>20</v>
      </c>
    </row>
    <row r="91" spans="1:10" s="33" customFormat="1" x14ac:dyDescent="0.3">
      <c r="A91" s="98" t="s">
        <v>134</v>
      </c>
      <c r="B91" s="99" t="s">
        <v>127</v>
      </c>
      <c r="C91" s="44">
        <v>0</v>
      </c>
      <c r="D91" s="19">
        <f ca="1">((100/H84)*C91)/100</f>
        <v>0</v>
      </c>
      <c r="E91" s="90"/>
      <c r="F91" s="91"/>
      <c r="G91" s="90"/>
      <c r="H91" s="95"/>
      <c r="I91" s="14" t="s">
        <v>143</v>
      </c>
      <c r="J91" s="30">
        <f>(IF(B84&gt;1,(H84/(B84+2)+J90),0))</f>
        <v>0</v>
      </c>
    </row>
    <row r="92" spans="1:10" s="33" customFormat="1" x14ac:dyDescent="0.3">
      <c r="A92" s="98" t="s">
        <v>132</v>
      </c>
      <c r="B92" s="99" t="s">
        <v>129</v>
      </c>
      <c r="C92" s="44">
        <v>0</v>
      </c>
      <c r="D92" s="19">
        <f ca="1">((100/(H84))*C92)/100</f>
        <v>0</v>
      </c>
      <c r="E92" s="90"/>
      <c r="F92" s="91"/>
      <c r="G92" s="90"/>
      <c r="H92" s="95"/>
      <c r="I92" s="14" t="s">
        <v>140</v>
      </c>
      <c r="J92" s="30">
        <f>(IF(B84&gt;2,(H84/(B84+2)+J91),0))</f>
        <v>0</v>
      </c>
    </row>
    <row r="93" spans="1:10" s="33" customFormat="1" x14ac:dyDescent="0.3">
      <c r="A93" s="98" t="s">
        <v>128</v>
      </c>
      <c r="B93" s="99" t="s">
        <v>128</v>
      </c>
      <c r="C93" s="44">
        <v>0</v>
      </c>
      <c r="D93" s="19">
        <f ca="1">((100/H84)*C93)/100</f>
        <v>0</v>
      </c>
      <c r="E93" s="90"/>
      <c r="F93" s="91"/>
      <c r="G93" s="90"/>
      <c r="H93" s="95"/>
      <c r="I93" s="14" t="s">
        <v>141</v>
      </c>
      <c r="J93" s="31">
        <f>(IF(B84&gt;3,(H84/(B84+2)+J92),0))</f>
        <v>0</v>
      </c>
    </row>
    <row r="94" spans="1:10" s="33" customFormat="1" x14ac:dyDescent="0.3">
      <c r="A94" s="98" t="s">
        <v>135</v>
      </c>
      <c r="B94" s="99"/>
      <c r="C94" s="44">
        <v>0</v>
      </c>
      <c r="D94" s="19">
        <f ca="1">((100/H84)*C94)/100</f>
        <v>0</v>
      </c>
      <c r="E94" s="90"/>
      <c r="F94" s="91"/>
      <c r="G94" s="90"/>
      <c r="H94" s="95"/>
      <c r="I94" s="14" t="s">
        <v>142</v>
      </c>
      <c r="J94" s="30">
        <f>(IF(B84&gt;4,(H84/(B84+2)+J93),0))</f>
        <v>0</v>
      </c>
    </row>
    <row r="95" spans="1:10" x14ac:dyDescent="0.3">
      <c r="A95" s="98" t="s">
        <v>130</v>
      </c>
      <c r="B95" s="99" t="s">
        <v>130</v>
      </c>
      <c r="C95" s="44">
        <v>0</v>
      </c>
      <c r="D95" s="19">
        <f ca="1">((100/(H84))*C95)/100</f>
        <v>0</v>
      </c>
      <c r="E95" s="90"/>
      <c r="F95" s="91"/>
      <c r="G95" s="90"/>
      <c r="H95" s="95"/>
      <c r="I95" s="14" t="s">
        <v>144</v>
      </c>
      <c r="J95" s="30">
        <f ca="1">(IF(B84=1,(H84/(B84+3)+J90),IF(B84=0,(H84/4+J90),IF(B84&gt;1,0))))</f>
        <v>30</v>
      </c>
    </row>
    <row r="96" spans="1:10" s="34" customFormat="1" ht="16.2" thickBot="1" x14ac:dyDescent="0.35">
      <c r="A96" s="176" t="s">
        <v>131</v>
      </c>
      <c r="B96" s="177"/>
      <c r="C96" s="45">
        <v>0</v>
      </c>
      <c r="D96" s="20">
        <f ca="1">((100/(H84))*C96)/100</f>
        <v>0</v>
      </c>
      <c r="E96" s="92"/>
      <c r="F96" s="93"/>
      <c r="G96" s="92"/>
      <c r="H96" s="96"/>
      <c r="I96" s="15" t="s">
        <v>102</v>
      </c>
      <c r="J96" s="32">
        <f ca="1">(IF(B84&gt;1.5,(H84/(B84+2)+J90+MAX(0,J91-J90)+MAX(0,J92-J91)+MAX(0,J93-J92)+MAX(0,J94-J93)+MAX(0,J95-J94)),IF(B84=1,(H84/(B84+3)+J95),IF(B84=0,H84/4+J95))))</f>
        <v>40</v>
      </c>
    </row>
    <row r="97" spans="1:14" s="35" customFormat="1" x14ac:dyDescent="0.3">
      <c r="A97" s="101" t="s">
        <v>152</v>
      </c>
      <c r="B97" s="101"/>
      <c r="C97" s="101"/>
      <c r="D97" s="101"/>
      <c r="E97" s="101"/>
      <c r="F97" s="77" t="s">
        <v>157</v>
      </c>
      <c r="G97" s="77"/>
      <c r="H97" s="77"/>
      <c r="I97" s="21"/>
      <c r="J97" s="21"/>
      <c r="K97" s="58" t="s">
        <v>193</v>
      </c>
      <c r="L97" s="58" t="s">
        <v>110</v>
      </c>
    </row>
    <row r="98" spans="1:14" s="35" customFormat="1" ht="15.75" customHeight="1" x14ac:dyDescent="0.3">
      <c r="A98" s="64" t="s">
        <v>155</v>
      </c>
      <c r="B98" s="64"/>
      <c r="C98" s="64"/>
      <c r="D98" s="64"/>
      <c r="E98" s="64"/>
      <c r="F98" s="162">
        <v>15500</v>
      </c>
      <c r="G98" s="162"/>
      <c r="H98" s="162"/>
      <c r="I98" s="21"/>
      <c r="J98" s="21"/>
      <c r="K98" s="56">
        <f>10100000/F125</f>
        <v>16490.415634917688</v>
      </c>
      <c r="L98" s="56">
        <f>9700000/F125</f>
        <v>15837.329867198176</v>
      </c>
    </row>
    <row r="99" spans="1:14" s="35" customFormat="1" hidden="1" x14ac:dyDescent="0.3">
      <c r="A99" s="64" t="s">
        <v>154</v>
      </c>
      <c r="B99" s="64"/>
      <c r="C99" s="64"/>
      <c r="D99" s="64"/>
      <c r="E99" s="64"/>
      <c r="F99" s="69"/>
      <c r="G99" s="69"/>
      <c r="H99" s="69"/>
      <c r="I99" s="21"/>
      <c r="J99" s="21"/>
      <c r="K99" s="56">
        <f>12600000/F124</f>
        <v>15596.974882052335</v>
      </c>
      <c r="L99" s="56">
        <f>15100000/F124</f>
        <v>18691.612755475417</v>
      </c>
    </row>
    <row r="100" spans="1:14" s="34" customFormat="1" hidden="1" x14ac:dyDescent="0.3">
      <c r="A100" s="64" t="s">
        <v>156</v>
      </c>
      <c r="B100" s="64"/>
      <c r="C100" s="64"/>
      <c r="D100" s="64"/>
      <c r="E100" s="64"/>
      <c r="F100" s="69"/>
      <c r="G100" s="69"/>
      <c r="H100" s="69"/>
      <c r="I100" s="21"/>
      <c r="J100" s="21"/>
    </row>
    <row r="101" spans="1:14" hidden="1" x14ac:dyDescent="0.3">
      <c r="A101" s="64" t="s">
        <v>153</v>
      </c>
      <c r="B101" s="64"/>
      <c r="C101" s="64"/>
      <c r="D101" s="64"/>
      <c r="E101" s="64"/>
      <c r="F101" s="69"/>
      <c r="G101" s="69"/>
      <c r="H101" s="69"/>
      <c r="I101" s="33"/>
      <c r="J101" s="33"/>
    </row>
    <row r="102" spans="1:14" hidden="1" x14ac:dyDescent="0.3">
      <c r="A102" s="64" t="s">
        <v>92</v>
      </c>
      <c r="B102" s="64"/>
      <c r="C102" s="64"/>
      <c r="D102" s="64"/>
      <c r="E102" s="64"/>
      <c r="F102" s="69"/>
      <c r="G102" s="69"/>
      <c r="H102" s="69"/>
      <c r="I102" s="33"/>
      <c r="J102" s="33"/>
    </row>
    <row r="103" spans="1:14" s="37" customFormat="1" hidden="1" x14ac:dyDescent="0.25">
      <c r="A103" s="64" t="s">
        <v>93</v>
      </c>
      <c r="B103" s="64"/>
      <c r="C103" s="64"/>
      <c r="D103" s="64"/>
      <c r="E103" s="64"/>
      <c r="F103" s="69"/>
      <c r="G103" s="69"/>
      <c r="H103" s="69"/>
      <c r="I103" s="33"/>
      <c r="J103" s="33"/>
    </row>
    <row r="104" spans="1:14" s="37" customFormat="1" hidden="1" x14ac:dyDescent="0.25">
      <c r="A104" s="64" t="s">
        <v>158</v>
      </c>
      <c r="B104" s="64"/>
      <c r="C104" s="64"/>
      <c r="D104" s="64"/>
      <c r="E104" s="64"/>
      <c r="F104" s="69"/>
      <c r="G104" s="69"/>
      <c r="H104" s="69"/>
      <c r="I104" s="33"/>
      <c r="J104" s="33"/>
    </row>
    <row r="105" spans="1:14" s="37" customFormat="1" hidden="1" x14ac:dyDescent="0.25">
      <c r="A105" s="64" t="s">
        <v>94</v>
      </c>
      <c r="B105" s="64"/>
      <c r="C105" s="64"/>
      <c r="D105" s="64"/>
      <c r="E105" s="64"/>
      <c r="F105" s="69"/>
      <c r="G105" s="69"/>
      <c r="H105" s="69"/>
      <c r="I105" s="33"/>
      <c r="J105" s="33"/>
    </row>
    <row r="106" spans="1:14" s="37" customFormat="1" hidden="1" x14ac:dyDescent="0.25">
      <c r="A106" s="64" t="s">
        <v>95</v>
      </c>
      <c r="B106" s="64"/>
      <c r="C106" s="64"/>
      <c r="D106" s="64"/>
      <c r="E106" s="64"/>
      <c r="F106" s="69"/>
      <c r="G106" s="69"/>
      <c r="H106" s="69"/>
      <c r="I106" s="33"/>
      <c r="J106" s="33"/>
    </row>
    <row r="107" spans="1:14" s="37" customFormat="1" hidden="1" x14ac:dyDescent="0.25">
      <c r="A107" s="64" t="s">
        <v>96</v>
      </c>
      <c r="B107" s="64"/>
      <c r="C107" s="64"/>
      <c r="D107" s="64"/>
      <c r="E107" s="64"/>
      <c r="F107" s="69"/>
      <c r="G107" s="69"/>
      <c r="H107" s="69"/>
      <c r="I107" s="33"/>
      <c r="J107" s="33"/>
      <c r="L107" s="65"/>
      <c r="M107" s="65"/>
    </row>
    <row r="108" spans="1:14" s="37" customFormat="1" ht="15.75" hidden="1" customHeight="1" x14ac:dyDescent="0.25">
      <c r="A108" s="64" t="s">
        <v>97</v>
      </c>
      <c r="B108" s="64"/>
      <c r="C108" s="64"/>
      <c r="D108" s="64"/>
      <c r="E108" s="64"/>
      <c r="F108" s="69"/>
      <c r="G108" s="69"/>
      <c r="H108" s="69"/>
      <c r="I108" s="33"/>
      <c r="J108" s="33"/>
      <c r="N108" s="36"/>
    </row>
    <row r="109" spans="1:14" s="37" customFormat="1" ht="15.75" customHeight="1" x14ac:dyDescent="0.3">
      <c r="A109" s="64" t="s">
        <v>50</v>
      </c>
      <c r="B109" s="64"/>
      <c r="C109" s="64"/>
      <c r="D109" s="64"/>
      <c r="E109" s="64"/>
      <c r="F109" s="69">
        <v>800000</v>
      </c>
      <c r="G109" s="69"/>
      <c r="H109" s="69"/>
      <c r="I109" s="21"/>
      <c r="J109" s="21"/>
      <c r="N109" s="36"/>
    </row>
    <row r="110" spans="1:14" s="37" customFormat="1" ht="15.75" customHeight="1" x14ac:dyDescent="0.3">
      <c r="A110" s="100" t="s">
        <v>51</v>
      </c>
      <c r="B110" s="100"/>
      <c r="C110" s="100"/>
      <c r="D110" s="100"/>
      <c r="E110" s="100"/>
      <c r="F110" s="69">
        <f>F98*0.8</f>
        <v>12400</v>
      </c>
      <c r="G110" s="69"/>
      <c r="H110" s="69"/>
      <c r="I110" s="34"/>
      <c r="J110" s="34"/>
      <c r="N110" s="36"/>
    </row>
    <row r="111" spans="1:14" s="37" customFormat="1" ht="15.75" customHeight="1" x14ac:dyDescent="0.3">
      <c r="A111" s="148" t="s">
        <v>189</v>
      </c>
      <c r="B111" s="148"/>
      <c r="C111" s="148"/>
      <c r="D111" s="148"/>
      <c r="E111" s="148"/>
      <c r="F111" s="148"/>
      <c r="G111" s="148"/>
      <c r="H111" s="148"/>
      <c r="I111" s="58" t="s">
        <v>190</v>
      </c>
      <c r="J111" s="58" t="s">
        <v>111</v>
      </c>
      <c r="N111" s="36"/>
    </row>
    <row r="112" spans="1:14" s="37" customFormat="1" ht="15.75" customHeight="1" x14ac:dyDescent="0.3">
      <c r="A112" s="78" t="s">
        <v>52</v>
      </c>
      <c r="B112" s="78"/>
      <c r="C112" s="87" t="s">
        <v>76</v>
      </c>
      <c r="D112" s="87"/>
      <c r="E112" s="76" t="s">
        <v>53</v>
      </c>
      <c r="F112" s="76"/>
      <c r="G112" s="78" t="s">
        <v>54</v>
      </c>
      <c r="H112" s="78"/>
      <c r="I112" s="35">
        <v>23500</v>
      </c>
      <c r="J112" s="56">
        <f>9199000/F125</f>
        <v>15019.339943129487</v>
      </c>
      <c r="N112" s="36"/>
    </row>
    <row r="113" spans="1:14" s="37" customFormat="1" ht="34.5" customHeight="1" x14ac:dyDescent="0.3">
      <c r="A113" s="144" t="s">
        <v>244</v>
      </c>
      <c r="B113" s="145"/>
      <c r="C113" s="150">
        <f>COUNT(D124:D128,D131)+COUNT(D133:D137,D140)*3+COUNT(D142:D149)+COUNT(D151:D158)*25+COUNT(D160,D163:D167)*4+COUNT(D169:D176)+COUNT(D178,D180:D185)+COUNT(D187:D194)*2+COUNT(D196:D203)</f>
        <v>295</v>
      </c>
      <c r="D113" s="150"/>
      <c r="E113" s="150">
        <f>SUM(D124:D128,D131)+SUM(D133:D137,D140)*3+SUM(D142:D149)+SUM(D151:D158)*25+SUM(D160,D163:D167)*4+SUM(D169:D176)+SUM(D178,D180:D185)+SUM(D187:D194)*2+SUM(D196:D203)</f>
        <v>133571.76767999999</v>
      </c>
      <c r="F113" s="150"/>
      <c r="G113" s="150">
        <f>SUM(F124:F128,F131)+SUM(F133:F137,F140)*3+SUM(F142:F149)+SUM(F151:F158)*25+SUM(F160,F163:F167)*4+SUM(F169:F176)+SUM(F178,F180:F185)+SUM(F187:F194)*2+SUM(F196:F203)</f>
        <v>207036.23990399996</v>
      </c>
      <c r="H113" s="150"/>
      <c r="I113" s="57">
        <f>I112/1.55</f>
        <v>15161.290322580644</v>
      </c>
      <c r="J113" s="56">
        <f>12500000/F142</f>
        <v>15473.189367115412</v>
      </c>
      <c r="N113" s="36"/>
    </row>
    <row r="114" spans="1:14" s="37" customFormat="1" ht="34.5" customHeight="1" x14ac:dyDescent="0.3">
      <c r="A114" s="144" t="s">
        <v>245</v>
      </c>
      <c r="B114" s="145"/>
      <c r="C114" s="195">
        <f>COUNT(D209:D210)+COUNT(D214:D215)*3+COUNT(D219:D222)+COUNT(D224:D227)*25+COUNT(D230:D232)*4+COUNT(D234:D237)+COUNT(D244:D247)+COUNT(D249:D252)</f>
        <v>136</v>
      </c>
      <c r="D114" s="195"/>
      <c r="E114" s="150">
        <f>SUM(D209:D210)+SUM(D214:D215)*3+SUM(D219:D222)+SUM(D224:D227)*25+SUM(D230:D232)*4+SUM(D234:D237)+SUM(D244:D247)+SUM(D249:D252)</f>
        <v>87994.085399999996</v>
      </c>
      <c r="F114" s="150"/>
      <c r="G114" s="150">
        <f>SUM(F209:F210)+SUM(F214:F215)*3+SUM(F219:F222)+SUM(F224:F227)*25+SUM(F230:F232)*4+SUM(F234:F237)+SUM(F244:F247)+SUM(F249:F252)</f>
        <v>136390.83236999999</v>
      </c>
      <c r="H114" s="150"/>
      <c r="I114" s="57"/>
      <c r="J114" s="56"/>
      <c r="N114" s="36"/>
    </row>
    <row r="115" spans="1:14" s="37" customFormat="1" ht="15.75" customHeight="1" x14ac:dyDescent="0.3">
      <c r="A115" s="188" t="s">
        <v>208</v>
      </c>
      <c r="B115" s="189"/>
      <c r="C115" s="190">
        <f t="shared" ref="C115:G115" si="0">SUM(C113:D114)</f>
        <v>431</v>
      </c>
      <c r="D115" s="190"/>
      <c r="E115" s="191">
        <f t="shared" si="0"/>
        <v>221565.85307999997</v>
      </c>
      <c r="F115" s="191"/>
      <c r="G115" s="191">
        <f t="shared" si="0"/>
        <v>343427.07227399992</v>
      </c>
      <c r="H115" s="191"/>
      <c r="I115" s="57"/>
      <c r="J115" s="56"/>
      <c r="N115" s="36"/>
    </row>
    <row r="116" spans="1:14" s="37" customFormat="1" ht="15.75" customHeight="1" x14ac:dyDescent="0.3">
      <c r="A116" s="77" t="s">
        <v>209</v>
      </c>
      <c r="B116" s="77"/>
      <c r="C116" s="77"/>
      <c r="D116" s="77"/>
      <c r="E116" s="77"/>
      <c r="F116" s="77"/>
      <c r="G116" s="77"/>
      <c r="H116" s="77"/>
      <c r="I116" s="34"/>
      <c r="J116" s="34"/>
      <c r="N116" s="36"/>
    </row>
    <row r="117" spans="1:14" s="37" customFormat="1" ht="15.75" customHeight="1" x14ac:dyDescent="0.3">
      <c r="A117" s="70" t="s">
        <v>55</v>
      </c>
      <c r="B117" s="70"/>
      <c r="C117" s="70"/>
      <c r="D117" s="70"/>
      <c r="E117" s="70"/>
      <c r="F117" s="70"/>
      <c r="G117" s="70"/>
      <c r="H117" s="70"/>
      <c r="I117" s="21"/>
      <c r="J117" s="21"/>
      <c r="N117" s="36"/>
    </row>
    <row r="118" spans="1:14" s="37" customFormat="1" ht="46.8" x14ac:dyDescent="0.3">
      <c r="A118" s="66" t="s">
        <v>117</v>
      </c>
      <c r="B118" s="66" t="s">
        <v>118</v>
      </c>
      <c r="C118" s="71" t="s">
        <v>56</v>
      </c>
      <c r="D118" s="71" t="s">
        <v>57</v>
      </c>
      <c r="E118" s="79" t="s">
        <v>58</v>
      </c>
      <c r="F118" s="43" t="s">
        <v>146</v>
      </c>
      <c r="G118" s="66" t="s">
        <v>59</v>
      </c>
      <c r="H118" s="81"/>
      <c r="I118" s="36"/>
      <c r="J118" s="21"/>
    </row>
    <row r="119" spans="1:14" s="37" customFormat="1" ht="15.75" customHeight="1" x14ac:dyDescent="0.3">
      <c r="A119" s="67"/>
      <c r="B119" s="67"/>
      <c r="C119" s="72"/>
      <c r="D119" s="72"/>
      <c r="E119" s="80"/>
      <c r="F119" s="13">
        <v>0.55000000000000004</v>
      </c>
      <c r="G119" s="67"/>
      <c r="H119" s="82"/>
      <c r="I119" s="36"/>
    </row>
    <row r="120" spans="1:14" s="37" customFormat="1" ht="15.75" customHeight="1" x14ac:dyDescent="0.3">
      <c r="A120" s="73" t="s">
        <v>210</v>
      </c>
      <c r="B120" s="74"/>
      <c r="C120" s="74"/>
      <c r="D120" s="74"/>
      <c r="E120" s="74"/>
      <c r="F120" s="74"/>
      <c r="G120" s="74"/>
      <c r="H120" s="75"/>
      <c r="I120" s="55" t="s">
        <v>191</v>
      </c>
      <c r="J120" s="36"/>
    </row>
    <row r="121" spans="1:14" s="37" customFormat="1" ht="15.75" customHeight="1" x14ac:dyDescent="0.3">
      <c r="A121" s="73" t="s">
        <v>212</v>
      </c>
      <c r="B121" s="74"/>
      <c r="C121" s="74"/>
      <c r="D121" s="74"/>
      <c r="E121" s="74"/>
      <c r="F121" s="74"/>
      <c r="G121" s="74"/>
      <c r="H121" s="75"/>
      <c r="I121" s="55" t="s">
        <v>192</v>
      </c>
      <c r="J121" s="36"/>
    </row>
    <row r="122" spans="1:14" s="37" customFormat="1" ht="15.75" customHeight="1" x14ac:dyDescent="0.3">
      <c r="A122" s="73" t="s">
        <v>180</v>
      </c>
      <c r="B122" s="74"/>
      <c r="C122" s="74"/>
      <c r="D122" s="74"/>
      <c r="E122" s="74"/>
      <c r="F122" s="74"/>
      <c r="G122" s="74"/>
      <c r="H122" s="75"/>
      <c r="I122" s="55" t="s">
        <v>194</v>
      </c>
      <c r="J122" s="36"/>
    </row>
    <row r="123" spans="1:14" s="37" customFormat="1" ht="15.75" customHeight="1" x14ac:dyDescent="0.3">
      <c r="A123" s="143" t="s">
        <v>216</v>
      </c>
      <c r="B123" s="143"/>
      <c r="C123" s="143"/>
      <c r="D123" s="143"/>
      <c r="E123" s="143"/>
      <c r="F123" s="143"/>
      <c r="G123" s="143"/>
      <c r="H123" s="143"/>
      <c r="I123" s="36"/>
    </row>
    <row r="124" spans="1:14" s="37" customFormat="1" ht="15.75" customHeight="1" x14ac:dyDescent="0.3">
      <c r="A124" s="68">
        <v>1</v>
      </c>
      <c r="B124" s="68"/>
      <c r="C124" s="42" t="s">
        <v>181</v>
      </c>
      <c r="D124" s="54">
        <f>(48.42)*(10.764)</f>
        <v>521.19287999999995</v>
      </c>
      <c r="E124" s="42">
        <v>0</v>
      </c>
      <c r="F124" s="42">
        <f t="shared" ref="F124:F125" si="1">D124*(($F$119)+1)+(IF(E124&lt;101,E124,IF(E124&lt;201,E124/2,IF(E124&lt;=301,E124/3,E124/4))))</f>
        <v>807.84896399999991</v>
      </c>
      <c r="G124" s="163" t="str">
        <f>A123</f>
        <v>1st Floor For Residential &amp; Part Parking Area</v>
      </c>
      <c r="H124" s="164"/>
      <c r="I124" s="36">
        <f>(2.62*2.75+1.37*0.6)*(10.764)</f>
        <v>86.402628000000007</v>
      </c>
    </row>
    <row r="125" spans="1:14" s="37" customFormat="1" ht="15.75" customHeight="1" x14ac:dyDescent="0.3">
      <c r="A125" s="68">
        <f t="shared" ref="A125:A131" si="2">A124+1</f>
        <v>2</v>
      </c>
      <c r="B125" s="68"/>
      <c r="C125" s="42" t="s">
        <v>182</v>
      </c>
      <c r="D125" s="54">
        <f>(36.71)*(10.764)</f>
        <v>395.14643999999998</v>
      </c>
      <c r="E125" s="42">
        <v>0</v>
      </c>
      <c r="F125" s="42">
        <f t="shared" si="1"/>
        <v>612.47698200000002</v>
      </c>
      <c r="G125" s="165"/>
      <c r="H125" s="166"/>
      <c r="I125" s="54">
        <f>10.764</f>
        <v>10.763999999999999</v>
      </c>
    </row>
    <row r="126" spans="1:14" s="37" customFormat="1" ht="15.75" customHeight="1" x14ac:dyDescent="0.3">
      <c r="A126" s="68">
        <f t="shared" si="2"/>
        <v>3</v>
      </c>
      <c r="B126" s="68"/>
      <c r="C126" s="42" t="s">
        <v>182</v>
      </c>
      <c r="D126" s="54">
        <f>(36.71)*(10.764)</f>
        <v>395.14643999999998</v>
      </c>
      <c r="E126" s="42">
        <v>0</v>
      </c>
      <c r="F126" s="42">
        <f>D126*(($F$119)+1)+(IF(E126&lt;101,E126,IF(E126&lt;201,E126/2,IF(E126&lt;=301,E126/3,E126/4))))</f>
        <v>612.47698200000002</v>
      </c>
      <c r="G126" s="165"/>
      <c r="H126" s="166"/>
      <c r="I126" s="36">
        <f>2.7*4.55+2*0.75+1.2*1.32+1.8*2.25+2.7*3.15+1.4*0.6+1.2*1.9+1.25*1.9+2.05*0.9</f>
        <v>35.263999999999996</v>
      </c>
    </row>
    <row r="127" spans="1:14" s="37" customFormat="1" ht="15.75" customHeight="1" x14ac:dyDescent="0.3">
      <c r="A127" s="68">
        <f t="shared" si="2"/>
        <v>4</v>
      </c>
      <c r="B127" s="68"/>
      <c r="C127" s="42" t="s">
        <v>181</v>
      </c>
      <c r="D127" s="54">
        <f>(48.42)*(10.764)</f>
        <v>521.19287999999995</v>
      </c>
      <c r="E127" s="42">
        <v>0</v>
      </c>
      <c r="F127" s="42">
        <f>D127*(($F$119)+1)+(IF(E127&lt;101,E127,IF(E127&lt;201,E127/2,IF(E127&lt;=301,E127/3,E127/4))))</f>
        <v>807.84896399999991</v>
      </c>
      <c r="G127" s="165"/>
      <c r="H127" s="166"/>
      <c r="I127" s="36"/>
    </row>
    <row r="128" spans="1:14" s="37" customFormat="1" ht="15.75" customHeight="1" x14ac:dyDescent="0.3">
      <c r="A128" s="68">
        <f t="shared" si="2"/>
        <v>5</v>
      </c>
      <c r="B128" s="68"/>
      <c r="C128" s="42" t="s">
        <v>181</v>
      </c>
      <c r="D128" s="54">
        <f>(48.44)*(10.764)</f>
        <v>521.40815999999995</v>
      </c>
      <c r="E128" s="42">
        <v>0</v>
      </c>
      <c r="F128" s="42">
        <f>D128*(($F$119)+1)+(IF(E128&lt;101,E128,IF(E128&lt;201,E128/2,IF(E128&lt;=301,E128/3,E128/4))))</f>
        <v>808.18264799999997</v>
      </c>
      <c r="G128" s="165"/>
      <c r="H128" s="166"/>
      <c r="I128" s="36"/>
    </row>
    <row r="129" spans="1:11" s="37" customFormat="1" ht="15.75" customHeight="1" x14ac:dyDescent="0.3">
      <c r="A129" s="68">
        <f t="shared" si="2"/>
        <v>6</v>
      </c>
      <c r="B129" s="68"/>
      <c r="C129" s="146" t="s">
        <v>215</v>
      </c>
      <c r="D129" s="169"/>
      <c r="E129" s="169"/>
      <c r="F129" s="147"/>
      <c r="G129" s="165"/>
      <c r="H129" s="166"/>
      <c r="I129" s="36"/>
    </row>
    <row r="130" spans="1:11" s="37" customFormat="1" ht="15.75" customHeight="1" x14ac:dyDescent="0.3">
      <c r="A130" s="68">
        <f t="shared" si="2"/>
        <v>7</v>
      </c>
      <c r="B130" s="68"/>
      <c r="C130" s="146" t="s">
        <v>215</v>
      </c>
      <c r="D130" s="169"/>
      <c r="E130" s="169"/>
      <c r="F130" s="147"/>
      <c r="G130" s="165"/>
      <c r="H130" s="166"/>
      <c r="I130" s="36"/>
    </row>
    <row r="131" spans="1:11" s="37" customFormat="1" ht="15.75" customHeight="1" x14ac:dyDescent="0.3">
      <c r="A131" s="68">
        <f t="shared" si="2"/>
        <v>8</v>
      </c>
      <c r="B131" s="68"/>
      <c r="C131" s="42" t="s">
        <v>181</v>
      </c>
      <c r="D131" s="54">
        <f>(48.44)*(10.764)</f>
        <v>521.40815999999995</v>
      </c>
      <c r="E131" s="42">
        <v>0</v>
      </c>
      <c r="F131" s="42">
        <f>D131*(($F$119)+1)+(IF(E131&lt;101,E131,IF(E131&lt;201,E131/2,IF(E131&lt;=301,E131/3,E131/4))))</f>
        <v>808.18264799999997</v>
      </c>
      <c r="G131" s="167"/>
      <c r="H131" s="168"/>
      <c r="I131" s="36"/>
    </row>
    <row r="132" spans="1:11" s="37" customFormat="1" ht="15.75" customHeight="1" x14ac:dyDescent="0.3">
      <c r="A132" s="143" t="s">
        <v>217</v>
      </c>
      <c r="B132" s="143"/>
      <c r="C132" s="143"/>
      <c r="D132" s="143"/>
      <c r="E132" s="143"/>
      <c r="F132" s="143"/>
      <c r="G132" s="143"/>
      <c r="H132" s="143"/>
      <c r="I132" s="36"/>
    </row>
    <row r="133" spans="1:11" s="37" customFormat="1" ht="15.75" customHeight="1" x14ac:dyDescent="0.3">
      <c r="A133" s="68">
        <v>1</v>
      </c>
      <c r="B133" s="68"/>
      <c r="C133" s="42" t="s">
        <v>181</v>
      </c>
      <c r="D133" s="54">
        <f>(48.42)*(10.764)</f>
        <v>521.19287999999995</v>
      </c>
      <c r="E133" s="42">
        <v>0</v>
      </c>
      <c r="F133" s="42">
        <f t="shared" ref="F133:F134" si="3">D133*(($F$119)+1)+(IF(E133&lt;101,E133,IF(E133&lt;201,E133/2,IF(E133&lt;=301,E133/3,E133/4))))</f>
        <v>807.84896399999991</v>
      </c>
      <c r="G133" s="163" t="str">
        <f>A132</f>
        <v>2nd to 4th Floor</v>
      </c>
      <c r="H133" s="164"/>
      <c r="I133" s="36"/>
    </row>
    <row r="134" spans="1:11" s="37" customFormat="1" ht="15.75" customHeight="1" x14ac:dyDescent="0.3">
      <c r="A134" s="68">
        <f t="shared" ref="A134:A140" si="4">A133+1</f>
        <v>2</v>
      </c>
      <c r="B134" s="68"/>
      <c r="C134" s="42" t="s">
        <v>182</v>
      </c>
      <c r="D134" s="54">
        <f>(36.71)*(10.764)</f>
        <v>395.14643999999998</v>
      </c>
      <c r="E134" s="42">
        <v>0</v>
      </c>
      <c r="F134" s="42">
        <f t="shared" si="3"/>
        <v>612.47698200000002</v>
      </c>
      <c r="G134" s="165"/>
      <c r="H134" s="166"/>
      <c r="I134" s="36"/>
    </row>
    <row r="135" spans="1:11" s="37" customFormat="1" ht="15.75" customHeight="1" x14ac:dyDescent="0.3">
      <c r="A135" s="68">
        <f t="shared" si="4"/>
        <v>3</v>
      </c>
      <c r="B135" s="68"/>
      <c r="C135" s="42" t="s">
        <v>182</v>
      </c>
      <c r="D135" s="54">
        <f>(36.71)*(10.764)</f>
        <v>395.14643999999998</v>
      </c>
      <c r="E135" s="42">
        <v>0</v>
      </c>
      <c r="F135" s="42">
        <f>D135*(($F$119)+1)+(IF(E135&lt;101,E135,IF(E135&lt;201,E135/2,IF(E135&lt;=301,E135/3,E135/4))))</f>
        <v>612.47698200000002</v>
      </c>
      <c r="G135" s="165"/>
      <c r="H135" s="166"/>
      <c r="I135" s="36"/>
    </row>
    <row r="136" spans="1:11" s="37" customFormat="1" ht="15.75" customHeight="1" x14ac:dyDescent="0.3">
      <c r="A136" s="68">
        <f t="shared" si="4"/>
        <v>4</v>
      </c>
      <c r="B136" s="68"/>
      <c r="C136" s="42" t="s">
        <v>181</v>
      </c>
      <c r="D136" s="54">
        <f>(48.42)*(10.764)</f>
        <v>521.19287999999995</v>
      </c>
      <c r="E136" s="42">
        <v>0</v>
      </c>
      <c r="F136" s="42">
        <f>D136*(($F$119)+1)+(IF(E136&lt;101,E136,IF(E136&lt;201,E136/2,IF(E136&lt;=301,E136/3,E136/4))))</f>
        <v>807.84896399999991</v>
      </c>
      <c r="G136" s="165"/>
      <c r="H136" s="166"/>
      <c r="I136" s="36"/>
      <c r="K136" s="37">
        <f>9700000/F189</f>
        <v>15837.329867198176</v>
      </c>
    </row>
    <row r="137" spans="1:11" s="37" customFormat="1" ht="15.75" customHeight="1" x14ac:dyDescent="0.3">
      <c r="A137" s="68">
        <f t="shared" si="4"/>
        <v>5</v>
      </c>
      <c r="B137" s="68"/>
      <c r="C137" s="42" t="s">
        <v>181</v>
      </c>
      <c r="D137" s="54">
        <f>(48.44)*(10.764)</f>
        <v>521.40815999999995</v>
      </c>
      <c r="E137" s="42">
        <v>0</v>
      </c>
      <c r="F137" s="42">
        <f>D137*(($F$119)+1)+(IF(E137&lt;101,E137,IF(E137&lt;201,E137/2,IF(E137&lt;=301,E137/3,E137/4))))</f>
        <v>808.18264799999997</v>
      </c>
      <c r="G137" s="165"/>
      <c r="H137" s="166"/>
      <c r="I137" s="36"/>
    </row>
    <row r="138" spans="1:11" s="37" customFormat="1" ht="15.75" customHeight="1" x14ac:dyDescent="0.3">
      <c r="A138" s="68">
        <f t="shared" si="4"/>
        <v>6</v>
      </c>
      <c r="B138" s="68"/>
      <c r="C138" s="146" t="s">
        <v>215</v>
      </c>
      <c r="D138" s="169"/>
      <c r="E138" s="169"/>
      <c r="F138" s="147"/>
      <c r="G138" s="165"/>
      <c r="H138" s="166"/>
      <c r="I138" s="36"/>
    </row>
    <row r="139" spans="1:11" s="37" customFormat="1" ht="15.75" customHeight="1" x14ac:dyDescent="0.3">
      <c r="A139" s="68">
        <f t="shared" si="4"/>
        <v>7</v>
      </c>
      <c r="B139" s="68"/>
      <c r="C139" s="146" t="s">
        <v>215</v>
      </c>
      <c r="D139" s="169"/>
      <c r="E139" s="169"/>
      <c r="F139" s="147"/>
      <c r="G139" s="165"/>
      <c r="H139" s="166"/>
      <c r="I139" s="36"/>
    </row>
    <row r="140" spans="1:11" s="37" customFormat="1" ht="15.75" customHeight="1" x14ac:dyDescent="0.3">
      <c r="A140" s="68">
        <f t="shared" si="4"/>
        <v>8</v>
      </c>
      <c r="B140" s="68"/>
      <c r="C140" s="42" t="s">
        <v>181</v>
      </c>
      <c r="D140" s="54">
        <f>(48.44)*(10.764)</f>
        <v>521.40815999999995</v>
      </c>
      <c r="E140" s="42">
        <v>0</v>
      </c>
      <c r="F140" s="42">
        <f>D140*(($F$119)+1)+(IF(E140&lt;101,E140,IF(E140&lt;201,E140/2,IF(E140&lt;=301,E140/3,E140/4))))</f>
        <v>808.18264799999997</v>
      </c>
      <c r="G140" s="167"/>
      <c r="H140" s="168"/>
      <c r="I140" s="36"/>
    </row>
    <row r="141" spans="1:11" s="37" customFormat="1" ht="15.75" customHeight="1" x14ac:dyDescent="0.3">
      <c r="A141" s="73" t="s">
        <v>218</v>
      </c>
      <c r="B141" s="74"/>
      <c r="C141" s="74"/>
      <c r="D141" s="74"/>
      <c r="E141" s="74"/>
      <c r="F141" s="74"/>
      <c r="G141" s="74"/>
      <c r="H141" s="75"/>
      <c r="I141" s="36"/>
    </row>
    <row r="142" spans="1:11" s="37" customFormat="1" ht="15.75" customHeight="1" x14ac:dyDescent="0.3">
      <c r="A142" s="146">
        <v>1</v>
      </c>
      <c r="B142" s="147"/>
      <c r="C142" s="42" t="s">
        <v>181</v>
      </c>
      <c r="D142" s="54">
        <f>(48.42)*(10.764)</f>
        <v>521.19287999999995</v>
      </c>
      <c r="E142" s="42">
        <v>0</v>
      </c>
      <c r="F142" s="42">
        <f t="shared" ref="F142:F149" si="5">D142*(($F$119)+1)+(IF(E142&lt;101,E142,IF(E142&lt;201,E142/2,IF(E142&lt;=301,E142/3,E142/4))))</f>
        <v>807.84896399999991</v>
      </c>
      <c r="G142" s="163" t="str">
        <f>A141</f>
        <v>5th Floor For Residential</v>
      </c>
      <c r="H142" s="164"/>
      <c r="I142" s="36"/>
    </row>
    <row r="143" spans="1:11" s="37" customFormat="1" ht="15.75" customHeight="1" x14ac:dyDescent="0.3">
      <c r="A143" s="146">
        <v>2</v>
      </c>
      <c r="B143" s="147"/>
      <c r="C143" s="42" t="s">
        <v>182</v>
      </c>
      <c r="D143" s="54">
        <f>(36.71)*(10.764)</f>
        <v>395.14643999999998</v>
      </c>
      <c r="E143" s="42">
        <v>0</v>
      </c>
      <c r="F143" s="42">
        <f t="shared" si="5"/>
        <v>612.47698200000002</v>
      </c>
      <c r="G143" s="165"/>
      <c r="H143" s="166"/>
      <c r="I143" s="36"/>
    </row>
    <row r="144" spans="1:11" s="37" customFormat="1" ht="15.75" customHeight="1" x14ac:dyDescent="0.3">
      <c r="A144" s="146">
        <v>3</v>
      </c>
      <c r="B144" s="147"/>
      <c r="C144" s="42" t="s">
        <v>182</v>
      </c>
      <c r="D144" s="54">
        <f>(36.71)*(10.764)</f>
        <v>395.14643999999998</v>
      </c>
      <c r="E144" s="42">
        <v>0</v>
      </c>
      <c r="F144" s="42">
        <f t="shared" si="5"/>
        <v>612.47698200000002</v>
      </c>
      <c r="G144" s="165"/>
      <c r="H144" s="166"/>
      <c r="I144" s="36"/>
    </row>
    <row r="145" spans="1:10" s="37" customFormat="1" x14ac:dyDescent="0.3">
      <c r="A145" s="146">
        <v>4</v>
      </c>
      <c r="B145" s="147"/>
      <c r="C145" s="42" t="s">
        <v>181</v>
      </c>
      <c r="D145" s="54">
        <f>(48.42)*(10.764)</f>
        <v>521.19287999999995</v>
      </c>
      <c r="E145" s="42">
        <v>0</v>
      </c>
      <c r="F145" s="42">
        <f t="shared" si="5"/>
        <v>807.84896399999991</v>
      </c>
      <c r="G145" s="165"/>
      <c r="H145" s="166"/>
      <c r="I145" s="36"/>
    </row>
    <row r="146" spans="1:10" s="35" customFormat="1" x14ac:dyDescent="0.3">
      <c r="A146" s="146">
        <v>5</v>
      </c>
      <c r="B146" s="147"/>
      <c r="C146" s="42" t="s">
        <v>181</v>
      </c>
      <c r="D146" s="54">
        <f>(48.44)*(10.764)</f>
        <v>521.40815999999995</v>
      </c>
      <c r="E146" s="42">
        <v>0</v>
      </c>
      <c r="F146" s="42">
        <f t="shared" si="5"/>
        <v>808.18264799999997</v>
      </c>
      <c r="G146" s="165"/>
      <c r="H146" s="166"/>
      <c r="I146" s="36"/>
      <c r="J146" s="37"/>
    </row>
    <row r="147" spans="1:10" s="35" customFormat="1" x14ac:dyDescent="0.3">
      <c r="A147" s="146">
        <v>6</v>
      </c>
      <c r="B147" s="147"/>
      <c r="C147" s="42" t="s">
        <v>182</v>
      </c>
      <c r="D147" s="54">
        <f>(33.98)*(10.764)</f>
        <v>365.76071999999994</v>
      </c>
      <c r="E147" s="42">
        <v>0</v>
      </c>
      <c r="F147" s="42">
        <f t="shared" si="5"/>
        <v>566.92911599999991</v>
      </c>
      <c r="G147" s="165"/>
      <c r="H147" s="166"/>
      <c r="I147" s="36"/>
      <c r="J147" s="37"/>
    </row>
    <row r="148" spans="1:10" s="35" customFormat="1" x14ac:dyDescent="0.3">
      <c r="A148" s="146">
        <v>7</v>
      </c>
      <c r="B148" s="147"/>
      <c r="C148" s="42" t="s">
        <v>182</v>
      </c>
      <c r="D148" s="54">
        <f>(33.98)*(10.764)</f>
        <v>365.76071999999994</v>
      </c>
      <c r="E148" s="42">
        <v>0</v>
      </c>
      <c r="F148" s="42">
        <f t="shared" si="5"/>
        <v>566.92911599999991</v>
      </c>
      <c r="G148" s="165"/>
      <c r="H148" s="166"/>
      <c r="I148" s="36"/>
      <c r="J148" s="37"/>
    </row>
    <row r="149" spans="1:10" s="35" customFormat="1" x14ac:dyDescent="0.3">
      <c r="A149" s="146">
        <v>8</v>
      </c>
      <c r="B149" s="147"/>
      <c r="C149" s="42" t="s">
        <v>181</v>
      </c>
      <c r="D149" s="54">
        <f>(48.44)*(10.764)</f>
        <v>521.40815999999995</v>
      </c>
      <c r="E149" s="42">
        <v>0</v>
      </c>
      <c r="F149" s="42">
        <f t="shared" si="5"/>
        <v>808.18264799999997</v>
      </c>
      <c r="G149" s="167"/>
      <c r="H149" s="168"/>
      <c r="I149" s="36"/>
      <c r="J149" s="37"/>
    </row>
    <row r="150" spans="1:10" s="35" customFormat="1" x14ac:dyDescent="0.3">
      <c r="A150" s="73" t="s">
        <v>219</v>
      </c>
      <c r="B150" s="74"/>
      <c r="C150" s="74"/>
      <c r="D150" s="74"/>
      <c r="E150" s="74"/>
      <c r="F150" s="74"/>
      <c r="G150" s="74"/>
      <c r="H150" s="75"/>
      <c r="I150" s="36"/>
      <c r="J150" s="37"/>
    </row>
    <row r="151" spans="1:10" s="35" customFormat="1" x14ac:dyDescent="0.3">
      <c r="A151" s="146">
        <v>1</v>
      </c>
      <c r="B151" s="147"/>
      <c r="C151" s="42" t="s">
        <v>181</v>
      </c>
      <c r="D151" s="54">
        <f>(48.42)*(10.764)</f>
        <v>521.19287999999995</v>
      </c>
      <c r="E151" s="42">
        <v>0</v>
      </c>
      <c r="F151" s="42">
        <f t="shared" ref="F151:F158" si="6">D151*(($F$119)+1)+(IF(E151&lt;101,E151,IF(E151&lt;201,E151/2,IF(E151&lt;=301,E151/3,E151/4))))</f>
        <v>807.84896399999991</v>
      </c>
      <c r="G151" s="163" t="str">
        <f>A150</f>
        <v>6th, 7th, 9th to 14th, 16th to 21st, 23rd to 28th &amp; 30th to 34th Floor</v>
      </c>
      <c r="H151" s="164"/>
      <c r="I151" s="36">
        <f>2.7*5.15+1.8*2.25+2.75*3.15+1.92*0.9+2*0.57+1.46*0.6+1.2*1.9+1.2*1.9</f>
        <v>34.921500000000002</v>
      </c>
      <c r="J151" s="37"/>
    </row>
    <row r="152" spans="1:10" s="35" customFormat="1" x14ac:dyDescent="0.3">
      <c r="A152" s="146">
        <v>2</v>
      </c>
      <c r="B152" s="147"/>
      <c r="C152" s="42" t="s">
        <v>182</v>
      </c>
      <c r="D152" s="54">
        <f>(36.71)*(10.764)</f>
        <v>395.14643999999998</v>
      </c>
      <c r="E152" s="42">
        <v>0</v>
      </c>
      <c r="F152" s="42">
        <f t="shared" si="6"/>
        <v>612.47698200000002</v>
      </c>
      <c r="G152" s="165"/>
      <c r="H152" s="166"/>
      <c r="I152" s="36"/>
      <c r="J152" s="37"/>
    </row>
    <row r="153" spans="1:10" s="35" customFormat="1" x14ac:dyDescent="0.3">
      <c r="A153" s="146">
        <v>3</v>
      </c>
      <c r="B153" s="147"/>
      <c r="C153" s="42" t="s">
        <v>182</v>
      </c>
      <c r="D153" s="54">
        <f>(36.71)*(10.764)</f>
        <v>395.14643999999998</v>
      </c>
      <c r="E153" s="42">
        <v>0</v>
      </c>
      <c r="F153" s="42">
        <f t="shared" si="6"/>
        <v>612.47698200000002</v>
      </c>
      <c r="G153" s="165"/>
      <c r="H153" s="166"/>
      <c r="I153" s="36"/>
      <c r="J153" s="37"/>
    </row>
    <row r="154" spans="1:10" s="35" customFormat="1" x14ac:dyDescent="0.3">
      <c r="A154" s="146">
        <v>4</v>
      </c>
      <c r="B154" s="147"/>
      <c r="C154" s="42" t="s">
        <v>181</v>
      </c>
      <c r="D154" s="54">
        <f>(48.42)*(10.764)</f>
        <v>521.19287999999995</v>
      </c>
      <c r="E154" s="42">
        <v>0</v>
      </c>
      <c r="F154" s="42">
        <f t="shared" si="6"/>
        <v>807.84896399999991</v>
      </c>
      <c r="G154" s="165"/>
      <c r="H154" s="166"/>
      <c r="I154" s="36"/>
      <c r="J154" s="37"/>
    </row>
    <row r="155" spans="1:10" s="35" customFormat="1" x14ac:dyDescent="0.3">
      <c r="A155" s="146">
        <v>5</v>
      </c>
      <c r="B155" s="147"/>
      <c r="C155" s="42" t="s">
        <v>181</v>
      </c>
      <c r="D155" s="54">
        <f>(48.44)*(10.764)</f>
        <v>521.40815999999995</v>
      </c>
      <c r="E155" s="42">
        <v>0</v>
      </c>
      <c r="F155" s="42">
        <f t="shared" si="6"/>
        <v>808.18264799999997</v>
      </c>
      <c r="G155" s="165"/>
      <c r="H155" s="166"/>
      <c r="I155" s="36"/>
      <c r="J155" s="37"/>
    </row>
    <row r="156" spans="1:10" s="35" customFormat="1" x14ac:dyDescent="0.3">
      <c r="A156" s="146">
        <v>6</v>
      </c>
      <c r="B156" s="147"/>
      <c r="C156" s="42" t="s">
        <v>182</v>
      </c>
      <c r="D156" s="54">
        <f>(33.98)*(10.764)</f>
        <v>365.76071999999994</v>
      </c>
      <c r="E156" s="42">
        <v>0</v>
      </c>
      <c r="F156" s="42">
        <f t="shared" si="6"/>
        <v>566.92911599999991</v>
      </c>
      <c r="G156" s="165"/>
      <c r="H156" s="166"/>
      <c r="I156" s="36"/>
      <c r="J156" s="37"/>
    </row>
    <row r="157" spans="1:10" x14ac:dyDescent="0.3">
      <c r="A157" s="146">
        <v>7</v>
      </c>
      <c r="B157" s="147"/>
      <c r="C157" s="42" t="s">
        <v>182</v>
      </c>
      <c r="D157" s="54">
        <f>(33.98)*(10.764)</f>
        <v>365.76071999999994</v>
      </c>
      <c r="E157" s="42">
        <v>0</v>
      </c>
      <c r="F157" s="42">
        <f t="shared" si="6"/>
        <v>566.92911599999991</v>
      </c>
      <c r="G157" s="165"/>
      <c r="H157" s="166"/>
      <c r="I157" s="36"/>
      <c r="J157" s="37"/>
    </row>
    <row r="158" spans="1:10" x14ac:dyDescent="0.3">
      <c r="A158" s="146">
        <v>8</v>
      </c>
      <c r="B158" s="147"/>
      <c r="C158" s="42" t="s">
        <v>181</v>
      </c>
      <c r="D158" s="54">
        <f>(48.44)*(10.764)</f>
        <v>521.40815999999995</v>
      </c>
      <c r="E158" s="42">
        <v>0</v>
      </c>
      <c r="F158" s="42">
        <f t="shared" si="6"/>
        <v>808.18264799999997</v>
      </c>
      <c r="G158" s="167"/>
      <c r="H158" s="168"/>
      <c r="I158" s="36">
        <f>2.7*5.15+2.72*2.75+1.2*2+1.22*0.6+2*0.57+1.92*0.9+1.8*2.25+2.75*3.15+1.46*0.6+1.2*1.9+1.2*1.9</f>
        <v>45.533500000000004</v>
      </c>
      <c r="J158" s="37"/>
    </row>
    <row r="159" spans="1:10" ht="15.75" customHeight="1" x14ac:dyDescent="0.3">
      <c r="A159" s="73" t="s">
        <v>220</v>
      </c>
      <c r="B159" s="74"/>
      <c r="C159" s="74"/>
      <c r="D159" s="74"/>
      <c r="E159" s="74"/>
      <c r="F159" s="74"/>
      <c r="G159" s="74"/>
      <c r="H159" s="75"/>
      <c r="I159" s="36"/>
      <c r="J159" s="37"/>
    </row>
    <row r="160" spans="1:10" x14ac:dyDescent="0.3">
      <c r="A160" s="146">
        <v>1</v>
      </c>
      <c r="B160" s="147"/>
      <c r="C160" s="42" t="s">
        <v>182</v>
      </c>
      <c r="D160" s="54">
        <f>(36.91)*(10.764)</f>
        <v>397.29923999999994</v>
      </c>
      <c r="E160" s="42">
        <v>0</v>
      </c>
      <c r="F160" s="42">
        <f>D160*(($F$119)+1)+(IF(E160&lt;101,E160,IF(E160&lt;201,E160/2,IF(E160&lt;=301,E160/3,E160/4))))</f>
        <v>615.81382199999996</v>
      </c>
      <c r="G160" s="163" t="str">
        <f>A159</f>
        <v>8th, 15th, 22nd &amp; 29th (Part Refuge Area)</v>
      </c>
      <c r="H160" s="164"/>
      <c r="I160" s="35"/>
      <c r="J160" s="35"/>
    </row>
    <row r="161" spans="1:10" x14ac:dyDescent="0.3">
      <c r="A161" s="146">
        <v>2</v>
      </c>
      <c r="B161" s="147"/>
      <c r="C161" s="163" t="s">
        <v>184</v>
      </c>
      <c r="D161" s="171"/>
      <c r="E161" s="171"/>
      <c r="F161" s="164"/>
      <c r="G161" s="165"/>
      <c r="H161" s="166"/>
      <c r="I161" s="35"/>
      <c r="J161" s="35"/>
    </row>
    <row r="162" spans="1:10" ht="15.75" customHeight="1" x14ac:dyDescent="0.3">
      <c r="A162" s="146">
        <v>3</v>
      </c>
      <c r="B162" s="147"/>
      <c r="C162" s="167"/>
      <c r="D162" s="172"/>
      <c r="E162" s="172"/>
      <c r="F162" s="168"/>
      <c r="G162" s="165"/>
      <c r="H162" s="166"/>
      <c r="I162" s="35"/>
      <c r="J162" s="35"/>
    </row>
    <row r="163" spans="1:10" ht="15.75" customHeight="1" x14ac:dyDescent="0.3">
      <c r="A163" s="146">
        <v>4</v>
      </c>
      <c r="B163" s="147"/>
      <c r="C163" s="42" t="s">
        <v>181</v>
      </c>
      <c r="D163" s="54">
        <f>(48.42)*(10.764)</f>
        <v>521.19287999999995</v>
      </c>
      <c r="E163" s="42">
        <v>0</v>
      </c>
      <c r="F163" s="42">
        <f>D163*(($F$119)+1)+(IF(E163&lt;101,E163,IF(E163&lt;201,E163/2,IF(E163&lt;=301,E163/3,E163/4))))</f>
        <v>807.84896399999991</v>
      </c>
      <c r="G163" s="165"/>
      <c r="H163" s="166"/>
      <c r="I163" s="35"/>
      <c r="J163" s="35"/>
    </row>
    <row r="164" spans="1:10" ht="15.75" customHeight="1" x14ac:dyDescent="0.3">
      <c r="A164" s="146">
        <v>5</v>
      </c>
      <c r="B164" s="147"/>
      <c r="C164" s="42" t="s">
        <v>181</v>
      </c>
      <c r="D164" s="54">
        <f>(48.44)*(10.764)</f>
        <v>521.40815999999995</v>
      </c>
      <c r="E164" s="42">
        <v>0</v>
      </c>
      <c r="F164" s="42">
        <f>D164*(($F$119)+1)+(IF(E164&lt;101,E164,IF(E164&lt;201,E164/2,IF(E164&lt;=301,E164/3,E164/4))))</f>
        <v>808.18264799999997</v>
      </c>
      <c r="G164" s="165"/>
      <c r="H164" s="166"/>
      <c r="I164" s="35"/>
      <c r="J164" s="35"/>
    </row>
    <row r="165" spans="1:10" x14ac:dyDescent="0.3">
      <c r="A165" s="146">
        <v>6</v>
      </c>
      <c r="B165" s="147"/>
      <c r="C165" s="42" t="s">
        <v>182</v>
      </c>
      <c r="D165" s="54">
        <f>(33.98)*(10.764)</f>
        <v>365.76071999999994</v>
      </c>
      <c r="E165" s="42">
        <v>0</v>
      </c>
      <c r="F165" s="42">
        <f>D165*(($F$119)+1)+(IF(E165&lt;101,E165,IF(E165&lt;201,E165/2,IF(E165&lt;=301,E165/3,E165/4))))</f>
        <v>566.92911599999991</v>
      </c>
      <c r="G165" s="165"/>
      <c r="H165" s="166"/>
      <c r="I165" s="35"/>
      <c r="J165" s="35"/>
    </row>
    <row r="166" spans="1:10" x14ac:dyDescent="0.3">
      <c r="A166" s="146">
        <v>7</v>
      </c>
      <c r="B166" s="147"/>
      <c r="C166" s="42" t="s">
        <v>182</v>
      </c>
      <c r="D166" s="54">
        <f>(33.98)*(10.764)</f>
        <v>365.76071999999994</v>
      </c>
      <c r="E166" s="42">
        <v>0</v>
      </c>
      <c r="F166" s="42">
        <f>D166*(($F$119)+1)+(IF(E166&lt;101,E166,IF(E166&lt;201,E166/2,IF(E166&lt;=301,E166/3,E166/4))))</f>
        <v>566.92911599999991</v>
      </c>
      <c r="G166" s="165"/>
      <c r="H166" s="166"/>
      <c r="I166" s="35"/>
      <c r="J166" s="35"/>
    </row>
    <row r="167" spans="1:10" x14ac:dyDescent="0.3">
      <c r="A167" s="146">
        <v>8</v>
      </c>
      <c r="B167" s="147"/>
      <c r="C167" s="42" t="s">
        <v>181</v>
      </c>
      <c r="D167" s="54">
        <f>(48.44)*(10.764)</f>
        <v>521.40815999999995</v>
      </c>
      <c r="E167" s="42">
        <v>0</v>
      </c>
      <c r="F167" s="42">
        <f>D167*(($F$119)+1)+(IF(E167&lt;101,E167,IF(E167&lt;201,E167/2,IF(E167&lt;=301,E167/3,E167/4))))</f>
        <v>808.18264799999997</v>
      </c>
      <c r="G167" s="167"/>
      <c r="H167" s="168"/>
      <c r="I167" s="35"/>
      <c r="J167" s="35"/>
    </row>
    <row r="168" spans="1:10" x14ac:dyDescent="0.3">
      <c r="A168" s="73" t="s">
        <v>221</v>
      </c>
      <c r="B168" s="74"/>
      <c r="C168" s="74"/>
      <c r="D168" s="74"/>
      <c r="E168" s="74"/>
      <c r="F168" s="74"/>
      <c r="G168" s="74"/>
      <c r="H168" s="75"/>
      <c r="I168" s="35"/>
      <c r="J168" s="35"/>
    </row>
    <row r="169" spans="1:10" x14ac:dyDescent="0.3">
      <c r="A169" s="146">
        <v>1</v>
      </c>
      <c r="B169" s="147"/>
      <c r="C169" s="42" t="s">
        <v>181</v>
      </c>
      <c r="D169" s="54">
        <f>(48.42)*(10.764)</f>
        <v>521.19287999999995</v>
      </c>
      <c r="E169" s="42">
        <v>0</v>
      </c>
      <c r="F169" s="42">
        <f t="shared" ref="F169:F176" si="7">D169*(($F$119)+1)+(IF(E169&lt;101,E169,IF(E169&lt;201,E169/2,IF(E169&lt;=301,E169/3,E169/4))))</f>
        <v>807.84896399999991</v>
      </c>
      <c r="G169" s="163" t="str">
        <f>A168</f>
        <v>35th Floor</v>
      </c>
      <c r="H169" s="164"/>
      <c r="I169" s="35"/>
      <c r="J169" s="35"/>
    </row>
    <row r="170" spans="1:10" x14ac:dyDescent="0.3">
      <c r="A170" s="146">
        <v>2</v>
      </c>
      <c r="B170" s="147"/>
      <c r="C170" s="42" t="s">
        <v>182</v>
      </c>
      <c r="D170" s="54">
        <f>(36.71)*(10.764)</f>
        <v>395.14643999999998</v>
      </c>
      <c r="E170" s="42">
        <v>0</v>
      </c>
      <c r="F170" s="42">
        <f t="shared" si="7"/>
        <v>612.47698200000002</v>
      </c>
      <c r="G170" s="165"/>
      <c r="H170" s="166"/>
    </row>
    <row r="171" spans="1:10" ht="15" customHeight="1" x14ac:dyDescent="0.3">
      <c r="A171" s="146">
        <v>3</v>
      </c>
      <c r="B171" s="147"/>
      <c r="C171" s="42" t="s">
        <v>182</v>
      </c>
      <c r="D171" s="54">
        <f>(36.71)*(10.764)</f>
        <v>395.14643999999998</v>
      </c>
      <c r="E171" s="42">
        <v>0</v>
      </c>
      <c r="F171" s="42">
        <f t="shared" si="7"/>
        <v>612.47698200000002</v>
      </c>
      <c r="G171" s="165"/>
      <c r="H171" s="166"/>
    </row>
    <row r="172" spans="1:10" x14ac:dyDescent="0.3">
      <c r="A172" s="146">
        <v>4</v>
      </c>
      <c r="B172" s="147"/>
      <c r="C172" s="42" t="s">
        <v>181</v>
      </c>
      <c r="D172" s="54">
        <f>(48.42)*(10.764)</f>
        <v>521.19287999999995</v>
      </c>
      <c r="E172" s="42">
        <v>0</v>
      </c>
      <c r="F172" s="42">
        <f t="shared" si="7"/>
        <v>807.84896399999991</v>
      </c>
      <c r="G172" s="165"/>
      <c r="H172" s="166"/>
    </row>
    <row r="173" spans="1:10" x14ac:dyDescent="0.3">
      <c r="A173" s="146">
        <v>5</v>
      </c>
      <c r="B173" s="147"/>
      <c r="C173" s="42" t="s">
        <v>181</v>
      </c>
      <c r="D173" s="54">
        <f>(48.44)*(10.764)</f>
        <v>521.40815999999995</v>
      </c>
      <c r="E173" s="42">
        <v>0</v>
      </c>
      <c r="F173" s="42">
        <f t="shared" si="7"/>
        <v>808.18264799999997</v>
      </c>
      <c r="G173" s="165"/>
      <c r="H173" s="166"/>
    </row>
    <row r="174" spans="1:10" x14ac:dyDescent="0.3">
      <c r="A174" s="146">
        <v>6</v>
      </c>
      <c r="B174" s="147"/>
      <c r="C174" s="42" t="s">
        <v>182</v>
      </c>
      <c r="D174" s="54">
        <f>(33.98)*(10.764)</f>
        <v>365.76071999999994</v>
      </c>
      <c r="E174" s="42">
        <v>0</v>
      </c>
      <c r="F174" s="42">
        <f t="shared" si="7"/>
        <v>566.92911599999991</v>
      </c>
      <c r="G174" s="165"/>
      <c r="H174" s="166"/>
    </row>
    <row r="175" spans="1:10" x14ac:dyDescent="0.3">
      <c r="A175" s="146">
        <v>7</v>
      </c>
      <c r="B175" s="147"/>
      <c r="C175" s="42" t="s">
        <v>182</v>
      </c>
      <c r="D175" s="54">
        <f>(33.98)*(10.764)</f>
        <v>365.76071999999994</v>
      </c>
      <c r="E175" s="42">
        <v>0</v>
      </c>
      <c r="F175" s="42">
        <f t="shared" si="7"/>
        <v>566.92911599999991</v>
      </c>
      <c r="G175" s="165"/>
      <c r="H175" s="166"/>
    </row>
    <row r="176" spans="1:10" x14ac:dyDescent="0.3">
      <c r="A176" s="146">
        <v>8</v>
      </c>
      <c r="B176" s="147"/>
      <c r="C176" s="42" t="s">
        <v>181</v>
      </c>
      <c r="D176" s="54">
        <f>(48.44)*(10.764)</f>
        <v>521.40815999999995</v>
      </c>
      <c r="E176" s="42">
        <v>0</v>
      </c>
      <c r="F176" s="42">
        <f t="shared" si="7"/>
        <v>808.18264799999997</v>
      </c>
      <c r="G176" s="167"/>
      <c r="H176" s="168"/>
    </row>
    <row r="177" spans="1:8" x14ac:dyDescent="0.3">
      <c r="A177" s="73" t="s">
        <v>222</v>
      </c>
      <c r="B177" s="74"/>
      <c r="C177" s="74"/>
      <c r="D177" s="74"/>
      <c r="E177" s="74"/>
      <c r="F177" s="74"/>
      <c r="G177" s="74"/>
      <c r="H177" s="75"/>
    </row>
    <row r="178" spans="1:8" x14ac:dyDescent="0.3">
      <c r="A178" s="146">
        <v>1</v>
      </c>
      <c r="B178" s="147"/>
      <c r="C178" s="42" t="s">
        <v>182</v>
      </c>
      <c r="D178" s="54">
        <f>(36.91)*(10.764)</f>
        <v>397.29923999999994</v>
      </c>
      <c r="E178" s="42">
        <v>0</v>
      </c>
      <c r="F178" s="42">
        <f t="shared" ref="F178:F185" si="8">D178*(($F$119)+1)+(IF(E178&lt;101,E178,IF(E178&lt;201,E178/2,IF(E178&lt;=301,E178/3,E178/4))))</f>
        <v>615.81382199999996</v>
      </c>
      <c r="G178" s="163" t="str">
        <f>A177</f>
        <v>36th Floor (Part Refuge Area)</v>
      </c>
      <c r="H178" s="164"/>
    </row>
    <row r="179" spans="1:8" x14ac:dyDescent="0.3">
      <c r="A179" s="146">
        <v>2</v>
      </c>
      <c r="B179" s="147"/>
      <c r="C179" s="146" t="s">
        <v>184</v>
      </c>
      <c r="D179" s="169"/>
      <c r="E179" s="169"/>
      <c r="F179" s="147"/>
      <c r="G179" s="165"/>
      <c r="H179" s="166"/>
    </row>
    <row r="180" spans="1:8" x14ac:dyDescent="0.3">
      <c r="A180" s="146">
        <v>3</v>
      </c>
      <c r="B180" s="147"/>
      <c r="C180" s="42" t="s">
        <v>182</v>
      </c>
      <c r="D180" s="54">
        <f>(36.71)*(10.764)</f>
        <v>395.14643999999998</v>
      </c>
      <c r="E180" s="42">
        <v>0</v>
      </c>
      <c r="F180" s="42">
        <f t="shared" si="8"/>
        <v>612.47698200000002</v>
      </c>
      <c r="G180" s="165"/>
      <c r="H180" s="166"/>
    </row>
    <row r="181" spans="1:8" x14ac:dyDescent="0.3">
      <c r="A181" s="146">
        <v>4</v>
      </c>
      <c r="B181" s="147"/>
      <c r="C181" s="42" t="s">
        <v>181</v>
      </c>
      <c r="D181" s="54">
        <f>(48.42)*(10.764)</f>
        <v>521.19287999999995</v>
      </c>
      <c r="E181" s="42">
        <v>0</v>
      </c>
      <c r="F181" s="42">
        <f t="shared" si="8"/>
        <v>807.84896399999991</v>
      </c>
      <c r="G181" s="165"/>
      <c r="H181" s="166"/>
    </row>
    <row r="182" spans="1:8" x14ac:dyDescent="0.3">
      <c r="A182" s="146">
        <v>5</v>
      </c>
      <c r="B182" s="147"/>
      <c r="C182" s="42" t="s">
        <v>181</v>
      </c>
      <c r="D182" s="54">
        <f>(48.44)*(10.764)</f>
        <v>521.40815999999995</v>
      </c>
      <c r="E182" s="42">
        <v>0</v>
      </c>
      <c r="F182" s="42">
        <f t="shared" si="8"/>
        <v>808.18264799999997</v>
      </c>
      <c r="G182" s="165"/>
      <c r="H182" s="166"/>
    </row>
    <row r="183" spans="1:8" x14ac:dyDescent="0.3">
      <c r="A183" s="146">
        <v>6</v>
      </c>
      <c r="B183" s="147"/>
      <c r="C183" s="42" t="s">
        <v>182</v>
      </c>
      <c r="D183" s="54">
        <f>(33.98)*(10.764)</f>
        <v>365.76071999999994</v>
      </c>
      <c r="E183" s="42">
        <v>0</v>
      </c>
      <c r="F183" s="42">
        <f t="shared" si="8"/>
        <v>566.92911599999991</v>
      </c>
      <c r="G183" s="165"/>
      <c r="H183" s="166"/>
    </row>
    <row r="184" spans="1:8" x14ac:dyDescent="0.3">
      <c r="A184" s="146">
        <v>7</v>
      </c>
      <c r="B184" s="147"/>
      <c r="C184" s="42" t="s">
        <v>182</v>
      </c>
      <c r="D184" s="54">
        <f>(33.98)*(10.764)</f>
        <v>365.76071999999994</v>
      </c>
      <c r="E184" s="42">
        <v>0</v>
      </c>
      <c r="F184" s="42">
        <f t="shared" si="8"/>
        <v>566.92911599999991</v>
      </c>
      <c r="G184" s="165"/>
      <c r="H184" s="166"/>
    </row>
    <row r="185" spans="1:8" x14ac:dyDescent="0.3">
      <c r="A185" s="146">
        <v>8</v>
      </c>
      <c r="B185" s="147"/>
      <c r="C185" s="42" t="s">
        <v>181</v>
      </c>
      <c r="D185" s="54">
        <f>(48.44)*(10.764)</f>
        <v>521.40815999999995</v>
      </c>
      <c r="E185" s="42">
        <v>0</v>
      </c>
      <c r="F185" s="42">
        <f t="shared" si="8"/>
        <v>808.18264799999997</v>
      </c>
      <c r="G185" s="167"/>
      <c r="H185" s="168"/>
    </row>
    <row r="186" spans="1:8" x14ac:dyDescent="0.3">
      <c r="A186" s="73" t="s">
        <v>227</v>
      </c>
      <c r="B186" s="74"/>
      <c r="C186" s="74"/>
      <c r="D186" s="74"/>
      <c r="E186" s="74"/>
      <c r="F186" s="74"/>
      <c r="G186" s="74"/>
      <c r="H186" s="75"/>
    </row>
    <row r="187" spans="1:8" x14ac:dyDescent="0.3">
      <c r="A187" s="146">
        <v>1</v>
      </c>
      <c r="B187" s="147"/>
      <c r="C187" s="42" t="s">
        <v>181</v>
      </c>
      <c r="D187" s="54">
        <f>(48.42)*(10.764)</f>
        <v>521.19287999999995</v>
      </c>
      <c r="E187" s="42">
        <v>0</v>
      </c>
      <c r="F187" s="42">
        <f>D187*(($F$119)+1)+(IF(E187&lt;101,E187,IF(E187&lt;201,E187/2,IF(E187&lt;=301,E187/3,E187/4))))</f>
        <v>807.84896399999991</v>
      </c>
      <c r="G187" s="163" t="str">
        <f>A186</f>
        <v>37th &amp; 39th Floor</v>
      </c>
      <c r="H187" s="164"/>
    </row>
    <row r="188" spans="1:8" x14ac:dyDescent="0.3">
      <c r="A188" s="146">
        <v>2</v>
      </c>
      <c r="B188" s="147"/>
      <c r="C188" s="42" t="s">
        <v>182</v>
      </c>
      <c r="D188" s="54">
        <f>(36.71)*(10.764)</f>
        <v>395.14643999999998</v>
      </c>
      <c r="E188" s="42">
        <v>0</v>
      </c>
      <c r="F188" s="42">
        <f>D188*(($F$119)+1)+(IF(E188&lt;101,E188,IF(E188&lt;201,E188/2,IF(E188&lt;=301,E188/3,E188/4))))</f>
        <v>612.47698200000002</v>
      </c>
      <c r="G188" s="165"/>
      <c r="H188" s="166"/>
    </row>
    <row r="189" spans="1:8" x14ac:dyDescent="0.3">
      <c r="A189" s="146">
        <v>3</v>
      </c>
      <c r="B189" s="147"/>
      <c r="C189" s="42" t="s">
        <v>182</v>
      </c>
      <c r="D189" s="54">
        <f>(36.71)*(10.764)</f>
        <v>395.14643999999998</v>
      </c>
      <c r="E189" s="42">
        <v>0</v>
      </c>
      <c r="F189" s="42">
        <f t="shared" ref="F189:F194" si="9">D189*(($F$119)+1)+(IF(E189&lt;101,E189,IF(E189&lt;201,E189/2,IF(E189&lt;=301,E189/3,E189/4))))</f>
        <v>612.47698200000002</v>
      </c>
      <c r="G189" s="165"/>
      <c r="H189" s="166"/>
    </row>
    <row r="190" spans="1:8" x14ac:dyDescent="0.3">
      <c r="A190" s="146">
        <v>4</v>
      </c>
      <c r="B190" s="147"/>
      <c r="C190" s="42" t="s">
        <v>181</v>
      </c>
      <c r="D190" s="54">
        <f>(48.42)*(10.764)</f>
        <v>521.19287999999995</v>
      </c>
      <c r="E190" s="42">
        <v>0</v>
      </c>
      <c r="F190" s="42">
        <f t="shared" si="9"/>
        <v>807.84896399999991</v>
      </c>
      <c r="G190" s="165"/>
      <c r="H190" s="166"/>
    </row>
    <row r="191" spans="1:8" x14ac:dyDescent="0.3">
      <c r="A191" s="146">
        <v>5</v>
      </c>
      <c r="B191" s="147"/>
      <c r="C191" s="42" t="s">
        <v>181</v>
      </c>
      <c r="D191" s="54">
        <f>(48.44)*(10.764)</f>
        <v>521.40815999999995</v>
      </c>
      <c r="E191" s="42">
        <v>0</v>
      </c>
      <c r="F191" s="42">
        <f t="shared" si="9"/>
        <v>808.18264799999997</v>
      </c>
      <c r="G191" s="165"/>
      <c r="H191" s="166"/>
    </row>
    <row r="192" spans="1:8" x14ac:dyDescent="0.3">
      <c r="A192" s="146">
        <v>6</v>
      </c>
      <c r="B192" s="147"/>
      <c r="C192" s="42" t="s">
        <v>182</v>
      </c>
      <c r="D192" s="54">
        <f>(33.98)*(10.764)</f>
        <v>365.76071999999994</v>
      </c>
      <c r="E192" s="42">
        <v>0</v>
      </c>
      <c r="F192" s="42">
        <f t="shared" si="9"/>
        <v>566.92911599999991</v>
      </c>
      <c r="G192" s="165"/>
      <c r="H192" s="166"/>
    </row>
    <row r="193" spans="1:9" x14ac:dyDescent="0.3">
      <c r="A193" s="146">
        <v>7</v>
      </c>
      <c r="B193" s="147"/>
      <c r="C193" s="42" t="s">
        <v>182</v>
      </c>
      <c r="D193" s="54">
        <f>(33.98)*(10.764)</f>
        <v>365.76071999999994</v>
      </c>
      <c r="E193" s="42">
        <v>0</v>
      </c>
      <c r="F193" s="42">
        <f t="shared" si="9"/>
        <v>566.92911599999991</v>
      </c>
      <c r="G193" s="165"/>
      <c r="H193" s="166"/>
    </row>
    <row r="194" spans="1:9" x14ac:dyDescent="0.3">
      <c r="A194" s="146">
        <v>8</v>
      </c>
      <c r="B194" s="147"/>
      <c r="C194" s="42" t="s">
        <v>181</v>
      </c>
      <c r="D194" s="54">
        <f>(48.44)*(10.764)</f>
        <v>521.40815999999995</v>
      </c>
      <c r="E194" s="42">
        <v>0</v>
      </c>
      <c r="F194" s="42">
        <f t="shared" si="9"/>
        <v>808.18264799999997</v>
      </c>
      <c r="G194" s="167"/>
      <c r="H194" s="168"/>
    </row>
    <row r="195" spans="1:9" x14ac:dyDescent="0.3">
      <c r="A195" s="73" t="s">
        <v>228</v>
      </c>
      <c r="B195" s="74"/>
      <c r="C195" s="74"/>
      <c r="D195" s="74"/>
      <c r="E195" s="74"/>
      <c r="F195" s="74"/>
      <c r="G195" s="74"/>
      <c r="H195" s="75"/>
    </row>
    <row r="196" spans="1:9" x14ac:dyDescent="0.3">
      <c r="A196" s="146">
        <v>1</v>
      </c>
      <c r="B196" s="147"/>
      <c r="C196" s="42" t="s">
        <v>181</v>
      </c>
      <c r="D196" s="54">
        <f>(48.42)*(10.764)</f>
        <v>521.19287999999995</v>
      </c>
      <c r="E196" s="42">
        <v>0</v>
      </c>
      <c r="F196" s="42">
        <f>D196*(($F$119)+1)+(IF(E196&lt;101,E196,IF(E196&lt;201,E196/2,IF(E196&lt;=301,E196/3,E196/4))))</f>
        <v>807.84896399999991</v>
      </c>
      <c r="G196" s="163" t="str">
        <f>A195</f>
        <v>38th Floor</v>
      </c>
      <c r="H196" s="164"/>
    </row>
    <row r="197" spans="1:9" x14ac:dyDescent="0.3">
      <c r="A197" s="146">
        <v>2</v>
      </c>
      <c r="B197" s="147"/>
      <c r="C197" s="42" t="s">
        <v>182</v>
      </c>
      <c r="D197" s="54">
        <f>(36.71)*(10.764)</f>
        <v>395.14643999999998</v>
      </c>
      <c r="E197" s="42">
        <v>0</v>
      </c>
      <c r="F197" s="42">
        <f>D197*(($F$119)+1)+(IF(E197&lt;101,E197,IF(E197&lt;201,E197/2,IF(E197&lt;=301,E197/3,E197/4))))</f>
        <v>612.47698200000002</v>
      </c>
      <c r="G197" s="165"/>
      <c r="H197" s="166"/>
    </row>
    <row r="198" spans="1:9" x14ac:dyDescent="0.3">
      <c r="A198" s="146">
        <v>3</v>
      </c>
      <c r="B198" s="147"/>
      <c r="C198" s="42" t="s">
        <v>182</v>
      </c>
      <c r="D198" s="54">
        <f>(36.71)*(10.764)</f>
        <v>395.14643999999998</v>
      </c>
      <c r="E198" s="42">
        <v>0</v>
      </c>
      <c r="F198" s="42">
        <f t="shared" ref="F198:F203" si="10">D198*(($F$119)+1)+(IF(E198&lt;101,E198,IF(E198&lt;201,E198/2,IF(E198&lt;=301,E198/3,E198/4))))</f>
        <v>612.47698200000002</v>
      </c>
      <c r="G198" s="165"/>
      <c r="H198" s="166"/>
      <c r="I198" s="54">
        <v>10.763999999999999</v>
      </c>
    </row>
    <row r="199" spans="1:9" x14ac:dyDescent="0.3">
      <c r="A199" s="146">
        <v>4</v>
      </c>
      <c r="B199" s="147"/>
      <c r="C199" s="42" t="s">
        <v>181</v>
      </c>
      <c r="D199" s="54">
        <f>(48.42)*(10.764)</f>
        <v>521.19287999999995</v>
      </c>
      <c r="E199" s="42">
        <v>0</v>
      </c>
      <c r="F199" s="42">
        <f t="shared" si="10"/>
        <v>807.84896399999991</v>
      </c>
      <c r="G199" s="165"/>
      <c r="H199" s="166"/>
    </row>
    <row r="200" spans="1:9" x14ac:dyDescent="0.3">
      <c r="A200" s="146">
        <v>5</v>
      </c>
      <c r="B200" s="147"/>
      <c r="C200" s="42" t="s">
        <v>181</v>
      </c>
      <c r="D200" s="54">
        <f>(48.44)*(10.764)</f>
        <v>521.40815999999995</v>
      </c>
      <c r="E200" s="42">
        <v>0</v>
      </c>
      <c r="F200" s="42">
        <f t="shared" si="10"/>
        <v>808.18264799999997</v>
      </c>
      <c r="G200" s="165"/>
      <c r="H200" s="166"/>
    </row>
    <row r="201" spans="1:9" x14ac:dyDescent="0.3">
      <c r="A201" s="146">
        <v>6</v>
      </c>
      <c r="B201" s="147"/>
      <c r="C201" s="42" t="s">
        <v>182</v>
      </c>
      <c r="D201" s="54">
        <f>(33.98)*(10.764)</f>
        <v>365.76071999999994</v>
      </c>
      <c r="E201" s="42">
        <v>0</v>
      </c>
      <c r="F201" s="42">
        <f t="shared" si="10"/>
        <v>566.92911599999991</v>
      </c>
      <c r="G201" s="165"/>
      <c r="H201" s="166"/>
    </row>
    <row r="202" spans="1:9" x14ac:dyDescent="0.3">
      <c r="A202" s="146">
        <v>7</v>
      </c>
      <c r="B202" s="147"/>
      <c r="C202" s="42" t="s">
        <v>182</v>
      </c>
      <c r="D202" s="54">
        <f>(33.98)*(10.764)</f>
        <v>365.76071999999994</v>
      </c>
      <c r="E202" s="42">
        <v>0</v>
      </c>
      <c r="F202" s="42">
        <f t="shared" si="10"/>
        <v>566.92911599999991</v>
      </c>
      <c r="G202" s="165"/>
      <c r="H202" s="166"/>
    </row>
    <row r="203" spans="1:9" x14ac:dyDescent="0.3">
      <c r="A203" s="146">
        <v>8</v>
      </c>
      <c r="B203" s="147"/>
      <c r="C203" s="42" t="s">
        <v>181</v>
      </c>
      <c r="D203" s="54">
        <f>(48.44)*(10.764)</f>
        <v>521.40815999999995</v>
      </c>
      <c r="E203" s="42">
        <v>0</v>
      </c>
      <c r="F203" s="42">
        <f t="shared" si="10"/>
        <v>808.18264799999997</v>
      </c>
      <c r="G203" s="167"/>
      <c r="H203" s="168"/>
    </row>
    <row r="204" spans="1:9" x14ac:dyDescent="0.3">
      <c r="A204" s="73" t="s">
        <v>229</v>
      </c>
      <c r="B204" s="74"/>
      <c r="C204" s="74"/>
      <c r="D204" s="74"/>
      <c r="E204" s="74"/>
      <c r="F204" s="74"/>
      <c r="G204" s="74"/>
      <c r="H204" s="75"/>
    </row>
    <row r="205" spans="1:9" x14ac:dyDescent="0.3">
      <c r="A205" s="73" t="s">
        <v>211</v>
      </c>
      <c r="B205" s="74"/>
      <c r="C205" s="74"/>
      <c r="D205" s="74"/>
      <c r="E205" s="74"/>
      <c r="F205" s="74"/>
      <c r="G205" s="74"/>
      <c r="H205" s="75"/>
    </row>
    <row r="206" spans="1:9" ht="15.75" customHeight="1" x14ac:dyDescent="0.3">
      <c r="A206" s="73" t="s">
        <v>213</v>
      </c>
      <c r="B206" s="74"/>
      <c r="C206" s="74"/>
      <c r="D206" s="74"/>
      <c r="E206" s="74"/>
      <c r="F206" s="74"/>
      <c r="G206" s="74"/>
      <c r="H206" s="75"/>
    </row>
    <row r="207" spans="1:9" x14ac:dyDescent="0.3">
      <c r="A207" s="73" t="s">
        <v>214</v>
      </c>
      <c r="B207" s="74"/>
      <c r="C207" s="74"/>
      <c r="D207" s="74"/>
      <c r="E207" s="74"/>
      <c r="F207" s="74"/>
      <c r="G207" s="74"/>
      <c r="H207" s="75"/>
    </row>
    <row r="208" spans="1:9" x14ac:dyDescent="0.3">
      <c r="A208" s="143" t="s">
        <v>216</v>
      </c>
      <c r="B208" s="143"/>
      <c r="C208" s="143"/>
      <c r="D208" s="143"/>
      <c r="E208" s="143"/>
      <c r="F208" s="143"/>
      <c r="G208" s="143"/>
      <c r="H208" s="143"/>
    </row>
    <row r="209" spans="1:8" x14ac:dyDescent="0.3">
      <c r="A209" s="146">
        <v>1</v>
      </c>
      <c r="B209" s="147"/>
      <c r="C209" s="42" t="s">
        <v>181</v>
      </c>
      <c r="D209" s="54">
        <f>(54.5)*10.764</f>
        <v>586.63799999999992</v>
      </c>
      <c r="E209" s="42">
        <v>0</v>
      </c>
      <c r="F209" s="42">
        <f>D209*(($F$119)+1)+(IF(E209&lt;101,E209,IF(E209&lt;201,E209/2,IF(E209&lt;=301,E209/3,E209/4))))</f>
        <v>909.2888999999999</v>
      </c>
      <c r="G209" s="163" t="str">
        <f>A208</f>
        <v>1st Floor For Residential &amp; Part Parking Area</v>
      </c>
      <c r="H209" s="164"/>
    </row>
    <row r="210" spans="1:8" x14ac:dyDescent="0.3">
      <c r="A210" s="146">
        <v>2</v>
      </c>
      <c r="B210" s="147"/>
      <c r="C210" s="42" t="s">
        <v>181</v>
      </c>
      <c r="D210" s="54">
        <f>(54.35)*10.764</f>
        <v>585.02339999999992</v>
      </c>
      <c r="E210" s="42">
        <v>0</v>
      </c>
      <c r="F210" s="42">
        <f>D210*(($F$119)+1)+(IF(E210&lt;101,E210,IF(E210&lt;201,E210/2,IF(E210&lt;=301,E210/3,E210/4))))</f>
        <v>906.78626999999994</v>
      </c>
      <c r="G210" s="165"/>
      <c r="H210" s="166"/>
    </row>
    <row r="211" spans="1:8" x14ac:dyDescent="0.3">
      <c r="A211" s="146">
        <v>3</v>
      </c>
      <c r="B211" s="147"/>
      <c r="C211" s="163" t="s">
        <v>215</v>
      </c>
      <c r="D211" s="171"/>
      <c r="E211" s="171"/>
      <c r="F211" s="164"/>
      <c r="G211" s="165"/>
      <c r="H211" s="166"/>
    </row>
    <row r="212" spans="1:8" x14ac:dyDescent="0.3">
      <c r="A212" s="146">
        <v>4</v>
      </c>
      <c r="B212" s="147"/>
      <c r="C212" s="167"/>
      <c r="D212" s="172"/>
      <c r="E212" s="172"/>
      <c r="F212" s="168"/>
      <c r="G212" s="165"/>
      <c r="H212" s="166"/>
    </row>
    <row r="213" spans="1:8" x14ac:dyDescent="0.3">
      <c r="A213" s="143" t="s">
        <v>217</v>
      </c>
      <c r="B213" s="143"/>
      <c r="C213" s="143"/>
      <c r="D213" s="143"/>
      <c r="E213" s="143"/>
      <c r="F213" s="143"/>
      <c r="G213" s="143"/>
      <c r="H213" s="143"/>
    </row>
    <row r="214" spans="1:8" x14ac:dyDescent="0.3">
      <c r="A214" s="146">
        <v>1</v>
      </c>
      <c r="B214" s="147"/>
      <c r="C214" s="42" t="s">
        <v>181</v>
      </c>
      <c r="D214" s="54">
        <f>(57.99)*10.764</f>
        <v>624.20435999999995</v>
      </c>
      <c r="E214" s="42">
        <v>0</v>
      </c>
      <c r="F214" s="42">
        <f>D214*(($F$119)+1)+(IF(E214&lt;101,E214,IF(E214&lt;201,E214/2,IF(E214&lt;=301,E214/3,E214/4))))</f>
        <v>967.51675799999998</v>
      </c>
      <c r="G214" s="163" t="str">
        <f>A213</f>
        <v>2nd to 4th Floor</v>
      </c>
      <c r="H214" s="164"/>
    </row>
    <row r="215" spans="1:8" ht="15.75" customHeight="1" x14ac:dyDescent="0.3">
      <c r="A215" s="146">
        <v>2</v>
      </c>
      <c r="B215" s="147"/>
      <c r="C215" s="42" t="s">
        <v>181</v>
      </c>
      <c r="D215" s="54">
        <f>(57.81)*10.764</f>
        <v>622.26684</v>
      </c>
      <c r="E215" s="42">
        <v>0</v>
      </c>
      <c r="F215" s="42">
        <f>D215*(($F$119)+1)+(IF(E215&lt;101,E215,IF(E215&lt;201,E215/2,IF(E215&lt;=301,E215/3,E215/4))))</f>
        <v>964.51360199999999</v>
      </c>
      <c r="G215" s="165"/>
      <c r="H215" s="166"/>
    </row>
    <row r="216" spans="1:8" x14ac:dyDescent="0.3">
      <c r="A216" s="146">
        <v>3</v>
      </c>
      <c r="B216" s="147"/>
      <c r="C216" s="163" t="s">
        <v>215</v>
      </c>
      <c r="D216" s="171"/>
      <c r="E216" s="171"/>
      <c r="F216" s="164"/>
      <c r="G216" s="165"/>
      <c r="H216" s="166"/>
    </row>
    <row r="217" spans="1:8" x14ac:dyDescent="0.3">
      <c r="A217" s="146">
        <v>4</v>
      </c>
      <c r="B217" s="147"/>
      <c r="C217" s="167"/>
      <c r="D217" s="172"/>
      <c r="E217" s="172"/>
      <c r="F217" s="168"/>
      <c r="G217" s="165"/>
      <c r="H217" s="166"/>
    </row>
    <row r="218" spans="1:8" x14ac:dyDescent="0.3">
      <c r="A218" s="143" t="s">
        <v>218</v>
      </c>
      <c r="B218" s="143"/>
      <c r="C218" s="143"/>
      <c r="D218" s="143"/>
      <c r="E218" s="143"/>
      <c r="F218" s="143"/>
      <c r="G218" s="143"/>
      <c r="H218" s="143"/>
    </row>
    <row r="219" spans="1:8" x14ac:dyDescent="0.3">
      <c r="A219" s="146">
        <v>1</v>
      </c>
      <c r="B219" s="147"/>
      <c r="C219" s="42" t="s">
        <v>181</v>
      </c>
      <c r="D219" s="54">
        <f>(57.99)*10.764</f>
        <v>624.20435999999995</v>
      </c>
      <c r="E219" s="42">
        <v>0</v>
      </c>
      <c r="F219" s="42">
        <f>D219*(($F$119)+1)+(IF(E219&lt;101,E219,IF(E219&lt;201,E219/2,IF(E219&lt;=301,E219/3,E219/4))))</f>
        <v>967.51675799999998</v>
      </c>
      <c r="G219" s="163" t="str">
        <f>A218</f>
        <v>5th Floor For Residential</v>
      </c>
      <c r="H219" s="164"/>
    </row>
    <row r="220" spans="1:8" x14ac:dyDescent="0.3">
      <c r="A220" s="146">
        <v>2</v>
      </c>
      <c r="B220" s="147"/>
      <c r="C220" s="42" t="s">
        <v>181</v>
      </c>
      <c r="D220" s="54">
        <f>(57.81)*10.764</f>
        <v>622.26684</v>
      </c>
      <c r="E220" s="42">
        <v>0</v>
      </c>
      <c r="F220" s="42">
        <f>D220*(($F$119)+1)+(IF(E220&lt;101,E220,IF(E220&lt;201,E220/2,IF(E220&lt;=301,E220/3,E220/4))))</f>
        <v>964.51360199999999</v>
      </c>
      <c r="G220" s="165"/>
      <c r="H220" s="166"/>
    </row>
    <row r="221" spans="1:8" x14ac:dyDescent="0.3">
      <c r="A221" s="146">
        <v>3</v>
      </c>
      <c r="B221" s="147"/>
      <c r="C221" s="42" t="s">
        <v>181</v>
      </c>
      <c r="D221" s="54">
        <f>(55.22)*10.764</f>
        <v>594.38807999999995</v>
      </c>
      <c r="E221" s="42">
        <v>0</v>
      </c>
      <c r="F221" s="42">
        <f>D221*(($F$119)+1)+(IF(E221&lt;101,E221,IF(E221&lt;201,E221/2,IF(E221&lt;=301,E221/3,E221/4))))</f>
        <v>921.30152399999997</v>
      </c>
      <c r="G221" s="165"/>
      <c r="H221" s="166"/>
    </row>
    <row r="222" spans="1:8" x14ac:dyDescent="0.3">
      <c r="A222" s="146">
        <v>4</v>
      </c>
      <c r="B222" s="147"/>
      <c r="C222" s="42" t="s">
        <v>181</v>
      </c>
      <c r="D222" s="54">
        <f>(55.22)*10.764</f>
        <v>594.38807999999995</v>
      </c>
      <c r="E222" s="42">
        <v>0</v>
      </c>
      <c r="F222" s="42">
        <f>D222*(($F$119)+1)+(IF(E222&lt;101,E222,IF(E222&lt;201,E222/2,IF(E222&lt;=301,E222/3,E222/4))))</f>
        <v>921.30152399999997</v>
      </c>
      <c r="G222" s="165"/>
      <c r="H222" s="166"/>
    </row>
    <row r="223" spans="1:8" x14ac:dyDescent="0.3">
      <c r="A223" s="73" t="s">
        <v>219</v>
      </c>
      <c r="B223" s="74"/>
      <c r="C223" s="74"/>
      <c r="D223" s="74"/>
      <c r="E223" s="74"/>
      <c r="F223" s="74"/>
      <c r="G223" s="74"/>
      <c r="H223" s="75"/>
    </row>
    <row r="224" spans="1:8" x14ac:dyDescent="0.3">
      <c r="A224" s="146">
        <v>1</v>
      </c>
      <c r="B224" s="147"/>
      <c r="C224" s="42" t="s">
        <v>181</v>
      </c>
      <c r="D224" s="54">
        <f>(57.99)*10.764</f>
        <v>624.20435999999995</v>
      </c>
      <c r="E224" s="42">
        <v>0</v>
      </c>
      <c r="F224" s="42">
        <f>D224*(($F$119)+1)+(IF(E224&lt;101,E224,IF(E224&lt;201,E224/2,IF(E224&lt;=301,E224/3,E224/4))))</f>
        <v>967.51675799999998</v>
      </c>
      <c r="G224" s="163" t="str">
        <f>A223</f>
        <v>6th, 7th, 9th to 14th, 16th to 21st, 23rd to 28th &amp; 30th to 34th Floor</v>
      </c>
      <c r="H224" s="164"/>
    </row>
    <row r="225" spans="1:8" x14ac:dyDescent="0.3">
      <c r="A225" s="146">
        <v>2</v>
      </c>
      <c r="B225" s="147"/>
      <c r="C225" s="42" t="s">
        <v>181</v>
      </c>
      <c r="D225" s="54">
        <f>(57.81)*10.764</f>
        <v>622.26684</v>
      </c>
      <c r="E225" s="42">
        <v>0</v>
      </c>
      <c r="F225" s="42">
        <f>D225*(($F$119)+1)+(IF(E225&lt;101,E225,IF(E225&lt;201,E225/2,IF(E225&lt;=301,E225/3,E225/4))))</f>
        <v>964.51360199999999</v>
      </c>
      <c r="G225" s="165"/>
      <c r="H225" s="166"/>
    </row>
    <row r="226" spans="1:8" x14ac:dyDescent="0.3">
      <c r="A226" s="146">
        <v>3</v>
      </c>
      <c r="B226" s="147"/>
      <c r="C226" s="42" t="s">
        <v>181</v>
      </c>
      <c r="D226" s="54">
        <f>(55.22)*10.764</f>
        <v>594.38807999999995</v>
      </c>
      <c r="E226" s="42">
        <v>0</v>
      </c>
      <c r="F226" s="42">
        <f>D226*(($F$119)+1)+(IF(E226&lt;101,E226,IF(E226&lt;201,E226/2,IF(E226&lt;=301,E226/3,E226/4))))</f>
        <v>921.30152399999997</v>
      </c>
      <c r="G226" s="165"/>
      <c r="H226" s="166"/>
    </row>
    <row r="227" spans="1:8" x14ac:dyDescent="0.3">
      <c r="A227" s="146">
        <v>4</v>
      </c>
      <c r="B227" s="147"/>
      <c r="C227" s="42" t="s">
        <v>181</v>
      </c>
      <c r="D227" s="54">
        <f>(55.22)*10.764</f>
        <v>594.38807999999995</v>
      </c>
      <c r="E227" s="42">
        <v>0</v>
      </c>
      <c r="F227" s="42">
        <f>D227*(($F$119)+1)+(IF(E227&lt;101,E227,IF(E227&lt;201,E227/2,IF(E227&lt;=301,E227/3,E227/4))))</f>
        <v>921.30152399999997</v>
      </c>
      <c r="G227" s="165"/>
      <c r="H227" s="166"/>
    </row>
    <row r="228" spans="1:8" x14ac:dyDescent="0.3">
      <c r="A228" s="73" t="s">
        <v>220</v>
      </c>
      <c r="B228" s="74"/>
      <c r="C228" s="74"/>
      <c r="D228" s="74"/>
      <c r="E228" s="74"/>
      <c r="F228" s="74"/>
      <c r="G228" s="74"/>
      <c r="H228" s="75"/>
    </row>
    <row r="229" spans="1:8" x14ac:dyDescent="0.3">
      <c r="A229" s="146">
        <v>1</v>
      </c>
      <c r="B229" s="147"/>
      <c r="C229" s="146" t="s">
        <v>184</v>
      </c>
      <c r="D229" s="169"/>
      <c r="E229" s="169"/>
      <c r="F229" s="147"/>
      <c r="G229" s="163" t="str">
        <f>A228</f>
        <v>8th, 15th, 22nd &amp; 29th (Part Refuge Area)</v>
      </c>
      <c r="H229" s="164"/>
    </row>
    <row r="230" spans="1:8" x14ac:dyDescent="0.3">
      <c r="A230" s="146">
        <v>2</v>
      </c>
      <c r="B230" s="147"/>
      <c r="C230" s="42" t="s">
        <v>181</v>
      </c>
      <c r="D230" s="54">
        <f>(57.81)*10.764</f>
        <v>622.26684</v>
      </c>
      <c r="E230" s="42">
        <v>0</v>
      </c>
      <c r="F230" s="42">
        <f>D230*(($F$119)+1)+(IF(E230&lt;101,E230,IF(E230&lt;201,E230/2,IF(E230&lt;=301,E230/3,E230/4))))</f>
        <v>964.51360199999999</v>
      </c>
      <c r="G230" s="165"/>
      <c r="H230" s="166"/>
    </row>
    <row r="231" spans="1:8" x14ac:dyDescent="0.3">
      <c r="A231" s="146">
        <v>3</v>
      </c>
      <c r="B231" s="147"/>
      <c r="C231" s="42" t="s">
        <v>181</v>
      </c>
      <c r="D231" s="54">
        <f>(55.22)*10.764</f>
        <v>594.38807999999995</v>
      </c>
      <c r="E231" s="42">
        <v>0</v>
      </c>
      <c r="F231" s="42">
        <f>D231*(($F$119)+1)+(IF(E231&lt;101,E231,IF(E231&lt;201,E231/2,IF(E231&lt;=301,E231/3,E231/4))))</f>
        <v>921.30152399999997</v>
      </c>
      <c r="G231" s="165"/>
      <c r="H231" s="166"/>
    </row>
    <row r="232" spans="1:8" x14ac:dyDescent="0.3">
      <c r="A232" s="146">
        <v>4</v>
      </c>
      <c r="B232" s="147"/>
      <c r="C232" s="42" t="s">
        <v>181</v>
      </c>
      <c r="D232" s="54">
        <f>(55.22)*10.764</f>
        <v>594.38807999999995</v>
      </c>
      <c r="E232" s="42">
        <v>0</v>
      </c>
      <c r="F232" s="42">
        <f>D232*(($F$119)+1)+(IF(E232&lt;101,E232,IF(E232&lt;201,E232/2,IF(E232&lt;=301,E232/3,E232/4))))</f>
        <v>921.30152399999997</v>
      </c>
      <c r="G232" s="165"/>
      <c r="H232" s="166"/>
    </row>
    <row r="233" spans="1:8" x14ac:dyDescent="0.3">
      <c r="A233" s="73" t="s">
        <v>221</v>
      </c>
      <c r="B233" s="74"/>
      <c r="C233" s="74"/>
      <c r="D233" s="74"/>
      <c r="E233" s="74"/>
      <c r="F233" s="74"/>
      <c r="G233" s="74"/>
      <c r="H233" s="75"/>
    </row>
    <row r="234" spans="1:8" ht="46.8" x14ac:dyDescent="0.3">
      <c r="A234" s="146">
        <v>1</v>
      </c>
      <c r="B234" s="147"/>
      <c r="C234" s="59" t="s">
        <v>223</v>
      </c>
      <c r="D234" s="54">
        <f>(117.17)*10.764</f>
        <v>1261.2178799999999</v>
      </c>
      <c r="E234" s="42">
        <v>0</v>
      </c>
      <c r="F234" s="42">
        <f>D234*(($F$119)+1)+(IF(E234&lt;101,E234,IF(E234&lt;201,E234/2,IF(E234&lt;=301,E234/3,E234/4))))</f>
        <v>1954.887714</v>
      </c>
      <c r="G234" s="163" t="str">
        <f>A233</f>
        <v>35th Floor</v>
      </c>
      <c r="H234" s="164"/>
    </row>
    <row r="235" spans="1:8" x14ac:dyDescent="0.3">
      <c r="A235" s="146">
        <v>2</v>
      </c>
      <c r="B235" s="147"/>
      <c r="C235" s="42" t="s">
        <v>181</v>
      </c>
      <c r="D235" s="54">
        <f>(57.81)*10.764</f>
        <v>622.26684</v>
      </c>
      <c r="E235" s="42">
        <v>0</v>
      </c>
      <c r="F235" s="42">
        <f>D235*(($F$119)+1)+(IF(E235&lt;101,E235,IF(E235&lt;201,E235/2,IF(E235&lt;=301,E235/3,E235/4))))</f>
        <v>964.51360199999999</v>
      </c>
      <c r="G235" s="165"/>
      <c r="H235" s="166"/>
    </row>
    <row r="236" spans="1:8" ht="46.8" x14ac:dyDescent="0.3">
      <c r="A236" s="146">
        <v>3</v>
      </c>
      <c r="B236" s="147"/>
      <c r="C236" s="42" t="s">
        <v>224</v>
      </c>
      <c r="D236" s="54">
        <f>(96.66)*10.764</f>
        <v>1040.4482399999999</v>
      </c>
      <c r="E236" s="42">
        <v>0</v>
      </c>
      <c r="F236" s="42">
        <f>D236*(($F$119)+1)+(IF(E236&lt;101,E236,IF(E236&lt;201,E236/2,IF(E236&lt;=301,E236/3,E236/4))))</f>
        <v>1612.6947720000001</v>
      </c>
      <c r="G236" s="165"/>
      <c r="H236" s="166"/>
    </row>
    <row r="237" spans="1:8" ht="46.8" x14ac:dyDescent="0.3">
      <c r="A237" s="146">
        <v>4</v>
      </c>
      <c r="B237" s="147"/>
      <c r="C237" s="42" t="s">
        <v>224</v>
      </c>
      <c r="D237" s="54">
        <f>(96.66)*10.764</f>
        <v>1040.4482399999999</v>
      </c>
      <c r="E237" s="42">
        <v>0</v>
      </c>
      <c r="F237" s="42">
        <f>D237*(($F$119)+1)+(IF(E237&lt;101,E237,IF(E237&lt;201,E237/2,IF(E237&lt;=301,E237/3,E237/4))))</f>
        <v>1612.6947720000001</v>
      </c>
      <c r="G237" s="165"/>
      <c r="H237" s="166"/>
    </row>
    <row r="238" spans="1:8" x14ac:dyDescent="0.3">
      <c r="A238" s="73" t="s">
        <v>222</v>
      </c>
      <c r="B238" s="74"/>
      <c r="C238" s="74"/>
      <c r="D238" s="74"/>
      <c r="E238" s="74"/>
      <c r="F238" s="74"/>
      <c r="G238" s="74"/>
      <c r="H238" s="75"/>
    </row>
    <row r="239" spans="1:8" x14ac:dyDescent="0.3">
      <c r="A239" s="146">
        <v>1</v>
      </c>
      <c r="B239" s="147"/>
      <c r="C239" s="192" t="s">
        <v>225</v>
      </c>
      <c r="D239" s="193"/>
      <c r="E239" s="193"/>
      <c r="F239" s="194"/>
      <c r="G239" s="163" t="str">
        <f>A238</f>
        <v>36th Floor (Part Refuge Area)</v>
      </c>
      <c r="H239" s="164"/>
    </row>
    <row r="240" spans="1:8" x14ac:dyDescent="0.3">
      <c r="A240" s="146" t="s">
        <v>230</v>
      </c>
      <c r="B240" s="147"/>
      <c r="C240" s="192" t="s">
        <v>184</v>
      </c>
      <c r="D240" s="193"/>
      <c r="E240" s="193"/>
      <c r="F240" s="194"/>
      <c r="G240" s="165"/>
      <c r="H240" s="166"/>
    </row>
    <row r="241" spans="1:8" x14ac:dyDescent="0.3">
      <c r="A241" s="146">
        <v>3</v>
      </c>
      <c r="B241" s="147"/>
      <c r="C241" s="146" t="s">
        <v>226</v>
      </c>
      <c r="D241" s="169"/>
      <c r="E241" s="169"/>
      <c r="F241" s="147"/>
      <c r="G241" s="165"/>
      <c r="H241" s="166"/>
    </row>
    <row r="242" spans="1:8" x14ac:dyDescent="0.3">
      <c r="A242" s="146">
        <v>4</v>
      </c>
      <c r="B242" s="147"/>
      <c r="C242" s="146" t="s">
        <v>226</v>
      </c>
      <c r="D242" s="169"/>
      <c r="E242" s="169"/>
      <c r="F242" s="147"/>
      <c r="G242" s="165"/>
      <c r="H242" s="166"/>
    </row>
    <row r="243" spans="1:8" x14ac:dyDescent="0.3">
      <c r="A243" s="73" t="s">
        <v>246</v>
      </c>
      <c r="B243" s="74"/>
      <c r="C243" s="74"/>
      <c r="D243" s="74"/>
      <c r="E243" s="74"/>
      <c r="F243" s="74"/>
      <c r="G243" s="74"/>
      <c r="H243" s="75"/>
    </row>
    <row r="244" spans="1:8" x14ac:dyDescent="0.3">
      <c r="A244" s="146">
        <v>1</v>
      </c>
      <c r="B244" s="147"/>
      <c r="C244" s="59" t="s">
        <v>247</v>
      </c>
      <c r="D244" s="54">
        <f>(101.54)*10.764</f>
        <v>1092.9765600000001</v>
      </c>
      <c r="E244" s="42">
        <v>0</v>
      </c>
      <c r="F244" s="42">
        <f>D244*(($F$119)+1)+(IF(E244&lt;101,E244,IF(E244&lt;201,E244/2,IF(E244&lt;=301,E244/3,E244/4))))</f>
        <v>1694.1136680000002</v>
      </c>
      <c r="G244" s="163" t="str">
        <f>A243</f>
        <v>37th + 38th Floor (Duplex Flat)</v>
      </c>
      <c r="H244" s="164"/>
    </row>
    <row r="245" spans="1:8" x14ac:dyDescent="0.3">
      <c r="A245" s="146">
        <v>2</v>
      </c>
      <c r="B245" s="147"/>
      <c r="C245" s="59" t="s">
        <v>247</v>
      </c>
      <c r="D245" s="54">
        <f>(102.67)*10.764</f>
        <v>1105.1398799999999</v>
      </c>
      <c r="E245" s="42">
        <v>0</v>
      </c>
      <c r="F245" s="42">
        <f>D245*(($F$119)+1)+(IF(E245&lt;101,E245,IF(E245&lt;201,E245/2,IF(E245&lt;=301,E245/3,E245/4))))</f>
        <v>1712.9668139999999</v>
      </c>
      <c r="G245" s="165"/>
      <c r="H245" s="166"/>
    </row>
    <row r="246" spans="1:8" x14ac:dyDescent="0.3">
      <c r="A246" s="146">
        <v>3</v>
      </c>
      <c r="B246" s="147"/>
      <c r="C246" s="59" t="s">
        <v>247</v>
      </c>
      <c r="D246" s="54">
        <f>(96.66)*10.764</f>
        <v>1040.4482399999999</v>
      </c>
      <c r="E246" s="42">
        <v>0</v>
      </c>
      <c r="F246" s="42">
        <f>D246*(($F$119)+1)+(IF(E246&lt;101,E246,IF(E246&lt;201,E246/2,IF(E246&lt;=301,E246/3,E246/4))))</f>
        <v>1612.6947720000001</v>
      </c>
      <c r="G246" s="165"/>
      <c r="H246" s="166"/>
    </row>
    <row r="247" spans="1:8" x14ac:dyDescent="0.3">
      <c r="A247" s="146">
        <v>4</v>
      </c>
      <c r="B247" s="147"/>
      <c r="C247" s="59" t="s">
        <v>247</v>
      </c>
      <c r="D247" s="54">
        <f>(96.66)*10.764</f>
        <v>1040.4482399999999</v>
      </c>
      <c r="E247" s="42">
        <v>0</v>
      </c>
      <c r="F247" s="42">
        <f>D247*(($F$119)+1)+(IF(E247&lt;101,E247,IF(E247&lt;201,E247/2,IF(E247&lt;=301,E247/3,E247/4))))</f>
        <v>1612.6947720000001</v>
      </c>
      <c r="G247" s="165"/>
      <c r="H247" s="166"/>
    </row>
    <row r="248" spans="1:8" x14ac:dyDescent="0.3">
      <c r="A248" s="73" t="s">
        <v>248</v>
      </c>
      <c r="B248" s="74"/>
      <c r="C248" s="74"/>
      <c r="D248" s="74"/>
      <c r="E248" s="74"/>
      <c r="F248" s="74"/>
      <c r="G248" s="74"/>
      <c r="H248" s="75"/>
    </row>
    <row r="249" spans="1:8" x14ac:dyDescent="0.3">
      <c r="A249" s="146">
        <v>1</v>
      </c>
      <c r="B249" s="147"/>
      <c r="C249" s="59" t="s">
        <v>247</v>
      </c>
      <c r="D249" s="54">
        <f>(101.54)*10.764</f>
        <v>1092.9765600000001</v>
      </c>
      <c r="E249" s="42">
        <v>0</v>
      </c>
      <c r="F249" s="42">
        <f>D249*(($F$119)+1)+(IF(E249&lt;101,E249,IF(E249&lt;201,E249/2,IF(E249&lt;=301,E249/3,E249/4))))</f>
        <v>1694.1136680000002</v>
      </c>
      <c r="G249" s="163" t="str">
        <f>A248</f>
        <v>39th + 40th Floor (Duplex Flat)</v>
      </c>
      <c r="H249" s="164"/>
    </row>
    <row r="250" spans="1:8" x14ac:dyDescent="0.3">
      <c r="A250" s="146">
        <v>2</v>
      </c>
      <c r="B250" s="147"/>
      <c r="C250" s="59" t="s">
        <v>247</v>
      </c>
      <c r="D250" s="54">
        <f>(102.67)*10.764</f>
        <v>1105.1398799999999</v>
      </c>
      <c r="E250" s="42">
        <v>0</v>
      </c>
      <c r="F250" s="42">
        <f>D250*(($F$119)+1)+(IF(E250&lt;101,E250,IF(E250&lt;201,E250/2,IF(E250&lt;=301,E250/3,E250/4))))</f>
        <v>1712.9668139999999</v>
      </c>
      <c r="G250" s="165"/>
      <c r="H250" s="166"/>
    </row>
    <row r="251" spans="1:8" x14ac:dyDescent="0.3">
      <c r="A251" s="146">
        <v>3</v>
      </c>
      <c r="B251" s="147"/>
      <c r="C251" s="59" t="s">
        <v>247</v>
      </c>
      <c r="D251" s="54">
        <f>(96.66)*10.764</f>
        <v>1040.4482399999999</v>
      </c>
      <c r="E251" s="42">
        <v>0</v>
      </c>
      <c r="F251" s="42">
        <f>D251*(($F$119)+1)+(IF(E251&lt;101,E251,IF(E251&lt;201,E251/2,IF(E251&lt;=301,E251/3,E251/4))))</f>
        <v>1612.6947720000001</v>
      </c>
      <c r="G251" s="165"/>
      <c r="H251" s="166"/>
    </row>
    <row r="252" spans="1:8" x14ac:dyDescent="0.3">
      <c r="A252" s="146">
        <v>4</v>
      </c>
      <c r="B252" s="147"/>
      <c r="C252" s="59" t="s">
        <v>247</v>
      </c>
      <c r="D252" s="54">
        <f>(96.66)*10.764</f>
        <v>1040.4482399999999</v>
      </c>
      <c r="E252" s="42">
        <v>0</v>
      </c>
      <c r="F252" s="42">
        <f>D252*(($F$119)+1)+(IF(E252&lt;101,E252,IF(E252&lt;201,E252/2,IF(E252&lt;=301,E252/3,E252/4))))</f>
        <v>1612.6947720000001</v>
      </c>
      <c r="G252" s="165"/>
      <c r="H252" s="166"/>
    </row>
    <row r="253" spans="1:8" x14ac:dyDescent="0.3">
      <c r="A253" s="151" t="s">
        <v>67</v>
      </c>
      <c r="B253" s="151"/>
      <c r="C253" s="151"/>
      <c r="D253" s="151"/>
      <c r="E253" s="151"/>
      <c r="F253" s="151"/>
      <c r="G253" s="151"/>
      <c r="H253" s="151"/>
    </row>
    <row r="254" spans="1:8" ht="49.2" customHeight="1" x14ac:dyDescent="0.3">
      <c r="A254" s="47" t="s">
        <v>149</v>
      </c>
      <c r="B254" s="173" t="s">
        <v>256</v>
      </c>
      <c r="C254" s="174"/>
      <c r="D254" s="174"/>
      <c r="E254" s="174"/>
      <c r="F254" s="174"/>
      <c r="G254" s="174"/>
      <c r="H254" s="175"/>
    </row>
    <row r="255" spans="1:8" x14ac:dyDescent="0.3">
      <c r="A255" s="47" t="s">
        <v>149</v>
      </c>
      <c r="B255" s="173" t="str">
        <f>(IF(F118="Saleable area Loading :","We have considered Saleable area of Flats as per our Calculation.","We considered Saleable area of Flat as per Builder area Sheet."))</f>
        <v>We have considered Saleable area of Flats as per our Calculation.</v>
      </c>
      <c r="C255" s="174"/>
      <c r="D255" s="174"/>
      <c r="E255" s="174"/>
      <c r="F255" s="174"/>
      <c r="G255" s="174"/>
      <c r="H255" s="175"/>
    </row>
    <row r="256" spans="1:8" x14ac:dyDescent="0.3">
      <c r="A256" s="47" t="s">
        <v>149</v>
      </c>
      <c r="B256" s="61" t="s">
        <v>120</v>
      </c>
      <c r="C256" s="62"/>
      <c r="D256" s="62"/>
      <c r="E256" s="62"/>
      <c r="F256" s="62"/>
      <c r="G256" s="62"/>
      <c r="H256" s="63"/>
    </row>
    <row r="257" spans="1:8" x14ac:dyDescent="0.3">
      <c r="A257" s="47" t="s">
        <v>149</v>
      </c>
      <c r="B257" s="61" t="s">
        <v>185</v>
      </c>
      <c r="C257" s="62"/>
      <c r="D257" s="62"/>
      <c r="E257" s="62"/>
      <c r="F257" s="62"/>
      <c r="G257" s="62"/>
      <c r="H257" s="63"/>
    </row>
    <row r="258" spans="1:8" x14ac:dyDescent="0.3">
      <c r="A258" s="47" t="s">
        <v>149</v>
      </c>
      <c r="B258" s="61" t="s">
        <v>148</v>
      </c>
      <c r="C258" s="62"/>
      <c r="D258" s="62"/>
      <c r="E258" s="62"/>
      <c r="F258" s="62"/>
      <c r="G258" s="62"/>
      <c r="H258" s="63"/>
    </row>
    <row r="259" spans="1:8" x14ac:dyDescent="0.3">
      <c r="A259" s="47" t="s">
        <v>149</v>
      </c>
      <c r="B259" s="61" t="s">
        <v>121</v>
      </c>
      <c r="C259" s="62"/>
      <c r="D259" s="62"/>
      <c r="E259" s="62"/>
      <c r="F259" s="62"/>
      <c r="G259" s="62"/>
      <c r="H259" s="63"/>
    </row>
    <row r="260" spans="1:8" x14ac:dyDescent="0.3">
      <c r="A260" s="47" t="s">
        <v>149</v>
      </c>
      <c r="B260" s="61" t="s">
        <v>150</v>
      </c>
      <c r="C260" s="62"/>
      <c r="D260" s="62"/>
      <c r="E260" s="62"/>
      <c r="F260" s="62"/>
      <c r="G260" s="62"/>
      <c r="H260" s="63"/>
    </row>
    <row r="261" spans="1:8" x14ac:dyDescent="0.3">
      <c r="A261" s="47" t="s">
        <v>149</v>
      </c>
      <c r="B261" s="61" t="s">
        <v>122</v>
      </c>
      <c r="C261" s="62"/>
      <c r="D261" s="62"/>
      <c r="E261" s="62"/>
      <c r="F261" s="62"/>
      <c r="G261" s="62"/>
      <c r="H261" s="63"/>
    </row>
    <row r="262" spans="1:8" x14ac:dyDescent="0.3">
      <c r="A262" s="47" t="s">
        <v>149</v>
      </c>
      <c r="B262" s="61" t="s">
        <v>232</v>
      </c>
      <c r="C262" s="62"/>
      <c r="D262" s="62"/>
      <c r="E262" s="62"/>
      <c r="F262" s="62"/>
      <c r="G262" s="62"/>
      <c r="H262" s="63"/>
    </row>
    <row r="263" spans="1:8" x14ac:dyDescent="0.3">
      <c r="A263" s="47" t="s">
        <v>149</v>
      </c>
      <c r="B263" s="61" t="s">
        <v>233</v>
      </c>
      <c r="C263" s="62"/>
      <c r="D263" s="62"/>
      <c r="E263" s="62"/>
      <c r="F263" s="62"/>
      <c r="G263" s="62"/>
      <c r="H263" s="63"/>
    </row>
    <row r="264" spans="1:8" ht="15.75" customHeight="1" x14ac:dyDescent="0.3">
      <c r="A264" s="47" t="s">
        <v>149</v>
      </c>
      <c r="B264" s="61" t="s">
        <v>234</v>
      </c>
      <c r="C264" s="62"/>
      <c r="D264" s="62"/>
      <c r="E264" s="62"/>
      <c r="F264" s="62"/>
      <c r="G264" s="62"/>
      <c r="H264" s="63"/>
    </row>
    <row r="265" spans="1:8" ht="15.75" customHeight="1" x14ac:dyDescent="0.3">
      <c r="A265" s="47" t="s">
        <v>149</v>
      </c>
      <c r="B265" s="61" t="s">
        <v>239</v>
      </c>
      <c r="C265" s="62"/>
      <c r="D265" s="62"/>
      <c r="E265" s="62"/>
      <c r="F265" s="62"/>
      <c r="G265" s="62"/>
      <c r="H265" s="63"/>
    </row>
    <row r="266" spans="1:8" ht="15.75" customHeight="1" x14ac:dyDescent="0.3">
      <c r="A266" s="47" t="s">
        <v>149</v>
      </c>
      <c r="B266" s="61" t="s">
        <v>240</v>
      </c>
      <c r="C266" s="62"/>
      <c r="D266" s="62"/>
      <c r="E266" s="62"/>
      <c r="F266" s="62"/>
      <c r="G266" s="62"/>
      <c r="H266" s="63"/>
    </row>
    <row r="267" spans="1:8" ht="15.75" customHeight="1" x14ac:dyDescent="0.3">
      <c r="A267" s="47" t="s">
        <v>149</v>
      </c>
      <c r="B267" s="61" t="s">
        <v>252</v>
      </c>
      <c r="C267" s="62"/>
      <c r="D267" s="62"/>
      <c r="E267" s="62"/>
      <c r="F267" s="62"/>
      <c r="G267" s="62"/>
      <c r="H267" s="63"/>
    </row>
    <row r="268" spans="1:8" x14ac:dyDescent="0.3">
      <c r="A268" s="149" t="s">
        <v>60</v>
      </c>
      <c r="B268" s="149"/>
      <c r="C268" s="149"/>
      <c r="D268" s="149"/>
      <c r="E268" s="149"/>
      <c r="F268" s="149"/>
      <c r="G268" s="149"/>
      <c r="H268" s="149"/>
    </row>
    <row r="269" spans="1:8" x14ac:dyDescent="0.3">
      <c r="A269" s="64" t="s">
        <v>61</v>
      </c>
      <c r="B269" s="64"/>
      <c r="C269" s="64"/>
      <c r="D269" s="64"/>
      <c r="E269" s="64"/>
      <c r="F269" s="64"/>
      <c r="G269" s="64"/>
      <c r="H269" s="64"/>
    </row>
    <row r="270" spans="1:8" x14ac:dyDescent="0.3">
      <c r="A270" s="170" t="s">
        <v>62</v>
      </c>
      <c r="B270" s="170"/>
      <c r="C270" s="170"/>
      <c r="D270" s="170"/>
      <c r="E270" s="170"/>
      <c r="F270" s="170"/>
      <c r="G270" s="170"/>
      <c r="H270" s="170"/>
    </row>
    <row r="271" spans="1:8" x14ac:dyDescent="0.3">
      <c r="A271" s="64" t="s">
        <v>63</v>
      </c>
      <c r="B271" s="64"/>
      <c r="C271" s="64"/>
      <c r="D271" s="64"/>
      <c r="E271" s="64"/>
      <c r="F271" s="64"/>
      <c r="G271" s="64"/>
      <c r="H271" s="64"/>
    </row>
    <row r="272" spans="1:8" x14ac:dyDescent="0.3">
      <c r="A272" s="64" t="s">
        <v>64</v>
      </c>
      <c r="B272" s="64"/>
      <c r="C272" s="64"/>
      <c r="D272" s="64"/>
      <c r="E272" s="64"/>
      <c r="F272" s="64"/>
      <c r="G272" s="64"/>
      <c r="H272" s="64"/>
    </row>
    <row r="273" spans="1:8" x14ac:dyDescent="0.3">
      <c r="A273" s="64" t="s">
        <v>123</v>
      </c>
      <c r="B273" s="64"/>
      <c r="C273" s="64"/>
      <c r="D273" s="64"/>
      <c r="E273" s="64"/>
      <c r="F273" s="64"/>
      <c r="G273" s="64"/>
      <c r="H273" s="64"/>
    </row>
    <row r="274" spans="1:8" x14ac:dyDescent="0.3">
      <c r="A274" s="97" t="s">
        <v>124</v>
      </c>
      <c r="B274" s="97"/>
      <c r="C274" s="97"/>
      <c r="D274" s="97"/>
      <c r="E274" s="97"/>
      <c r="F274" s="97"/>
      <c r="G274" s="97"/>
      <c r="H274" s="97"/>
    </row>
    <row r="275" spans="1:8" x14ac:dyDescent="0.3">
      <c r="A275" s="142" t="s">
        <v>75</v>
      </c>
      <c r="B275" s="142"/>
      <c r="C275" s="142" t="s">
        <v>255</v>
      </c>
      <c r="D275" s="142"/>
      <c r="E275" s="142" t="s">
        <v>104</v>
      </c>
      <c r="F275" s="142"/>
      <c r="G275" s="142" t="s">
        <v>254</v>
      </c>
      <c r="H275" s="142"/>
    </row>
    <row r="276" spans="1:8" x14ac:dyDescent="0.3">
      <c r="A276" s="141" t="s">
        <v>77</v>
      </c>
      <c r="B276" s="141"/>
      <c r="C276" s="141"/>
      <c r="D276" s="141"/>
      <c r="E276" s="141"/>
      <c r="F276" s="141"/>
      <c r="G276" s="141"/>
      <c r="H276" s="141"/>
    </row>
    <row r="277" spans="1:8" x14ac:dyDescent="0.3">
      <c r="A277" s="141"/>
      <c r="B277" s="141"/>
      <c r="C277" s="141"/>
      <c r="D277" s="141"/>
      <c r="E277" s="141"/>
      <c r="F277" s="141"/>
      <c r="G277" s="141"/>
      <c r="H277" s="141"/>
    </row>
    <row r="278" spans="1:8" x14ac:dyDescent="0.3">
      <c r="A278" s="141"/>
      <c r="B278" s="141"/>
      <c r="C278" s="141"/>
      <c r="D278" s="141"/>
      <c r="E278" s="141"/>
      <c r="F278" s="141"/>
      <c r="G278" s="141"/>
      <c r="H278" s="141"/>
    </row>
    <row r="279" spans="1:8" x14ac:dyDescent="0.3">
      <c r="A279" s="141"/>
      <c r="B279" s="141"/>
      <c r="C279" s="141"/>
      <c r="D279" s="141"/>
      <c r="E279" s="141"/>
      <c r="F279" s="141"/>
      <c r="G279" s="141"/>
      <c r="H279" s="141"/>
    </row>
    <row r="280" spans="1:8" x14ac:dyDescent="0.3">
      <c r="A280" s="38" t="s">
        <v>65</v>
      </c>
      <c r="B280" s="39"/>
      <c r="C280" s="39"/>
      <c r="D280" s="38" t="str">
        <f>E8</f>
        <v>Sethia Pride Wing A &amp; B</v>
      </c>
      <c r="F280" s="39"/>
      <c r="G280" s="39"/>
      <c r="H280" s="39"/>
    </row>
    <row r="281" spans="1:8" x14ac:dyDescent="0.3">
      <c r="A281" s="39"/>
      <c r="B281" s="39"/>
      <c r="C281" s="39"/>
      <c r="D281" s="39"/>
      <c r="E281" s="39"/>
      <c r="F281" s="39"/>
      <c r="G281" s="39"/>
      <c r="H281" s="39"/>
    </row>
    <row r="282" spans="1:8" x14ac:dyDescent="0.3">
      <c r="A282" s="39"/>
      <c r="B282" s="39"/>
      <c r="C282" s="39"/>
      <c r="D282" s="39"/>
      <c r="E282" s="39"/>
      <c r="F282" s="39"/>
      <c r="G282" s="39"/>
      <c r="H282" s="39"/>
    </row>
    <row r="322" spans="1:1" x14ac:dyDescent="0.3">
      <c r="A322" s="41" t="s">
        <v>161</v>
      </c>
    </row>
    <row r="364" spans="1:1" x14ac:dyDescent="0.3">
      <c r="A364" s="41" t="s">
        <v>66</v>
      </c>
    </row>
    <row r="387" spans="8:8" x14ac:dyDescent="0.3">
      <c r="H387" s="41"/>
    </row>
  </sheetData>
  <mergeCells count="427">
    <mergeCell ref="A114:B114"/>
    <mergeCell ref="C114:D114"/>
    <mergeCell ref="E114:F114"/>
    <mergeCell ref="G114:H114"/>
    <mergeCell ref="B264:H264"/>
    <mergeCell ref="B265:H265"/>
    <mergeCell ref="B266:H266"/>
    <mergeCell ref="B267:H267"/>
    <mergeCell ref="A168:H168"/>
    <mergeCell ref="A169:B169"/>
    <mergeCell ref="G169:H176"/>
    <mergeCell ref="A170:B170"/>
    <mergeCell ref="A171:B171"/>
    <mergeCell ref="A172:B172"/>
    <mergeCell ref="A173:B173"/>
    <mergeCell ref="A174:B174"/>
    <mergeCell ref="A175:B175"/>
    <mergeCell ref="A176:B176"/>
    <mergeCell ref="A248:H248"/>
    <mergeCell ref="A249:B249"/>
    <mergeCell ref="G249:H252"/>
    <mergeCell ref="A250:B250"/>
    <mergeCell ref="A251:B251"/>
    <mergeCell ref="A252:B252"/>
    <mergeCell ref="A243:H243"/>
    <mergeCell ref="A244:B244"/>
    <mergeCell ref="G244:H247"/>
    <mergeCell ref="A245:B245"/>
    <mergeCell ref="A246:B246"/>
    <mergeCell ref="A247:B247"/>
    <mergeCell ref="A185:B185"/>
    <mergeCell ref="C179:F179"/>
    <mergeCell ref="A195:H195"/>
    <mergeCell ref="A196:B196"/>
    <mergeCell ref="G196:H203"/>
    <mergeCell ref="A197:B197"/>
    <mergeCell ref="A198:B198"/>
    <mergeCell ref="A199:B199"/>
    <mergeCell ref="A200:B200"/>
    <mergeCell ref="A201:B201"/>
    <mergeCell ref="A202:B202"/>
    <mergeCell ref="A203:B203"/>
    <mergeCell ref="A194:B194"/>
    <mergeCell ref="A233:H233"/>
    <mergeCell ref="A234:B234"/>
    <mergeCell ref="G234:H237"/>
    <mergeCell ref="A235:B235"/>
    <mergeCell ref="A236:B236"/>
    <mergeCell ref="A237:B237"/>
    <mergeCell ref="A238:H238"/>
    <mergeCell ref="A239:B239"/>
    <mergeCell ref="G239:H242"/>
    <mergeCell ref="A240:B240"/>
    <mergeCell ref="A241:B241"/>
    <mergeCell ref="A242:B242"/>
    <mergeCell ref="C239:F239"/>
    <mergeCell ref="C240:F240"/>
    <mergeCell ref="C241:F241"/>
    <mergeCell ref="C242:F242"/>
    <mergeCell ref="A223:H223"/>
    <mergeCell ref="A224:B224"/>
    <mergeCell ref="G224:H227"/>
    <mergeCell ref="A225:B225"/>
    <mergeCell ref="A226:B226"/>
    <mergeCell ref="A227:B227"/>
    <mergeCell ref="A228:H228"/>
    <mergeCell ref="A229:B229"/>
    <mergeCell ref="G229:H232"/>
    <mergeCell ref="A230:B230"/>
    <mergeCell ref="A231:B231"/>
    <mergeCell ref="A232:B232"/>
    <mergeCell ref="C229:F229"/>
    <mergeCell ref="A218:H218"/>
    <mergeCell ref="A219:B219"/>
    <mergeCell ref="G219:H222"/>
    <mergeCell ref="A220:B220"/>
    <mergeCell ref="A221:B221"/>
    <mergeCell ref="A222:B222"/>
    <mergeCell ref="A150:H150"/>
    <mergeCell ref="A151:B151"/>
    <mergeCell ref="G151:H158"/>
    <mergeCell ref="A152:B152"/>
    <mergeCell ref="A153:B153"/>
    <mergeCell ref="A154:B154"/>
    <mergeCell ref="A155:B155"/>
    <mergeCell ref="A156:B156"/>
    <mergeCell ref="A157:B157"/>
    <mergeCell ref="A158:B158"/>
    <mergeCell ref="A177:H177"/>
    <mergeCell ref="A178:B178"/>
    <mergeCell ref="G178:H185"/>
    <mergeCell ref="A179:B179"/>
    <mergeCell ref="A180:B180"/>
    <mergeCell ref="A181:B181"/>
    <mergeCell ref="A182:B182"/>
    <mergeCell ref="A206:H206"/>
    <mergeCell ref="A207:H207"/>
    <mergeCell ref="A208:H208"/>
    <mergeCell ref="C211:F212"/>
    <mergeCell ref="G209:H212"/>
    <mergeCell ref="G214:H217"/>
    <mergeCell ref="C216:F217"/>
    <mergeCell ref="A213:H213"/>
    <mergeCell ref="A209:B209"/>
    <mergeCell ref="A210:B210"/>
    <mergeCell ref="A211:B211"/>
    <mergeCell ref="A212:B212"/>
    <mergeCell ref="A214:B214"/>
    <mergeCell ref="A215:B215"/>
    <mergeCell ref="A216:B216"/>
    <mergeCell ref="A217:B217"/>
    <mergeCell ref="A94:B94"/>
    <mergeCell ref="A95:B95"/>
    <mergeCell ref="A96:B96"/>
    <mergeCell ref="A115:B115"/>
    <mergeCell ref="C115:D115"/>
    <mergeCell ref="E115:F115"/>
    <mergeCell ref="G115:H115"/>
    <mergeCell ref="A205:H205"/>
    <mergeCell ref="A132:H132"/>
    <mergeCell ref="A133:B133"/>
    <mergeCell ref="G133:H140"/>
    <mergeCell ref="A134:B134"/>
    <mergeCell ref="A135:B135"/>
    <mergeCell ref="A136:B136"/>
    <mergeCell ref="A137:B137"/>
    <mergeCell ref="A138:B138"/>
    <mergeCell ref="C138:F138"/>
    <mergeCell ref="A139:B139"/>
    <mergeCell ref="C139:F139"/>
    <mergeCell ref="A140:B140"/>
    <mergeCell ref="A183:B183"/>
    <mergeCell ref="A184:B184"/>
    <mergeCell ref="A192:B192"/>
    <mergeCell ref="A193:B193"/>
    <mergeCell ref="E42:H42"/>
    <mergeCell ref="A42:D42"/>
    <mergeCell ref="A49:B49"/>
    <mergeCell ref="C49:E49"/>
    <mergeCell ref="G49:H49"/>
    <mergeCell ref="G51:H51"/>
    <mergeCell ref="D57:H57"/>
    <mergeCell ref="C51:E51"/>
    <mergeCell ref="D60:H60"/>
    <mergeCell ref="C50:E50"/>
    <mergeCell ref="A55:B55"/>
    <mergeCell ref="C55:E55"/>
    <mergeCell ref="A50:B50"/>
    <mergeCell ref="A56:H56"/>
    <mergeCell ref="A57:C57"/>
    <mergeCell ref="G55:H55"/>
    <mergeCell ref="C52:H52"/>
    <mergeCell ref="A60:C61"/>
    <mergeCell ref="D61:H61"/>
    <mergeCell ref="A53:B54"/>
    <mergeCell ref="C53:E53"/>
    <mergeCell ref="G53:H53"/>
    <mergeCell ref="C54:H54"/>
    <mergeCell ref="A145:B145"/>
    <mergeCell ref="A269:H269"/>
    <mergeCell ref="B261:H261"/>
    <mergeCell ref="B259:H259"/>
    <mergeCell ref="B254:H254"/>
    <mergeCell ref="B255:H255"/>
    <mergeCell ref="A81:B81"/>
    <mergeCell ref="A82:B82"/>
    <mergeCell ref="A204:H204"/>
    <mergeCell ref="A141:H141"/>
    <mergeCell ref="F101:H101"/>
    <mergeCell ref="A102:E102"/>
    <mergeCell ref="B260:H260"/>
    <mergeCell ref="B258:H258"/>
    <mergeCell ref="F99:H99"/>
    <mergeCell ref="A147:B147"/>
    <mergeCell ref="A148:B148"/>
    <mergeCell ref="A149:B149"/>
    <mergeCell ref="G142:H149"/>
    <mergeCell ref="A159:H159"/>
    <mergeCell ref="A160:B160"/>
    <mergeCell ref="G160:H167"/>
    <mergeCell ref="A190:B190"/>
    <mergeCell ref="A191:B191"/>
    <mergeCell ref="A129:B129"/>
    <mergeCell ref="A130:B130"/>
    <mergeCell ref="A131:B131"/>
    <mergeCell ref="G124:H131"/>
    <mergeCell ref="C129:F129"/>
    <mergeCell ref="C130:F130"/>
    <mergeCell ref="A273:H273"/>
    <mergeCell ref="A270:H270"/>
    <mergeCell ref="A124:B124"/>
    <mergeCell ref="A161:B161"/>
    <mergeCell ref="A162:B162"/>
    <mergeCell ref="A163:B163"/>
    <mergeCell ref="A164:B164"/>
    <mergeCell ref="A165:B165"/>
    <mergeCell ref="A166:B166"/>
    <mergeCell ref="A167:B167"/>
    <mergeCell ref="C161:F162"/>
    <mergeCell ref="A143:B143"/>
    <mergeCell ref="A142:B142"/>
    <mergeCell ref="A186:H186"/>
    <mergeCell ref="A187:B187"/>
    <mergeCell ref="G187:H194"/>
    <mergeCell ref="A188:B188"/>
    <mergeCell ref="A189:B189"/>
    <mergeCell ref="A121:H121"/>
    <mergeCell ref="A120:H120"/>
    <mergeCell ref="A79:B79"/>
    <mergeCell ref="A72:B72"/>
    <mergeCell ref="A75:B75"/>
    <mergeCell ref="A71:B71"/>
    <mergeCell ref="A69:B69"/>
    <mergeCell ref="C69:H69"/>
    <mergeCell ref="A77:B77"/>
    <mergeCell ref="C71:H71"/>
    <mergeCell ref="A74:B74"/>
    <mergeCell ref="A76:B76"/>
    <mergeCell ref="E72:F72"/>
    <mergeCell ref="A78:B78"/>
    <mergeCell ref="F98:H98"/>
    <mergeCell ref="A83:B83"/>
    <mergeCell ref="C83:H83"/>
    <mergeCell ref="A85:B85"/>
    <mergeCell ref="C85:H85"/>
    <mergeCell ref="A86:B86"/>
    <mergeCell ref="E86:F86"/>
    <mergeCell ref="G86:H86"/>
    <mergeCell ref="A87:B87"/>
    <mergeCell ref="E87:F96"/>
    <mergeCell ref="A276:H279"/>
    <mergeCell ref="A275:B275"/>
    <mergeCell ref="E275:F275"/>
    <mergeCell ref="C275:D275"/>
    <mergeCell ref="G275:H275"/>
    <mergeCell ref="A109:E109"/>
    <mergeCell ref="F109:H109"/>
    <mergeCell ref="A110:E110"/>
    <mergeCell ref="F110:H110"/>
    <mergeCell ref="A123:H123"/>
    <mergeCell ref="A113:B113"/>
    <mergeCell ref="A144:B144"/>
    <mergeCell ref="A271:H271"/>
    <mergeCell ref="A111:H111"/>
    <mergeCell ref="A274:H274"/>
    <mergeCell ref="A272:H272"/>
    <mergeCell ref="A268:H268"/>
    <mergeCell ref="C113:D113"/>
    <mergeCell ref="E113:F113"/>
    <mergeCell ref="G113:H113"/>
    <mergeCell ref="A146:B146"/>
    <mergeCell ref="B256:H256"/>
    <mergeCell ref="B257:H257"/>
    <mergeCell ref="A253:H253"/>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16:B16"/>
    <mergeCell ref="A12:D12"/>
    <mergeCell ref="E12:H12"/>
    <mergeCell ref="A10:D10"/>
    <mergeCell ref="E10:H10"/>
    <mergeCell ref="A22:D23"/>
    <mergeCell ref="E22:H23"/>
    <mergeCell ref="A15:B15"/>
    <mergeCell ref="C15:H15"/>
    <mergeCell ref="C16:H16"/>
    <mergeCell ref="A17:B17"/>
    <mergeCell ref="C17:H17"/>
    <mergeCell ref="A11:D11"/>
    <mergeCell ref="E11:H11"/>
    <mergeCell ref="E14:F14"/>
    <mergeCell ref="G14:H14"/>
    <mergeCell ref="A13:D14"/>
    <mergeCell ref="E13:F13"/>
    <mergeCell ref="G13:H13"/>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E26:H26"/>
    <mergeCell ref="A28:D28"/>
    <mergeCell ref="E28:H28"/>
    <mergeCell ref="A25:D25"/>
    <mergeCell ref="E25:H25"/>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A37:H37"/>
    <mergeCell ref="A36:B36"/>
    <mergeCell ref="C36:E36"/>
    <mergeCell ref="A41:D41"/>
    <mergeCell ref="E41:H41"/>
    <mergeCell ref="F33:H33"/>
    <mergeCell ref="F34:H34"/>
    <mergeCell ref="A40:H40"/>
    <mergeCell ref="A62:C62"/>
    <mergeCell ref="D62:H62"/>
    <mergeCell ref="A39:B39"/>
    <mergeCell ref="C39:H39"/>
    <mergeCell ref="A48:B48"/>
    <mergeCell ref="C48:H48"/>
    <mergeCell ref="A44:D44"/>
    <mergeCell ref="F36:H36"/>
    <mergeCell ref="A46:D46"/>
    <mergeCell ref="A47:H47"/>
    <mergeCell ref="D59:H59"/>
    <mergeCell ref="A59:C59"/>
    <mergeCell ref="G50:H50"/>
    <mergeCell ref="A51:B52"/>
    <mergeCell ref="A58:C58"/>
    <mergeCell ref="D58:H58"/>
    <mergeCell ref="A38:B38"/>
    <mergeCell ref="C38:H38"/>
    <mergeCell ref="A45:D45"/>
    <mergeCell ref="A80:B80"/>
    <mergeCell ref="F104:H104"/>
    <mergeCell ref="A98:E98"/>
    <mergeCell ref="F97:H97"/>
    <mergeCell ref="F102:H102"/>
    <mergeCell ref="A103:E103"/>
    <mergeCell ref="F103:H103"/>
    <mergeCell ref="A104:E104"/>
    <mergeCell ref="F100:H100"/>
    <mergeCell ref="A100:E100"/>
    <mergeCell ref="A97:E97"/>
    <mergeCell ref="D65:H65"/>
    <mergeCell ref="A68:C68"/>
    <mergeCell ref="D68:H68"/>
    <mergeCell ref="A66:C66"/>
    <mergeCell ref="D66:H66"/>
    <mergeCell ref="A67:C67"/>
    <mergeCell ref="D67:H67"/>
    <mergeCell ref="A73:B73"/>
    <mergeCell ref="G72:H72"/>
    <mergeCell ref="A63:C63"/>
    <mergeCell ref="E118:E119"/>
    <mergeCell ref="G118:H119"/>
    <mergeCell ref="D63:H63"/>
    <mergeCell ref="A43:D43"/>
    <mergeCell ref="E43:H43"/>
    <mergeCell ref="E44:H44"/>
    <mergeCell ref="E45:H45"/>
    <mergeCell ref="E46:H46"/>
    <mergeCell ref="C112:D112"/>
    <mergeCell ref="G112:H112"/>
    <mergeCell ref="A106:E106"/>
    <mergeCell ref="A105:E105"/>
    <mergeCell ref="E73:F82"/>
    <mergeCell ref="G73:H82"/>
    <mergeCell ref="A64:C64"/>
    <mergeCell ref="D64:H64"/>
    <mergeCell ref="A65:C65"/>
    <mergeCell ref="G87:H96"/>
    <mergeCell ref="A88:B88"/>
    <mergeCell ref="A89:B89"/>
    <mergeCell ref="A90:B90"/>
    <mergeCell ref="A91:B91"/>
    <mergeCell ref="A92:B92"/>
    <mergeCell ref="A93:B93"/>
    <mergeCell ref="B262:H262"/>
    <mergeCell ref="B263:H263"/>
    <mergeCell ref="A99:E99"/>
    <mergeCell ref="A101:E101"/>
    <mergeCell ref="L107:M107"/>
    <mergeCell ref="A118:A119"/>
    <mergeCell ref="A128:B128"/>
    <mergeCell ref="A125:B125"/>
    <mergeCell ref="A126:B126"/>
    <mergeCell ref="A108:E108"/>
    <mergeCell ref="B118:B119"/>
    <mergeCell ref="A127:B127"/>
    <mergeCell ref="F105:H105"/>
    <mergeCell ref="F108:H108"/>
    <mergeCell ref="F106:H106"/>
    <mergeCell ref="A117:H117"/>
    <mergeCell ref="A107:E107"/>
    <mergeCell ref="C118:C119"/>
    <mergeCell ref="A122:H122"/>
    <mergeCell ref="F107:H107"/>
    <mergeCell ref="E112:F112"/>
    <mergeCell ref="A116:H116"/>
    <mergeCell ref="A112:B112"/>
    <mergeCell ref="D118:D119"/>
  </mergeCells>
  <hyperlinks>
    <hyperlink ref="C39" r:id="rId1" xr:uid="{00000000-0004-0000-0000-000000000000}"/>
    <hyperlink ref="I121" r:id="rId2" xr:uid="{00000000-0004-0000-0000-000001000000}"/>
    <hyperlink ref="I122" r:id="rId3" xr:uid="{00000000-0004-0000-0000-000002000000}"/>
    <hyperlink ref="I120" display="https://www.99acres.com/sethia-pride-kandivali-east-mumbai-andheri-dahisar-npxid-r396807?nn_medium=search&amp;nn_account=google_new_projects&amp;nn_campaign=8289055906_90961704131&amp;nn_keyword=&amp;nn_adnetwork=_&amp;nn_adtype=Search&amp;nn_placement=&amp;gclid=CjwKCAjwrpOiBhBVEiw" xr:uid="{00000000-0004-0000-0000-000003000000}"/>
  </hyperlinks>
  <printOptions horizontalCentered="1"/>
  <pageMargins left="0.39370078740157499" right="0.39370078740157499" top="0.82677165354330695" bottom="0.78740157480314998" header="0.15748031496063" footer="0.196850393700787"/>
  <pageSetup paperSize="2" fitToHeight="0" orientation="portrait" r:id="rId4"/>
  <headerFooter>
    <oddHeader>&amp;C&amp;G</oddHeader>
    <oddFooter>&amp;L&amp;"Times New Roman,Bold"&amp;12Ref No: &amp;F&amp;C&amp;G&amp;R&amp;"Times New Roman,Bold"&amp;12&amp;P</oddFooter>
  </headerFooter>
  <rowBreaks count="5" manualBreakCount="5">
    <brk id="68" max="16383" man="1"/>
    <brk id="267" max="7" man="1"/>
    <brk id="279" max="7" man="1"/>
    <brk id="321" max="7" man="1"/>
    <brk id="363" max="7" man="1"/>
  </rowBreaks>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196" t="s">
        <v>105</v>
      </c>
      <c r="C3" s="196"/>
      <c r="D3" s="196"/>
      <c r="E3" s="196"/>
      <c r="F3" s="196"/>
      <c r="G3" s="196"/>
      <c r="H3" s="196"/>
    </row>
    <row r="4" spans="1:9" x14ac:dyDescent="0.3">
      <c r="A4" s="2"/>
      <c r="B4" s="3" t="s">
        <v>106</v>
      </c>
      <c r="C4" s="3" t="s">
        <v>107</v>
      </c>
      <c r="D4" s="3" t="s">
        <v>68</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X20" sqref="X20"/>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2025-08-20T06:21:17Z</cp:lastPrinted>
  <dcterms:created xsi:type="dcterms:W3CDTF">2019-07-16T09:29:46Z</dcterms:created>
  <dcterms:modified xsi:type="dcterms:W3CDTF">2025-08-20T06:24:25Z</dcterms:modified>
</cp:coreProperties>
</file>