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7" i="1" l="1"/>
  <c r="D54" i="1" l="1"/>
  <c r="E3" i="1" l="1"/>
  <c r="I126" i="1"/>
  <c r="G237" i="1"/>
  <c r="E239" i="1"/>
  <c r="D239" i="1"/>
  <c r="E238" i="1"/>
  <c r="D238" i="1"/>
  <c r="A238" i="1"/>
  <c r="A239" i="1" s="1"/>
  <c r="A240" i="1" s="1"/>
  <c r="E237" i="1"/>
  <c r="D237" i="1"/>
  <c r="D235" i="1"/>
  <c r="D234" i="1"/>
  <c r="D233" i="1"/>
  <c r="D232" i="1"/>
  <c r="G232" i="1"/>
  <c r="D230" i="1"/>
  <c r="D229" i="1"/>
  <c r="D228" i="1"/>
  <c r="D227" i="1"/>
  <c r="G227" i="1"/>
  <c r="D225" i="1"/>
  <c r="D224" i="1"/>
  <c r="D223" i="1"/>
  <c r="D222" i="1"/>
  <c r="E225" i="1"/>
  <c r="E224" i="1"/>
  <c r="I222" i="1"/>
  <c r="G222" i="1"/>
  <c r="C127" i="1" l="1"/>
  <c r="F237" i="1"/>
  <c r="E127" i="1"/>
  <c r="F239" i="1"/>
  <c r="F238" i="1"/>
  <c r="E219" i="1"/>
  <c r="D219" i="1"/>
  <c r="E218" i="1"/>
  <c r="D218" i="1"/>
  <c r="E217" i="1"/>
  <c r="D217" i="1"/>
  <c r="E215" i="1"/>
  <c r="D215" i="1"/>
  <c r="E214" i="1"/>
  <c r="D214" i="1"/>
  <c r="F214" i="1" s="1"/>
  <c r="G213" i="1"/>
  <c r="E213" i="1"/>
  <c r="D213" i="1"/>
  <c r="E208" i="1"/>
  <c r="D211" i="1"/>
  <c r="D210" i="1"/>
  <c r="D209" i="1"/>
  <c r="D208" i="1"/>
  <c r="D207" i="1"/>
  <c r="D206" i="1"/>
  <c r="D205" i="1"/>
  <c r="G205" i="1"/>
  <c r="D203" i="1"/>
  <c r="D202" i="1"/>
  <c r="D201" i="1"/>
  <c r="D200" i="1"/>
  <c r="D199" i="1"/>
  <c r="D198" i="1"/>
  <c r="D197" i="1"/>
  <c r="D195" i="1"/>
  <c r="D194" i="1"/>
  <c r="D193" i="1"/>
  <c r="D192" i="1"/>
  <c r="D191" i="1"/>
  <c r="D190" i="1"/>
  <c r="D189" i="1"/>
  <c r="D186" i="1"/>
  <c r="D185" i="1"/>
  <c r="D184" i="1"/>
  <c r="G197" i="1"/>
  <c r="E195" i="1"/>
  <c r="E194" i="1"/>
  <c r="E193" i="1"/>
  <c r="E192" i="1"/>
  <c r="E189" i="1"/>
  <c r="G189" i="1"/>
  <c r="I184" i="1"/>
  <c r="G184" i="1"/>
  <c r="D161" i="1"/>
  <c r="F161" i="1" s="1"/>
  <c r="I142" i="1"/>
  <c r="G155" i="1"/>
  <c r="D143" i="1"/>
  <c r="F143" i="1" s="1"/>
  <c r="D142" i="1"/>
  <c r="F142" i="1" s="1"/>
  <c r="G138" i="1"/>
  <c r="D138" i="1"/>
  <c r="D139" i="1"/>
  <c r="F139" i="1" s="1"/>
  <c r="D140" i="1"/>
  <c r="F140" i="1" s="1"/>
  <c r="D141" i="1"/>
  <c r="F141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F219" i="1" l="1"/>
  <c r="E126" i="1"/>
  <c r="C126" i="1"/>
  <c r="F215" i="1"/>
  <c r="F218" i="1"/>
  <c r="F138" i="1"/>
  <c r="G120" i="1" s="1"/>
  <c r="E120" i="1"/>
  <c r="C120" i="1"/>
  <c r="F213" i="1"/>
  <c r="F217" i="1"/>
  <c r="C48" i="1"/>
  <c r="E40" i="1"/>
  <c r="E41" i="1" s="1"/>
  <c r="I127" i="1" l="1"/>
  <c r="L75" i="1"/>
  <c r="G248" i="1" l="1"/>
  <c r="G244" i="1"/>
  <c r="D248" i="1"/>
  <c r="C129" i="1" s="1"/>
  <c r="D244" i="1"/>
  <c r="E128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E203" i="1"/>
  <c r="E202" i="1"/>
  <c r="E200" i="1"/>
  <c r="E201" i="1"/>
  <c r="F172" i="1" l="1"/>
  <c r="G122" i="1" s="1"/>
  <c r="C122" i="1"/>
  <c r="E122" i="1"/>
  <c r="J235" i="1"/>
  <c r="J231" i="1"/>
  <c r="E235" i="1"/>
  <c r="E234" i="1"/>
  <c r="E233" i="1"/>
  <c r="E232" i="1"/>
  <c r="F232" i="1" s="1"/>
  <c r="A233" i="1"/>
  <c r="A234" i="1" s="1"/>
  <c r="A235" i="1" s="1"/>
  <c r="E230" i="1"/>
  <c r="E229" i="1"/>
  <c r="E228" i="1"/>
  <c r="E227" i="1"/>
  <c r="A228" i="1"/>
  <c r="A229" i="1" s="1"/>
  <c r="A230" i="1" s="1"/>
  <c r="E223" i="1"/>
  <c r="E222" i="1"/>
  <c r="A223" i="1"/>
  <c r="A224" i="1" s="1"/>
  <c r="A225" i="1" s="1"/>
  <c r="A173" i="1"/>
  <c r="A174" i="1" s="1"/>
  <c r="A175" i="1" s="1"/>
  <c r="A176" i="1" s="1"/>
  <c r="A177" i="1" s="1"/>
  <c r="A178" i="1" s="1"/>
  <c r="G172" i="1"/>
  <c r="F227" i="1" l="1"/>
  <c r="F229" i="1"/>
  <c r="F234" i="1"/>
  <c r="F244" i="1"/>
  <c r="G128" i="1" s="1"/>
  <c r="C128" i="1"/>
  <c r="C130" i="1" s="1"/>
  <c r="F228" i="1"/>
  <c r="F230" i="1"/>
  <c r="F248" i="1"/>
  <c r="G129" i="1" s="1"/>
  <c r="E129" i="1"/>
  <c r="E130" i="1" s="1"/>
  <c r="F233" i="1"/>
  <c r="F224" i="1"/>
  <c r="F223" i="1"/>
  <c r="F225" i="1"/>
  <c r="F235" i="1"/>
  <c r="F222" i="1"/>
  <c r="E211" i="1"/>
  <c r="E210" i="1"/>
  <c r="E209" i="1"/>
  <c r="E207" i="1"/>
  <c r="E206" i="1"/>
  <c r="E205" i="1"/>
  <c r="G127" i="1" l="1"/>
  <c r="E199" i="1"/>
  <c r="E198" i="1"/>
  <c r="E197" i="1"/>
  <c r="E190" i="1"/>
  <c r="E191" i="1"/>
  <c r="E185" i="1"/>
  <c r="E186" i="1"/>
  <c r="E184" i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0" i="1"/>
  <c r="F160" i="1" s="1"/>
  <c r="D159" i="1"/>
  <c r="F159" i="1" s="1"/>
  <c r="D158" i="1"/>
  <c r="F158" i="1" s="1"/>
  <c r="D157" i="1"/>
  <c r="F157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D156" i="1"/>
  <c r="F156" i="1" l="1"/>
  <c r="G121" i="1" s="1"/>
  <c r="C121" i="1"/>
  <c r="C123" i="1" s="1"/>
  <c r="C131" i="1" s="1"/>
  <c r="E121" i="1"/>
  <c r="E123" i="1" s="1"/>
  <c r="E131" i="1" s="1"/>
  <c r="F195" i="1"/>
  <c r="F203" i="1"/>
  <c r="F211" i="1"/>
  <c r="J123" i="1" l="1"/>
  <c r="B251" i="1"/>
  <c r="C14" i="1" l="1"/>
  <c r="E28" i="1" l="1"/>
  <c r="F210" i="1" l="1"/>
  <c r="F209" i="1"/>
  <c r="F208" i="1"/>
  <c r="F207" i="1"/>
  <c r="F206" i="1"/>
  <c r="F205" i="1"/>
  <c r="F202" i="1"/>
  <c r="F201" i="1"/>
  <c r="F200" i="1"/>
  <c r="I200" i="1" s="1"/>
  <c r="F199" i="1"/>
  <c r="I199" i="1" s="1"/>
  <c r="F198" i="1"/>
  <c r="F197" i="1"/>
  <c r="F194" i="1"/>
  <c r="F193" i="1"/>
  <c r="F192" i="1"/>
  <c r="F191" i="1"/>
  <c r="F190" i="1"/>
  <c r="F189" i="1"/>
  <c r="F185" i="1"/>
  <c r="F184" i="1"/>
  <c r="F186" i="1"/>
  <c r="G126" i="1" l="1"/>
  <c r="G130" i="1" s="1"/>
  <c r="G123" i="1"/>
  <c r="B252" i="1"/>
  <c r="G131" i="1" l="1"/>
  <c r="K123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3" i="1"/>
  <c r="A185" i="1"/>
  <c r="A186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F117" i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E42" i="1"/>
  <c r="E25" i="1"/>
  <c r="E23" i="1"/>
  <c r="D61" i="1"/>
  <c r="D73" i="1" l="1"/>
  <c r="J71" i="1"/>
  <c r="D80" i="1"/>
  <c r="D78" i="1"/>
  <c r="D76" i="1"/>
  <c r="D74" i="1"/>
  <c r="J72" i="1"/>
  <c r="C71" i="1" s="1"/>
  <c r="D71" i="1" s="1"/>
  <c r="J70" i="1"/>
  <c r="J73" i="1"/>
  <c r="J74" i="1" s="1"/>
  <c r="J79" i="1" s="1"/>
  <c r="J80" i="1" s="1"/>
  <c r="C72" i="1" s="1"/>
  <c r="E71" i="1" s="1"/>
  <c r="D79" i="1"/>
  <c r="D75" i="1"/>
  <c r="D77" i="1"/>
  <c r="D101" i="1"/>
  <c r="J99" i="1"/>
  <c r="D108" i="1"/>
  <c r="D106" i="1"/>
  <c r="D104" i="1"/>
  <c r="D102" i="1"/>
  <c r="J100" i="1"/>
  <c r="C99" i="1" s="1"/>
  <c r="D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D93" i="1"/>
  <c r="D91" i="1"/>
  <c r="D89" i="1"/>
  <c r="D87" i="1"/>
  <c r="J85" i="1"/>
  <c r="D94" i="1"/>
  <c r="J86" i="1"/>
  <c r="C85" i="1" s="1"/>
  <c r="D85" i="1" s="1"/>
  <c r="D88" i="1"/>
  <c r="D90" i="1"/>
  <c r="D92" i="1"/>
  <c r="J84" i="1"/>
  <c r="E85" i="1" l="1"/>
  <c r="I81" i="1" s="1"/>
  <c r="D86" i="1"/>
  <c r="E99" i="1"/>
  <c r="I95" i="1" s="1"/>
  <c r="D100" i="1"/>
  <c r="I67" i="1"/>
  <c r="D72" i="1"/>
  <c r="G99" i="1"/>
  <c r="G85" i="1"/>
  <c r="G71" i="1"/>
  <c r="D65" i="1" s="1"/>
  <c r="C97" i="1" l="1"/>
  <c r="C83" i="1"/>
  <c r="C69" i="1"/>
  <c r="F66" i="1"/>
  <c r="D66" i="1"/>
</calcChain>
</file>

<file path=xl/sharedStrings.xml><?xml version="1.0" encoding="utf-8"?>
<sst xmlns="http://schemas.openxmlformats.org/spreadsheetml/2006/main" count="459" uniqueCount="253">
  <si>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</si>
  <si>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</si>
  <si>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</si>
  <si>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</si>
  <si>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</si>
  <si>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</si>
  <si>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</si>
  <si>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</si>
  <si>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</si>
  <si>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</si>
  <si>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</si>
  <si>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</si>
  <si>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</si>
  <si>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</si>
  <si>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</si>
  <si>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</si>
  <si>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</si>
  <si>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</si>
  <si>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</si>
  <si>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</si>
  <si>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</si>
  <si>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</si>
  <si>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</si>
  <si>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</si>
  <si>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</si>
  <si>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</si>
  <si>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</si>
  <si>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</si>
  <si>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</si>
  <si>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</si>
  <si>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</si>
  <si>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</si>
  <si>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</si>
  <si>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</si>
  <si>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</si>
  <si>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</si>
  <si>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</si>
  <si>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</si>
  <si>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</si>
  <si>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</si>
  <si>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</si>
  <si>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</si>
  <si>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</si>
  <si>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</si>
  <si>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</si>
  <si>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</si>
  <si>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</si>
  <si>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</si>
  <si>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</si>
  <si>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</si>
  <si>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</si>
  <si>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</si>
  <si>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</si>
  <si>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</si>
  <si>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</si>
  <si>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</si>
  <si>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</si>
  <si>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</si>
  <si>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</si>
  <si>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</si>
  <si>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</si>
  <si>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</si>
  <si>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</si>
  <si>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</si>
  <si>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</si>
  <si>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</si>
  <si>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</si>
  <si>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</si>
  <si>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</si>
  <si>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</si>
  <si>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</si>
  <si>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</si>
  <si>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</si>
  <si>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</si>
  <si>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</si>
  <si>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</si>
  <si>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</si>
  <si>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</si>
  <si>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</si>
  <si>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</si>
  <si>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</si>
  <si>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</si>
  <si>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</si>
  <si>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</si>
  <si>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</si>
  <si>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</si>
  <si>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</si>
  <si>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</si>
  <si>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</si>
  <si>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</si>
  <si>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</si>
  <si>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</si>
  <si>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</si>
  <si>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</si>
  <si>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</si>
  <si>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</si>
  <si>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</si>
  <si>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</si>
  <si>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</si>
  <si>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</si>
  <si>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</si>
  <si>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</si>
  <si>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</si>
  <si>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</si>
  <si>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</si>
  <si>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</si>
  <si>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</si>
  <si>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</si>
  <si>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</si>
  <si>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</si>
  <si>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</si>
  <si>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</si>
  <si>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</si>
  <si>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</si>
  <si>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</si>
  <si>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</si>
  <si>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</si>
  <si>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</si>
  <si>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</si>
  <si>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</si>
  <si>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</si>
  <si>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</si>
  <si>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</si>
  <si>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</si>
  <si>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</si>
  <si>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</si>
  <si>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</si>
  <si>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</si>
  <si>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</si>
  <si>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</si>
  <si>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</si>
  <si>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</si>
  <si>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</si>
  <si>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</si>
  <si>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</si>
  <si>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</si>
  <si>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</si>
  <si>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</si>
  <si>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</si>
  <si>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</si>
  <si>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</si>
  <si>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</si>
  <si>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</si>
  <si>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</si>
  <si>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</si>
  <si>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</si>
  <si>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</si>
  <si>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</si>
  <si>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</si>
  <si>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</si>
  <si>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</si>
  <si>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</si>
  <si>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</si>
  <si>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</si>
  <si>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</si>
  <si>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</si>
  <si>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</si>
  <si>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Goregaon</t>
  </si>
  <si>
    <t>Building No 1</t>
  </si>
  <si>
    <t>Shop</t>
  </si>
  <si>
    <t>Office</t>
  </si>
  <si>
    <t>1BHK</t>
  </si>
  <si>
    <t>2BHK</t>
  </si>
  <si>
    <t>Building No 2</t>
  </si>
  <si>
    <t>3rd, 5th &amp; 7th Floor</t>
  </si>
  <si>
    <t>4BHK</t>
  </si>
  <si>
    <t>Row House 1</t>
  </si>
  <si>
    <t>Row House 2</t>
  </si>
  <si>
    <t>Building No.1</t>
  </si>
  <si>
    <t>Building No.2</t>
  </si>
  <si>
    <t>Row House No.1</t>
  </si>
  <si>
    <t>Row House No.2</t>
  </si>
  <si>
    <t>Vasai-Virar Municipal Corporation</t>
  </si>
  <si>
    <t>Name of the builder Name</t>
  </si>
  <si>
    <t>Signature Heights</t>
  </si>
  <si>
    <t>P99000025366</t>
  </si>
  <si>
    <t>Plot No</t>
  </si>
  <si>
    <t>25, Survey No.22B, Hissa No.4 &amp; Survey No.28, Hissa No.12</t>
  </si>
  <si>
    <t>Waliv</t>
  </si>
  <si>
    <t>Vasai</t>
  </si>
  <si>
    <t>Palghar</t>
  </si>
  <si>
    <t>Open Plot</t>
  </si>
  <si>
    <t>Hayaat Garden</t>
  </si>
  <si>
    <t>The Ambassador High School</t>
  </si>
  <si>
    <t>7.2 KM from Vasai Railway Station</t>
  </si>
  <si>
    <t>Navnath Bhatkar</t>
  </si>
  <si>
    <t>Hayaat Green</t>
  </si>
  <si>
    <t>Vithal Mandir Road</t>
  </si>
  <si>
    <t>Row House No. 1 &amp; 2 = Gr/St + 1st to 3rd Floor</t>
  </si>
  <si>
    <t>No. of Shop</t>
  </si>
  <si>
    <t>No. of Flat</t>
  </si>
  <si>
    <t>Recommended rate of the Row house Per Sq. Ft. (on Saleable area)</t>
  </si>
  <si>
    <t>s</t>
  </si>
  <si>
    <t>Recommended rate of the Shop Per Sq. Ft. (on Saleable area)</t>
  </si>
  <si>
    <t>Nikhil Dani</t>
  </si>
  <si>
    <t>DC &amp; SF charges</t>
  </si>
  <si>
    <t>cost Sheet</t>
  </si>
  <si>
    <t>Location Link</t>
  </si>
  <si>
    <t>https://goo.gl/maps/vPbMrmz3iSpsA29U6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</si>
  <si>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E mail : vsjcapf@gmail.com. Web site : www.vsjadon.com</t>
  </si>
  <si>
    <t>Building No. 1 = Gr/St + 1st to 11th Floor</t>
  </si>
  <si>
    <t>Building No. 2 = Gr/St + 1st to 11th Floor</t>
  </si>
  <si>
    <t>On Site, we meet Miss Shweta - 9370331453.</t>
  </si>
  <si>
    <t>Site Person - Contact Details ( Name &amp; Contact No.)</t>
  </si>
  <si>
    <t>As per RERA - 31/12/2025</t>
  </si>
  <si>
    <t>As per Layout</t>
  </si>
  <si>
    <t>Latitude &amp; Longitude</t>
  </si>
  <si>
    <t>19.421556,72.861556</t>
  </si>
  <si>
    <t>Approved Plans, CC</t>
  </si>
  <si>
    <t>Layout :</t>
  </si>
  <si>
    <t>Other Plot</t>
  </si>
  <si>
    <t>12.00 M. W. D.P Road</t>
  </si>
  <si>
    <t>2 Buildings &amp; 2 Row House</t>
  </si>
  <si>
    <t>VVCMC/TP/RDP/VP-6109/388/2023-24</t>
  </si>
  <si>
    <t xml:space="preserve">Commencement Certificate No.
Valid Up to:  </t>
  </si>
  <si>
    <t>VVCMC/TP/AMEND/VP/6109/388/2023-24</t>
  </si>
  <si>
    <t>Building No.1 &amp; 2
Row House No. 1 &amp; 2</t>
  </si>
  <si>
    <t>Ground Floor For Commercial &amp; Parking</t>
  </si>
  <si>
    <t>1st Floor For Commercial, Driver Room, Society Office &amp; Part Residential Area</t>
  </si>
  <si>
    <t>-</t>
  </si>
  <si>
    <t>Residential Area</t>
  </si>
  <si>
    <t>1st Floor For Residential, Driver Room, Society Office &amp; Part Commercial Area</t>
  </si>
  <si>
    <t>Commercial Area</t>
  </si>
  <si>
    <t>2nd Floor For Residential</t>
  </si>
  <si>
    <t>4th &amp; 6th Floor</t>
  </si>
  <si>
    <t>8th Floor For Part Refuge Area</t>
  </si>
  <si>
    <t>Refuge Area</t>
  </si>
  <si>
    <t>1st Floor For Residential</t>
  </si>
  <si>
    <t>2nd, 4th, 6th &amp; 10th Floor</t>
  </si>
  <si>
    <t>3rd, 5th, 7th, 9th &amp; 11th Floor</t>
  </si>
  <si>
    <t>8th Floor Part Refuge Area &amp; Society Office</t>
  </si>
  <si>
    <t>Refuge Area &amp; Society Office</t>
  </si>
  <si>
    <t>Ground Floor For Parking</t>
  </si>
  <si>
    <t>1st + 2nd + 3rd Floor For Residential</t>
  </si>
  <si>
    <t>Commercial Area Details :(Shop &amp; Office)</t>
  </si>
  <si>
    <t>Grand Total</t>
  </si>
  <si>
    <t xml:space="preserve">Details of Commercial &amp; Residential in Building   </t>
  </si>
  <si>
    <t xml:space="preserve">Building No.1 = Gr/St + 1st to 8th Floor 
Building No.2 = Gr/St + 1st to 11th Floor 
Row House No.1 &amp; 2 = Gr/St + 1st to 3rd Floor
</t>
  </si>
  <si>
    <t>Flats - 94, Shops - 23, Offices -14, Row house - 2</t>
  </si>
  <si>
    <t>We considered Gross carpet area = Net carpet + Chajja Area + E.P + Patio Area.</t>
  </si>
  <si>
    <t>We have upadated Revised approved plans &amp; CC on 03/10/2024</t>
  </si>
  <si>
    <t>Mr. Suraj Dinesh Singh</t>
  </si>
  <si>
    <t>M/s. Signature Enterprises</t>
  </si>
  <si>
    <t>Vasai East</t>
  </si>
  <si>
    <t xml:space="preserve">Approved Floor plan No.
Row House No.1 &amp; 2  </t>
  </si>
  <si>
    <t>VVCMC/TP/AMEND/VP/6109/706/2021-
22</t>
  </si>
  <si>
    <t xml:space="preserve">Approved Floor plan No.
Building No.1 &amp; 2  </t>
  </si>
  <si>
    <t xml:space="preserve">
</t>
  </si>
  <si>
    <t>Mr. Ganesh : 9370331455</t>
  </si>
  <si>
    <t>Construction work of Bldg No. 01 goes beyond CC permission, Please provide revised approved CC &amp; Plans.</t>
  </si>
  <si>
    <t>Pranita Mhatre</t>
  </si>
  <si>
    <t>Bldg No.1 &amp; 2 - Construction work is in process at the time of Visit. (Slow Speed)
Row House 1 &amp; 2 - Work is same as last visit (11/06/2024).</t>
  </si>
  <si>
    <t>Building No. 1 = Gr/St + 1st to 8th Floor
Building No. 2 = Gr/St + 1st to 11th Floor
Row House No. 1 &amp; 2 = Gr/St + 1st to 3rd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</si>
</sst>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1F1F1F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3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1" applyNumberFormat="1" applyFont="1" applyFill="1" applyBorder="1" applyAlignment="1"/>
    <xf numFmtId="0" fontId="7" fillId="0" borderId="0" xfId="1" applyNumberFormat="1" applyFont="1" applyFill="1" applyAlignment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24" fillId="3" borderId="0" xfId="0" applyFont="1" applyFill="1" applyAlignment="1">
      <alignment horizontal="left" vertical="center"/>
    </xf>
    <xf numFmtId="14" fontId="16" fillId="3" borderId="0" xfId="1" applyNumberFormat="1" applyFont="1" applyFill="1"/>
    <xf numFmtId="0" fontId="16" fillId="3" borderId="0" xfId="1" applyFont="1" applyFill="1"/>
    <xf numFmtId="1" fontId="7" fillId="0" borderId="0" xfId="0" applyNumberFormat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Alignment="1">
      <alignment horizontal="center" vertical="center"/>
    </xf>
    <xf numFmtId="1" fontId="6" fillId="0" borderId="1" xfId="2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wrapText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5" fillId="0" borderId="1" xfId="10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167" fontId="12" fillId="2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26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27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12" fillId="0" borderId="28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29" xfId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/>
      <protection locked="0"/>
    </xf>
    <xf numFmtId="0" fontId="13" fillId="2" borderId="23" xfId="1" applyFont="1" applyFill="1" applyBorder="1" applyAlignment="1" applyProtection="1">
      <alignment horizontal="left" vertical="top"/>
      <protection locked="0"/>
    </xf>
    <xf numFmtId="0" fontId="13" fillId="2" borderId="9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3C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280780</xdr:colOff>
      <xdr:row>361</xdr:row>
      <xdr:rowOff>155268</xdr:rowOff>
    </xdr:from>
    <xdr:to>
      <xdr:col>7</xdr:col>
      <xdr:colOff>164536</xdr:colOff>
      <xdr:row>378</xdr:row>
      <xdr:rowOff>33983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2780" y="76907718"/>
          <a:ext cx="4817706" cy="32791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36105</xdr:colOff>
      <xdr:row>260</xdr:row>
      <xdr:rowOff>0</xdr:rowOff>
    </xdr:from>
    <xdr:ext cx="733534" cy="311496"/>
    <xdr:sp macro="" textlink="">
      <xdr:nvSpPr>
        <xdr:cNvPr id="21" name="TextBox 20"/>
        <xdr:cNvSpPr txBox="1"/>
      </xdr:nvSpPr>
      <xdr:spPr>
        <a:xfrm>
          <a:off x="9881491" y="56907545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oneCellAnchor>
    <xdr:from>
      <xdr:col>13</xdr:col>
      <xdr:colOff>166845</xdr:colOff>
      <xdr:row>260</xdr:row>
      <xdr:rowOff>0</xdr:rowOff>
    </xdr:from>
    <xdr:ext cx="733534" cy="311496"/>
    <xdr:sp macro="" textlink="">
      <xdr:nvSpPr>
        <xdr:cNvPr id="22" name="TextBox 21"/>
        <xdr:cNvSpPr txBox="1"/>
      </xdr:nvSpPr>
      <xdr:spPr>
        <a:xfrm>
          <a:off x="10800209" y="56907545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oneCellAnchor>
    <xdr:from>
      <xdr:col>10</xdr:col>
      <xdr:colOff>86591</xdr:colOff>
      <xdr:row>262</xdr:row>
      <xdr:rowOff>60613</xdr:rowOff>
    </xdr:from>
    <xdr:ext cx="733534" cy="311496"/>
    <xdr:sp macro="" textlink="">
      <xdr:nvSpPr>
        <xdr:cNvPr id="23" name="TextBox 22"/>
        <xdr:cNvSpPr txBox="1"/>
      </xdr:nvSpPr>
      <xdr:spPr>
        <a:xfrm>
          <a:off x="8529205" y="57565636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02</a:t>
          </a:r>
        </a:p>
      </xdr:txBody>
    </xdr:sp>
    <xdr:clientData/>
  </xdr:oneCellAnchor>
  <xdr:oneCellAnchor>
    <xdr:from>
      <xdr:col>8</xdr:col>
      <xdr:colOff>761999</xdr:colOff>
      <xdr:row>273</xdr:row>
      <xdr:rowOff>34636</xdr:rowOff>
    </xdr:from>
    <xdr:ext cx="1156279" cy="311496"/>
    <xdr:sp macro="" textlink="">
      <xdr:nvSpPr>
        <xdr:cNvPr id="24" name="TextBox 23"/>
        <xdr:cNvSpPr txBox="1"/>
      </xdr:nvSpPr>
      <xdr:spPr>
        <a:xfrm>
          <a:off x="7645976" y="59721750"/>
          <a:ext cx="115627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Row House 1</a:t>
          </a:r>
        </a:p>
      </xdr:txBody>
    </xdr:sp>
    <xdr:clientData/>
  </xdr:oneCellAnchor>
  <xdr:oneCellAnchor>
    <xdr:from>
      <xdr:col>8</xdr:col>
      <xdr:colOff>1004455</xdr:colOff>
      <xdr:row>279</xdr:row>
      <xdr:rowOff>34636</xdr:rowOff>
    </xdr:from>
    <xdr:ext cx="1156279" cy="311496"/>
    <xdr:sp macro="" textlink="">
      <xdr:nvSpPr>
        <xdr:cNvPr id="25" name="TextBox 24"/>
        <xdr:cNvSpPr txBox="1"/>
      </xdr:nvSpPr>
      <xdr:spPr>
        <a:xfrm>
          <a:off x="7888432" y="60916704"/>
          <a:ext cx="115627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Row House 2</a:t>
          </a:r>
        </a:p>
      </xdr:txBody>
    </xdr:sp>
    <xdr:clientData/>
  </xdr:oneCellAnchor>
  <xdr:oneCellAnchor>
    <xdr:from>
      <xdr:col>8</xdr:col>
      <xdr:colOff>1050925</xdr:colOff>
      <xdr:row>260</xdr:row>
      <xdr:rowOff>0</xdr:rowOff>
    </xdr:from>
    <xdr:ext cx="733534" cy="311496"/>
    <xdr:sp macro="" textlink="">
      <xdr:nvSpPr>
        <xdr:cNvPr id="46" name="TextBox 45"/>
        <xdr:cNvSpPr txBox="1"/>
      </xdr:nvSpPr>
      <xdr:spPr>
        <a:xfrm>
          <a:off x="7937500" y="57416700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oneCellAnchor>
    <xdr:from>
      <xdr:col>9</xdr:col>
      <xdr:colOff>623224</xdr:colOff>
      <xdr:row>265</xdr:row>
      <xdr:rowOff>44450</xdr:rowOff>
    </xdr:from>
    <xdr:ext cx="366639" cy="311496"/>
    <xdr:sp macro="" textlink="">
      <xdr:nvSpPr>
        <xdr:cNvPr id="47" name="TextBox 46"/>
        <xdr:cNvSpPr txBox="1"/>
      </xdr:nvSpPr>
      <xdr:spPr>
        <a:xfrm>
          <a:off x="8671849" y="58527950"/>
          <a:ext cx="36663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02</a:t>
          </a:r>
        </a:p>
      </xdr:txBody>
    </xdr:sp>
    <xdr:clientData/>
  </xdr:oneCellAnchor>
  <xdr:oneCellAnchor>
    <xdr:from>
      <xdr:col>8</xdr:col>
      <xdr:colOff>1135323</xdr:colOff>
      <xdr:row>264</xdr:row>
      <xdr:rowOff>15875</xdr:rowOff>
    </xdr:from>
    <xdr:ext cx="366639" cy="311496"/>
    <xdr:sp macro="" textlink="">
      <xdr:nvSpPr>
        <xdr:cNvPr id="48" name="TextBox 47"/>
        <xdr:cNvSpPr txBox="1"/>
      </xdr:nvSpPr>
      <xdr:spPr>
        <a:xfrm>
          <a:off x="8021898" y="58299350"/>
          <a:ext cx="366639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02</a:t>
          </a:r>
        </a:p>
      </xdr:txBody>
    </xdr:sp>
    <xdr:clientData/>
  </xdr:oneCellAnchor>
  <xdr:twoCellAnchor editAs="oneCell">
    <xdr:from>
      <xdr:col>8</xdr:col>
      <xdr:colOff>302295</xdr:colOff>
      <xdr:row>272</xdr:row>
      <xdr:rowOff>114300</xdr:rowOff>
    </xdr:from>
    <xdr:to>
      <xdr:col>8</xdr:col>
      <xdr:colOff>1070458</xdr:colOff>
      <xdr:row>274</xdr:row>
      <xdr:rowOff>96651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8870" y="59902725"/>
          <a:ext cx="768163" cy="382401"/>
        </a:xfrm>
        <a:prstGeom prst="rect">
          <a:avLst/>
        </a:prstGeom>
      </xdr:spPr>
    </xdr:pic>
    <xdr:clientData/>
  </xdr:twoCellAnchor>
  <xdr:twoCellAnchor editAs="oneCell">
    <xdr:from>
      <xdr:col>10</xdr:col>
      <xdr:colOff>681378</xdr:colOff>
      <xdr:row>283</xdr:row>
      <xdr:rowOff>152400</xdr:rowOff>
    </xdr:from>
    <xdr:to>
      <xdr:col>12</xdr:col>
      <xdr:colOff>39841</xdr:colOff>
      <xdr:row>285</xdr:row>
      <xdr:rowOff>133069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2003" y="62141100"/>
          <a:ext cx="768163" cy="380719"/>
        </a:xfrm>
        <a:prstGeom prst="rect">
          <a:avLst/>
        </a:prstGeom>
      </xdr:spPr>
    </xdr:pic>
    <xdr:clientData/>
  </xdr:twoCellAnchor>
  <xdr:twoCellAnchor editAs="oneCell">
    <xdr:from>
      <xdr:col>13</xdr:col>
      <xdr:colOff>393711</xdr:colOff>
      <xdr:row>272</xdr:row>
      <xdr:rowOff>114300</xdr:rowOff>
    </xdr:from>
    <xdr:to>
      <xdr:col>15</xdr:col>
      <xdr:colOff>77652</xdr:colOff>
      <xdr:row>274</xdr:row>
      <xdr:rowOff>96651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04611" y="59902725"/>
          <a:ext cx="1179366" cy="382401"/>
        </a:xfrm>
        <a:prstGeom prst="rect">
          <a:avLst/>
        </a:prstGeom>
      </xdr:spPr>
    </xdr:pic>
    <xdr:clientData/>
  </xdr:twoCellAnchor>
  <xdr:twoCellAnchor editAs="oneCell">
    <xdr:from>
      <xdr:col>2</xdr:col>
      <xdr:colOff>301</xdr:colOff>
      <xdr:row>317</xdr:row>
      <xdr:rowOff>4491</xdr:rowOff>
    </xdr:from>
    <xdr:to>
      <xdr:col>6</xdr:col>
      <xdr:colOff>362510</xdr:colOff>
      <xdr:row>336</xdr:row>
      <xdr:rowOff>60808</xdr:rowOff>
    </xdr:to>
    <xdr:pic>
      <xdr:nvPicPr>
        <xdr:cNvPr id="36" name="Picture 3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rcRect l="8116" t="19619" r="-894" b="25707"/>
        <a:stretch/>
      </xdr:blipFill>
      <xdr:spPr>
        <a:xfrm>
          <a:off x="1562401" y="66288966"/>
          <a:ext cx="3723973" cy="38887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237477</xdr:colOff>
      <xdr:row>337</xdr:row>
      <xdr:rowOff>2285</xdr:rowOff>
    </xdr:from>
    <xdr:to>
      <xdr:col>7</xdr:col>
      <xdr:colOff>989915</xdr:colOff>
      <xdr:row>356</xdr:row>
      <xdr:rowOff>27134</xdr:rowOff>
    </xdr:to>
    <xdr:grpSp>
      <xdr:nvGrpSpPr>
        <xdr:cNvPr id="8" name="Group 7"/>
        <xdr:cNvGrpSpPr/>
      </xdr:nvGrpSpPr>
      <xdr:grpSpPr>
        <a:xfrm>
          <a:off x="237477" y="74555821"/>
          <a:ext cx="6426617" cy="3902884"/>
          <a:chOff x="175214" y="70301540"/>
          <a:chExt cx="6448388" cy="3825324"/>
        </a:xfrm>
      </xdr:grpSpPr>
      <xdr:pic>
        <xdr:nvPicPr>
          <xdr:cNvPr id="35" name="Picture 34"/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colorTemperature colorTemp="47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</a:extLst>
          </a:blip>
          <a:srcRect l="27" t="22826" r="1331" b="7608"/>
          <a:stretch/>
        </xdr:blipFill>
        <xdr:spPr>
          <a:xfrm>
            <a:off x="175214" y="70301540"/>
            <a:ext cx="6448388" cy="38253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Rectangle 4"/>
          <xdr:cNvSpPr/>
        </xdr:nvSpPr>
        <xdr:spPr>
          <a:xfrm>
            <a:off x="480391" y="71459035"/>
            <a:ext cx="2716282" cy="1434548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9" name="Rectangle 38"/>
          <xdr:cNvSpPr/>
        </xdr:nvSpPr>
        <xdr:spPr>
          <a:xfrm>
            <a:off x="4721914" y="71384490"/>
            <a:ext cx="1462710" cy="1408460"/>
          </a:xfrm>
          <a:prstGeom prst="rect">
            <a:avLst/>
          </a:prstGeom>
          <a:noFill/>
          <a:ln w="381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0" name="TextBox 12"/>
          <xdr:cNvSpPr txBox="1"/>
        </xdr:nvSpPr>
        <xdr:spPr>
          <a:xfrm>
            <a:off x="972378" y="72938309"/>
            <a:ext cx="1622977" cy="2580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8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</a:t>
            </a:r>
          </a:p>
        </xdr:txBody>
      </xdr:sp>
      <xdr:sp macro="" textlink="">
        <xdr:nvSpPr>
          <xdr:cNvPr id="41" name="TextBox 12"/>
          <xdr:cNvSpPr txBox="1"/>
        </xdr:nvSpPr>
        <xdr:spPr>
          <a:xfrm>
            <a:off x="4603059" y="72842231"/>
            <a:ext cx="1628361" cy="2580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8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</a:t>
            </a:r>
          </a:p>
        </xdr:txBody>
      </xdr:sp>
      <xdr:sp macro="" textlink="">
        <xdr:nvSpPr>
          <xdr:cNvPr id="42" name="Rectangle 41"/>
          <xdr:cNvSpPr/>
        </xdr:nvSpPr>
        <xdr:spPr>
          <a:xfrm>
            <a:off x="3552049" y="72158113"/>
            <a:ext cx="464636" cy="520014"/>
          </a:xfrm>
          <a:prstGeom prst="rect">
            <a:avLst/>
          </a:prstGeom>
          <a:noFill/>
          <a:ln w="38100">
            <a:solidFill>
              <a:srgbClr val="3C0DB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3" name="TextBox 12"/>
          <xdr:cNvSpPr txBox="1"/>
        </xdr:nvSpPr>
        <xdr:spPr>
          <a:xfrm>
            <a:off x="3360431" y="72720129"/>
            <a:ext cx="853142" cy="258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050" b="1">
                <a:solidFill>
                  <a:srgbClr val="3C0DB3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Row</a:t>
            </a:r>
            <a:r>
              <a:rPr lang="en-IN" sz="1050" b="1" baseline="0">
                <a:solidFill>
                  <a:srgbClr val="3C0DB3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House No. 1</a:t>
            </a:r>
            <a:endParaRPr lang="en-IN" sz="1050" b="1">
              <a:solidFill>
                <a:srgbClr val="3C0DB3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9" name="Rectangle 48"/>
          <xdr:cNvSpPr/>
        </xdr:nvSpPr>
        <xdr:spPr>
          <a:xfrm>
            <a:off x="4063959" y="72151446"/>
            <a:ext cx="464636" cy="520014"/>
          </a:xfrm>
          <a:prstGeom prst="rect">
            <a:avLst/>
          </a:prstGeom>
          <a:noFill/>
          <a:ln w="38100">
            <a:solidFill>
              <a:srgbClr val="3C0DB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0" name="TextBox 12"/>
          <xdr:cNvSpPr txBox="1"/>
        </xdr:nvSpPr>
        <xdr:spPr>
          <a:xfrm>
            <a:off x="3852652" y="71846772"/>
            <a:ext cx="853142" cy="258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050" b="1">
                <a:solidFill>
                  <a:srgbClr val="3C0DB3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Row</a:t>
            </a:r>
            <a:r>
              <a:rPr lang="en-IN" sz="1050" b="1" baseline="0">
                <a:solidFill>
                  <a:srgbClr val="3C0DB3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House No. 2</a:t>
            </a:r>
            <a:endParaRPr lang="en-IN" sz="1050" b="1">
              <a:solidFill>
                <a:srgbClr val="3C0DB3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752268</xdr:colOff>
      <xdr:row>378</xdr:row>
      <xdr:rowOff>172536</xdr:rowOff>
    </xdr:from>
    <xdr:to>
      <xdr:col>7</xdr:col>
      <xdr:colOff>415373</xdr:colOff>
      <xdr:row>401</xdr:row>
      <xdr:rowOff>122787</xdr:rowOff>
    </xdr:to>
    <xdr:grpSp>
      <xdr:nvGrpSpPr>
        <xdr:cNvPr id="11" name="Group 10"/>
        <xdr:cNvGrpSpPr/>
      </xdr:nvGrpSpPr>
      <xdr:grpSpPr>
        <a:xfrm>
          <a:off x="752268" y="83094465"/>
          <a:ext cx="5337284" cy="4644715"/>
          <a:chOff x="742743" y="78649011"/>
          <a:chExt cx="5359055" cy="4550826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42743" y="78649011"/>
            <a:ext cx="5359055" cy="45508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" name="Rectangle 9"/>
          <xdr:cNvSpPr/>
        </xdr:nvSpPr>
        <xdr:spPr>
          <a:xfrm rot="2065394">
            <a:off x="2150270" y="80404221"/>
            <a:ext cx="2240157" cy="791558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5" name="TextBox 12"/>
          <xdr:cNvSpPr txBox="1"/>
        </xdr:nvSpPr>
        <xdr:spPr>
          <a:xfrm rot="2149386">
            <a:off x="2219325" y="80057625"/>
            <a:ext cx="2752725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8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Signature Heights</a:t>
            </a:r>
          </a:p>
        </xdr:txBody>
      </xdr:sp>
    </xdr:grpSp>
    <xdr:clientData/>
  </xdr:twoCellAnchor>
  <xdr:oneCellAnchor>
    <xdr:from>
      <xdr:col>12</xdr:col>
      <xdr:colOff>36105</xdr:colOff>
      <xdr:row>259</xdr:row>
      <xdr:rowOff>0</xdr:rowOff>
    </xdr:from>
    <xdr:ext cx="733534" cy="311496"/>
    <xdr:sp macro="" textlink="">
      <xdr:nvSpPr>
        <xdr:cNvPr id="65" name="TextBox 64"/>
        <xdr:cNvSpPr txBox="1"/>
      </xdr:nvSpPr>
      <xdr:spPr>
        <a:xfrm>
          <a:off x="10267076" y="57620647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oneCellAnchor>
    <xdr:from>
      <xdr:col>13</xdr:col>
      <xdr:colOff>166845</xdr:colOff>
      <xdr:row>259</xdr:row>
      <xdr:rowOff>0</xdr:rowOff>
    </xdr:from>
    <xdr:ext cx="733534" cy="311496"/>
    <xdr:sp macro="" textlink="">
      <xdr:nvSpPr>
        <xdr:cNvPr id="66" name="TextBox 65"/>
        <xdr:cNvSpPr txBox="1"/>
      </xdr:nvSpPr>
      <xdr:spPr>
        <a:xfrm>
          <a:off x="11193433" y="57620647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twoCellAnchor>
    <xdr:from>
      <xdr:col>8</xdr:col>
      <xdr:colOff>498661</xdr:colOff>
      <xdr:row>273</xdr:row>
      <xdr:rowOff>156883</xdr:rowOff>
    </xdr:from>
    <xdr:to>
      <xdr:col>17</xdr:col>
      <xdr:colOff>169640</xdr:colOff>
      <xdr:row>312</xdr:row>
      <xdr:rowOff>92580</xdr:rowOff>
    </xdr:to>
    <xdr:grpSp>
      <xdr:nvGrpSpPr>
        <xdr:cNvPr id="9" name="Group 8"/>
        <xdr:cNvGrpSpPr/>
      </xdr:nvGrpSpPr>
      <xdr:grpSpPr>
        <a:xfrm>
          <a:off x="7370268" y="61647562"/>
          <a:ext cx="6678658" cy="7895875"/>
          <a:chOff x="95250" y="60293250"/>
          <a:chExt cx="6689223" cy="7738353"/>
        </a:xfrm>
      </xdr:grpSpPr>
      <xdr:grpSp>
        <xdr:nvGrpSpPr>
          <xdr:cNvPr id="2" name="Group 1"/>
          <xdr:cNvGrpSpPr/>
        </xdr:nvGrpSpPr>
        <xdr:grpSpPr>
          <a:xfrm>
            <a:off x="95250" y="60293250"/>
            <a:ext cx="6689223" cy="7738353"/>
            <a:chOff x="95250" y="60293250"/>
            <a:chExt cx="6689223" cy="7738353"/>
          </a:xfrm>
        </xdr:grpSpPr>
        <xdr:pic>
          <xdr:nvPicPr>
            <xdr:cNvPr id="53" name="Picture 52" descr="insp-233883-1525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83497" y="65871603"/>
              <a:ext cx="161831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insp-233883-845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3081" y="63271053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insp-233883-847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26723" y="60293250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insp-233883-851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0" y="60310503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56" descr="insp-233883-862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30325" y="65871603"/>
              <a:ext cx="161831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insp-233883-860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04622" y="63271053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" name="Picture 60" descr="insp-233883-871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69763" y="60304752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" name="Picture 62" descr="insp-233883-931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6163" y="63271053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7325" y="60485362"/>
            <a:ext cx="734745" cy="382141"/>
          </a:xfrm>
          <a:prstGeom prst="rect">
            <a:avLst/>
          </a:prstGeom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93302" y="60418678"/>
            <a:ext cx="795483" cy="380432"/>
          </a:xfrm>
          <a:prstGeom prst="rect">
            <a:avLst/>
          </a:prstGeom>
        </xdr:spPr>
      </xdr:pic>
    </xdr:grpSp>
    <xdr:clientData/>
  </xdr:twoCellAnchor>
  <xdr:oneCellAnchor>
    <xdr:from>
      <xdr:col>12</xdr:col>
      <xdr:colOff>36105</xdr:colOff>
      <xdr:row>258</xdr:row>
      <xdr:rowOff>0</xdr:rowOff>
    </xdr:from>
    <xdr:ext cx="733534" cy="311496"/>
    <xdr:sp macro="" textlink="">
      <xdr:nvSpPr>
        <xdr:cNvPr id="76" name="TextBox 75"/>
        <xdr:cNvSpPr txBox="1"/>
      </xdr:nvSpPr>
      <xdr:spPr>
        <a:xfrm>
          <a:off x="10256430" y="57607200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oneCellAnchor>
    <xdr:from>
      <xdr:col>13</xdr:col>
      <xdr:colOff>166845</xdr:colOff>
      <xdr:row>258</xdr:row>
      <xdr:rowOff>0</xdr:rowOff>
    </xdr:from>
    <xdr:ext cx="733534" cy="311496"/>
    <xdr:sp macro="" textlink="">
      <xdr:nvSpPr>
        <xdr:cNvPr id="77" name="TextBox 76"/>
        <xdr:cNvSpPr txBox="1"/>
      </xdr:nvSpPr>
      <xdr:spPr>
        <a:xfrm>
          <a:off x="11177745" y="57607200"/>
          <a:ext cx="733534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Bldg 01</a:t>
          </a:r>
        </a:p>
      </xdr:txBody>
    </xdr:sp>
    <xdr:clientData/>
  </xdr:oneCellAnchor>
  <xdr:twoCellAnchor>
    <xdr:from>
      <xdr:col>8</xdr:col>
      <xdr:colOff>728382</xdr:colOff>
      <xdr:row>269</xdr:row>
      <xdr:rowOff>156882</xdr:rowOff>
    </xdr:from>
    <xdr:to>
      <xdr:col>9</xdr:col>
      <xdr:colOff>298578</xdr:colOff>
      <xdr:row>272</xdr:row>
      <xdr:rowOff>49118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60612617"/>
          <a:ext cx="735607" cy="385295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273</xdr:row>
      <xdr:rowOff>148479</xdr:rowOff>
    </xdr:from>
    <xdr:to>
      <xdr:col>7</xdr:col>
      <xdr:colOff>1104013</xdr:colOff>
      <xdr:row>314</xdr:row>
      <xdr:rowOff>160245</xdr:rowOff>
    </xdr:to>
    <xdr:grpSp>
      <xdr:nvGrpSpPr>
        <xdr:cNvPr id="15" name="Group 14"/>
        <xdr:cNvGrpSpPr/>
      </xdr:nvGrpSpPr>
      <xdr:grpSpPr>
        <a:xfrm>
          <a:off x="112059" y="61639158"/>
          <a:ext cx="6666133" cy="8380158"/>
          <a:chOff x="112059" y="61164508"/>
          <a:chExt cx="6695748" cy="8281708"/>
        </a:xfrm>
      </xdr:grpSpPr>
      <xdr:grpSp>
        <xdr:nvGrpSpPr>
          <xdr:cNvPr id="14" name="Group 13"/>
          <xdr:cNvGrpSpPr/>
        </xdr:nvGrpSpPr>
        <xdr:grpSpPr>
          <a:xfrm>
            <a:off x="112059" y="61164508"/>
            <a:ext cx="6695748" cy="8281708"/>
            <a:chOff x="109778" y="60840099"/>
            <a:chExt cx="6687904" cy="8212977"/>
          </a:xfrm>
        </xdr:grpSpPr>
        <xdr:grpSp>
          <xdr:nvGrpSpPr>
            <xdr:cNvPr id="13" name="Group 12"/>
            <xdr:cNvGrpSpPr/>
          </xdr:nvGrpSpPr>
          <xdr:grpSpPr>
            <a:xfrm>
              <a:off x="313647" y="60840099"/>
              <a:ext cx="6484035" cy="8212977"/>
              <a:chOff x="313771" y="61288177"/>
              <a:chExt cx="6492036" cy="8282738"/>
            </a:xfrm>
          </xdr:grpSpPr>
          <xdr:grpSp>
            <xdr:nvGrpSpPr>
              <xdr:cNvPr id="78" name="Group 77"/>
              <xdr:cNvGrpSpPr/>
            </xdr:nvGrpSpPr>
            <xdr:grpSpPr>
              <a:xfrm>
                <a:off x="313771" y="61288177"/>
                <a:ext cx="6492036" cy="8282738"/>
                <a:chOff x="340608" y="283391"/>
                <a:chExt cx="5835979" cy="7187164"/>
              </a:xfrm>
            </xdr:grpSpPr>
            <xdr:pic>
              <xdr:nvPicPr>
                <xdr:cNvPr id="79" name="Picture 78" descr="https://vsjcllp.vsjadon.com/upload/insp-243775-1525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761811" y="5582219"/>
                  <a:ext cx="1414776" cy="188833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0" name="Picture 79" descr="https://vsjcllp.vsjadon.com/upload/insp-243775-843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29902" y="283391"/>
                  <a:ext cx="2487349" cy="3319923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1" name="Picture 80" descr="https://vsjcllp.vsjadon.com/upload/insp-243775-845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779621" y="3696244"/>
                  <a:ext cx="1349325" cy="180097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2" name="Picture 81" descr="https://vsjcllp.vsjadon.com/upload/insp-243775-851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242897" y="283391"/>
                  <a:ext cx="2487349" cy="3319923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3" name="Picture 82" descr="https://vsjcllp.vsjadon.com/upload/insp-243775-861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40608" y="3705969"/>
                  <a:ext cx="1349325" cy="180097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4" name="Picture 83" descr="https://vsjcllp.vsjadon.com/upload/insp-243775-862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700930" y="5568571"/>
                  <a:ext cx="1414776" cy="188833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6" name="Picture 85" descr="https://vsjcllp.vsjadon.com/upload/insp-243775-940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4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230621" y="5582219"/>
                  <a:ext cx="1414776" cy="188833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7" name="Picture 86" descr="https://vsjcllp.vsjadon.com/upload/insp-243775-874.jpg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3222046" y="3696244"/>
                  <a:ext cx="1349325" cy="1800976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pic>
            <xdr:nvPicPr>
              <xdr:cNvPr id="88" name="Picture 87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2252382" y="61497883"/>
                <a:ext cx="735607" cy="385295"/>
              </a:xfrm>
              <a:prstGeom prst="rect">
                <a:avLst/>
              </a:prstGeom>
            </xdr:spPr>
          </xdr:pic>
          <xdr:pic>
            <xdr:nvPicPr>
              <xdr:cNvPr id="91" name="Picture 90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4034118" y="61565118"/>
                <a:ext cx="796416" cy="372366"/>
              </a:xfrm>
              <a:prstGeom prst="rect">
                <a:avLst/>
              </a:prstGeom>
            </xdr:spPr>
          </xdr:pic>
        </xdr:grpSp>
        <xdr:pic>
          <xdr:nvPicPr>
            <xdr:cNvPr id="92" name="Picture 91" descr="https://vsjcllp.vsjadon.com/upload/insp-243775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9778" y="66890899"/>
              <a:ext cx="1615616" cy="21564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07" name="Picture 106" descr="https://vsjcllp.vsjadon.com/upload/insp-243775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98678" y="65094970"/>
            <a:ext cx="1543888" cy="207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530701</xdr:colOff>
      <xdr:row>42</xdr:row>
      <xdr:rowOff>183245</xdr:rowOff>
    </xdr:from>
    <xdr:to>
      <xdr:col>7</xdr:col>
      <xdr:colOff>584987</xdr:colOff>
      <xdr:row>54</xdr:row>
      <xdr:rowOff>57245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7877" y="8195451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88011</xdr:rowOff>
    </xdr:from>
    <xdr:to>
      <xdr:col>2</xdr:col>
      <xdr:colOff>2362699</xdr:colOff>
      <xdr:row>40</xdr:row>
      <xdr:rowOff>152511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623717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15059</xdr:colOff>
      <xdr:row>27</xdr:row>
      <xdr:rowOff>183703</xdr:rowOff>
    </xdr:from>
    <xdr:to>
      <xdr:col>7</xdr:col>
      <xdr:colOff>831345</xdr:colOff>
      <xdr:row>39</xdr:row>
      <xdr:rowOff>57703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4235" y="5338409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343330</xdr:colOff>
      <xdr:row>16</xdr:row>
      <xdr:rowOff>119203</xdr:rowOff>
    </xdr:from>
    <xdr:to>
      <xdr:col>3</xdr:col>
      <xdr:colOff>240735</xdr:colOff>
      <xdr:row>27</xdr:row>
      <xdr:rowOff>183703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036" y="3178409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512869</xdr:colOff>
      <xdr:row>16</xdr:row>
      <xdr:rowOff>0</xdr:rowOff>
    </xdr:from>
    <xdr:to>
      <xdr:col>7</xdr:col>
      <xdr:colOff>567155</xdr:colOff>
      <xdr:row>27</xdr:row>
      <xdr:rowOff>64500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0045" y="30592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PbMrmz3iSpsA29U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77"/>
  <sheetViews>
    <sheetView tabSelected="1" showWhiteSpace="0" view="pageBreakPreview" topLeftCell="A61" zoomScale="70" zoomScaleSheetLayoutView="70" zoomScalePageLayoutView="85" workbookViewId="0">
      <selection activeCell="W268" sqref="W268"/>
    </sheetView>
  </sheetViews>
  <sheetFormatPr defaultColWidth="9.140625" defaultRowHeight="15.75" x14ac:dyDescent="0.25"/>
  <cols>
    <col min="1" max="1" width="11.42578125" style="10" customWidth="1"/>
    <col min="2" max="2" width="12" style="10" customWidth="1"/>
    <col min="3" max="3" width="12.7109375" style="10" customWidth="1"/>
    <col min="4" max="4" width="14.140625" style="10" customWidth="1"/>
    <col min="5" max="7" width="11.7109375" style="10" customWidth="1"/>
    <col min="8" max="8" width="17.85546875" style="10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205" t="s">
        <v>199</v>
      </c>
      <c r="B1" s="205"/>
      <c r="C1" s="205"/>
      <c r="D1" s="205"/>
      <c r="E1" s="205"/>
      <c r="F1" s="205"/>
      <c r="G1" s="205"/>
      <c r="H1" s="205"/>
    </row>
    <row r="2" spans="1:8" ht="16.5" customHeight="1" x14ac:dyDescent="0.25">
      <c r="A2" s="206" t="s">
        <v>0</v>
      </c>
      <c r="B2" s="206"/>
      <c r="C2" s="206"/>
      <c r="D2" s="206"/>
      <c r="E2" s="206"/>
      <c r="F2" s="206"/>
      <c r="G2" s="206"/>
      <c r="H2" s="206"/>
    </row>
    <row r="3" spans="1:8" x14ac:dyDescent="0.25">
      <c r="A3" s="161" t="s">
        <v>1</v>
      </c>
      <c r="B3" s="161"/>
      <c r="C3" s="161"/>
      <c r="D3" s="161"/>
      <c r="E3" s="207" t="str">
        <f ca="1">TEXT(TODAY(),"DD/MM/YYYY")</f>
        <v>18/08/2025</v>
      </c>
      <c r="F3" s="207"/>
      <c r="G3" s="207"/>
      <c r="H3" s="207"/>
    </row>
    <row r="4" spans="1:8" ht="15" customHeight="1" x14ac:dyDescent="0.25">
      <c r="A4" s="161" t="s">
        <v>2</v>
      </c>
      <c r="B4" s="161"/>
      <c r="C4" s="161"/>
      <c r="D4" s="161"/>
      <c r="E4" s="209" t="s">
        <v>157</v>
      </c>
      <c r="F4" s="209"/>
      <c r="G4" s="209"/>
      <c r="H4" s="209"/>
    </row>
    <row r="5" spans="1:8" x14ac:dyDescent="0.25">
      <c r="A5" s="161" t="s">
        <v>3</v>
      </c>
      <c r="B5" s="161"/>
      <c r="C5" s="161"/>
      <c r="D5" s="161"/>
      <c r="E5" s="207">
        <v>45881</v>
      </c>
      <c r="F5" s="207"/>
      <c r="G5" s="207"/>
      <c r="H5" s="207"/>
    </row>
    <row r="6" spans="1:8" ht="16.5" customHeight="1" x14ac:dyDescent="0.25">
      <c r="A6" s="161" t="s">
        <v>173</v>
      </c>
      <c r="B6" s="161"/>
      <c r="C6" s="161"/>
      <c r="D6" s="161"/>
      <c r="E6" s="194" t="s">
        <v>241</v>
      </c>
      <c r="F6" s="194"/>
      <c r="G6" s="194"/>
      <c r="H6" s="194"/>
    </row>
    <row r="7" spans="1:8" ht="16.5" customHeight="1" x14ac:dyDescent="0.25">
      <c r="A7" s="161" t="s">
        <v>4</v>
      </c>
      <c r="B7" s="161"/>
      <c r="C7" s="161"/>
      <c r="D7" s="161"/>
      <c r="E7" s="194" t="s">
        <v>242</v>
      </c>
      <c r="F7" s="194"/>
      <c r="G7" s="194"/>
      <c r="H7" s="194"/>
    </row>
    <row r="8" spans="1:8" x14ac:dyDescent="0.25">
      <c r="A8" s="161" t="s">
        <v>5</v>
      </c>
      <c r="B8" s="161"/>
      <c r="C8" s="161"/>
      <c r="D8" s="161"/>
      <c r="E8" s="208" t="s">
        <v>174</v>
      </c>
      <c r="F8" s="208"/>
      <c r="G8" s="208"/>
      <c r="H8" s="208"/>
    </row>
    <row r="9" spans="1:8" x14ac:dyDescent="0.25">
      <c r="A9" s="161" t="s">
        <v>120</v>
      </c>
      <c r="B9" s="161"/>
      <c r="C9" s="161"/>
      <c r="D9" s="161"/>
      <c r="E9" s="161">
        <v>9370331455</v>
      </c>
      <c r="F9" s="161"/>
      <c r="G9" s="161"/>
      <c r="H9" s="161"/>
    </row>
    <row r="10" spans="1:8" x14ac:dyDescent="0.25">
      <c r="A10" s="161" t="s">
        <v>203</v>
      </c>
      <c r="B10" s="161"/>
      <c r="C10" s="161"/>
      <c r="D10" s="161"/>
      <c r="E10" s="161" t="s">
        <v>248</v>
      </c>
      <c r="F10" s="161"/>
      <c r="G10" s="161"/>
      <c r="H10" s="161"/>
    </row>
    <row r="11" spans="1:8" ht="32.25" customHeight="1" x14ac:dyDescent="0.25">
      <c r="A11" s="210" t="s">
        <v>6</v>
      </c>
      <c r="B11" s="210"/>
      <c r="C11" s="210"/>
      <c r="D11" s="210"/>
      <c r="E11" s="211" t="s">
        <v>216</v>
      </c>
      <c r="F11" s="210"/>
      <c r="G11" s="210"/>
      <c r="H11" s="210"/>
    </row>
    <row r="12" spans="1:8" s="5" customFormat="1" ht="16.5" customHeight="1" x14ac:dyDescent="0.25">
      <c r="A12" s="210" t="s">
        <v>7</v>
      </c>
      <c r="B12" s="210"/>
      <c r="C12" s="210"/>
      <c r="D12" s="210"/>
      <c r="E12" s="211" t="s">
        <v>208</v>
      </c>
      <c r="F12" s="211"/>
      <c r="G12" s="211"/>
      <c r="H12" s="211"/>
    </row>
    <row r="13" spans="1:8" x14ac:dyDescent="0.25">
      <c r="A13" s="161" t="s">
        <v>8</v>
      </c>
      <c r="B13" s="161"/>
      <c r="C13" s="161"/>
      <c r="D13" s="161"/>
      <c r="E13" s="211" t="s">
        <v>175</v>
      </c>
      <c r="F13" s="210"/>
      <c r="G13" s="210"/>
      <c r="H13" s="210"/>
    </row>
    <row r="14" spans="1:8" ht="48.75" customHeight="1" x14ac:dyDescent="0.25">
      <c r="A14" s="194" t="s">
        <v>9</v>
      </c>
      <c r="B14" s="194"/>
      <c r="C14" s="19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Signature Heights, Plot No.25, Survey No.22B, Hissa No.4 &amp; Survey No.28, Hissa No.12, near The Ambassador High School, Vithal Mandir Road, Waliv, Vasai East, Vasai, Palghar - 401208.</v>
      </c>
      <c r="D14" s="194"/>
      <c r="E14" s="194"/>
      <c r="F14" s="194"/>
      <c r="G14" s="194"/>
      <c r="H14" s="194"/>
    </row>
    <row r="15" spans="1:8" x14ac:dyDescent="0.25">
      <c r="A15" s="198" t="s">
        <v>176</v>
      </c>
      <c r="B15" s="198"/>
      <c r="C15" s="153" t="s">
        <v>177</v>
      </c>
      <c r="D15" s="153"/>
      <c r="E15" s="153"/>
      <c r="F15" s="153"/>
      <c r="G15" s="153"/>
      <c r="H15" s="153"/>
    </row>
    <row r="16" spans="1:8" ht="15.75" customHeight="1" x14ac:dyDescent="0.25">
      <c r="A16" s="198" t="s">
        <v>10</v>
      </c>
      <c r="B16" s="198"/>
      <c r="C16" s="143" t="s">
        <v>187</v>
      </c>
      <c r="D16" s="143"/>
      <c r="E16" s="198" t="s">
        <v>73</v>
      </c>
      <c r="F16" s="198"/>
      <c r="G16" s="153" t="s">
        <v>178</v>
      </c>
      <c r="H16" s="153"/>
    </row>
    <row r="17" spans="1:8" x14ac:dyDescent="0.25">
      <c r="A17" s="135" t="s">
        <v>12</v>
      </c>
      <c r="B17" s="135"/>
      <c r="C17" s="153" t="s">
        <v>243</v>
      </c>
      <c r="D17" s="153"/>
      <c r="E17" s="198" t="s">
        <v>11</v>
      </c>
      <c r="F17" s="198"/>
      <c r="G17" s="214" t="s">
        <v>180</v>
      </c>
      <c r="H17" s="214"/>
    </row>
    <row r="18" spans="1:8" x14ac:dyDescent="0.25">
      <c r="A18" s="135" t="s">
        <v>74</v>
      </c>
      <c r="B18" s="135"/>
      <c r="C18" s="153" t="s">
        <v>179</v>
      </c>
      <c r="D18" s="153"/>
      <c r="E18" s="198" t="s">
        <v>13</v>
      </c>
      <c r="F18" s="198"/>
      <c r="G18" s="215">
        <v>401208</v>
      </c>
      <c r="H18" s="215"/>
    </row>
    <row r="19" spans="1:8" ht="32.25" customHeight="1" x14ac:dyDescent="0.25">
      <c r="A19" s="135" t="s">
        <v>121</v>
      </c>
      <c r="B19" s="135"/>
      <c r="C19" s="212" t="s">
        <v>183</v>
      </c>
      <c r="D19" s="212"/>
      <c r="E19" s="198" t="s">
        <v>14</v>
      </c>
      <c r="F19" s="198"/>
      <c r="G19" s="153" t="s">
        <v>184</v>
      </c>
      <c r="H19" s="153"/>
    </row>
    <row r="20" spans="1:8" ht="15" customHeight="1" x14ac:dyDescent="0.25">
      <c r="A20" s="198" t="s">
        <v>76</v>
      </c>
      <c r="B20" s="198"/>
      <c r="C20" s="198"/>
      <c r="D20" s="198"/>
      <c r="E20" s="143" t="s">
        <v>15</v>
      </c>
      <c r="F20" s="143"/>
      <c r="G20" s="143"/>
      <c r="H20" s="143"/>
    </row>
    <row r="21" spans="1:8" x14ac:dyDescent="0.25">
      <c r="A21" s="198"/>
      <c r="B21" s="198"/>
      <c r="C21" s="198"/>
      <c r="D21" s="198"/>
      <c r="E21" s="143"/>
      <c r="F21" s="143"/>
      <c r="G21" s="143"/>
      <c r="H21" s="143"/>
    </row>
    <row r="22" spans="1:8" ht="15.75" customHeight="1" x14ac:dyDescent="0.25">
      <c r="A22" s="198" t="s">
        <v>16</v>
      </c>
      <c r="B22" s="198"/>
      <c r="C22" s="198"/>
      <c r="D22" s="198"/>
      <c r="E22" s="153" t="s">
        <v>17</v>
      </c>
      <c r="F22" s="153"/>
      <c r="G22" s="153"/>
      <c r="H22" s="153"/>
    </row>
    <row r="23" spans="1:8" ht="15" customHeight="1" x14ac:dyDescent="0.25">
      <c r="A23" s="135" t="s">
        <v>18</v>
      </c>
      <c r="B23" s="135"/>
      <c r="C23" s="135"/>
      <c r="D23" s="135"/>
      <c r="E23" s="153" t="str">
        <f>IF(AND(G17="Mumbai"),"Upper Class","Middle Class")</f>
        <v>Middle Class</v>
      </c>
      <c r="F23" s="153"/>
      <c r="G23" s="153"/>
      <c r="H23" s="153"/>
    </row>
    <row r="24" spans="1:8" x14ac:dyDescent="0.25">
      <c r="A24" s="135" t="s">
        <v>19</v>
      </c>
      <c r="B24" s="135"/>
      <c r="C24" s="135"/>
      <c r="D24" s="135"/>
      <c r="E24" s="153" t="s">
        <v>20</v>
      </c>
      <c r="F24" s="153"/>
      <c r="G24" s="153"/>
      <c r="H24" s="153"/>
    </row>
    <row r="25" spans="1:8" ht="15.75" customHeight="1" x14ac:dyDescent="0.25">
      <c r="A25" s="135" t="s">
        <v>21</v>
      </c>
      <c r="B25" s="135"/>
      <c r="C25" s="135"/>
      <c r="D25" s="135"/>
      <c r="E25" s="153" t="str">
        <f>IF(AND(G17="Mumbai"),"Developed","Developing")</f>
        <v>Developing</v>
      </c>
      <c r="F25" s="153"/>
      <c r="G25" s="153"/>
      <c r="H25" s="153"/>
    </row>
    <row r="26" spans="1:8" x14ac:dyDescent="0.25">
      <c r="A26" s="135" t="s">
        <v>22</v>
      </c>
      <c r="B26" s="135"/>
      <c r="C26" s="135"/>
      <c r="D26" s="135"/>
      <c r="E26" s="153" t="s">
        <v>23</v>
      </c>
      <c r="F26" s="153"/>
      <c r="G26" s="153"/>
      <c r="H26" s="153"/>
    </row>
    <row r="27" spans="1:8" x14ac:dyDescent="0.25">
      <c r="A27" s="135" t="s">
        <v>80</v>
      </c>
      <c r="B27" s="135"/>
      <c r="C27" s="135"/>
      <c r="D27" s="135"/>
      <c r="E27" s="153" t="s">
        <v>81</v>
      </c>
      <c r="F27" s="153"/>
      <c r="G27" s="153"/>
      <c r="H27" s="153"/>
    </row>
    <row r="28" spans="1:8" ht="15" customHeight="1" x14ac:dyDescent="0.25">
      <c r="A28" s="198" t="s">
        <v>31</v>
      </c>
      <c r="B28" s="198"/>
      <c r="C28" s="198"/>
      <c r="D28" s="198"/>
      <c r="E28" s="209" t="str">
        <f>IF(ISNUMBER(SEARCH("Shop",D55)),"Residential + Commercial",IF(ISNUMBER(SEARCH("Office",D55)),"Residential + Commercial",IF(SEARCH("Flats",D55),"Residential","")))</f>
        <v>Residential + Commercial</v>
      </c>
      <c r="F28" s="209"/>
      <c r="G28" s="209"/>
      <c r="H28" s="209"/>
    </row>
    <row r="29" spans="1:8" x14ac:dyDescent="0.25">
      <c r="A29" s="198" t="s">
        <v>92</v>
      </c>
      <c r="B29" s="198"/>
      <c r="C29" s="198"/>
      <c r="D29" s="198"/>
      <c r="E29" s="198" t="s">
        <v>32</v>
      </c>
      <c r="F29" s="198"/>
      <c r="G29" s="198"/>
      <c r="H29" s="198"/>
    </row>
    <row r="30" spans="1:8" s="6" customFormat="1" x14ac:dyDescent="0.25">
      <c r="A30" s="219" t="s">
        <v>93</v>
      </c>
      <c r="B30" s="219"/>
      <c r="C30" s="218" t="s">
        <v>205</v>
      </c>
      <c r="D30" s="218"/>
      <c r="E30" s="218"/>
      <c r="F30" s="218" t="s">
        <v>29</v>
      </c>
      <c r="G30" s="218"/>
      <c r="H30" s="218"/>
    </row>
    <row r="31" spans="1:8" s="6" customFormat="1" x14ac:dyDescent="0.25">
      <c r="A31" s="213" t="s">
        <v>24</v>
      </c>
      <c r="B31" s="213" t="s">
        <v>28</v>
      </c>
      <c r="C31" s="217" t="s">
        <v>210</v>
      </c>
      <c r="D31" s="217"/>
      <c r="E31" s="217"/>
      <c r="F31" s="217" t="s">
        <v>182</v>
      </c>
      <c r="G31" s="217"/>
      <c r="H31" s="217"/>
    </row>
    <row r="32" spans="1:8" x14ac:dyDescent="0.25">
      <c r="A32" s="213" t="s">
        <v>25</v>
      </c>
      <c r="B32" s="213" t="s">
        <v>28</v>
      </c>
      <c r="C32" s="217" t="s">
        <v>210</v>
      </c>
      <c r="D32" s="217"/>
      <c r="E32" s="217"/>
      <c r="F32" s="217" t="s">
        <v>181</v>
      </c>
      <c r="G32" s="217"/>
      <c r="H32" s="217"/>
    </row>
    <row r="33" spans="1:8" s="6" customFormat="1" x14ac:dyDescent="0.25">
      <c r="A33" s="213" t="s">
        <v>27</v>
      </c>
      <c r="B33" s="213" t="s">
        <v>28</v>
      </c>
      <c r="C33" s="217" t="s">
        <v>210</v>
      </c>
      <c r="D33" s="217"/>
      <c r="E33" s="217"/>
      <c r="F33" s="217" t="s">
        <v>186</v>
      </c>
      <c r="G33" s="217"/>
      <c r="H33" s="217"/>
    </row>
    <row r="34" spans="1:8" x14ac:dyDescent="0.25">
      <c r="A34" s="213" t="s">
        <v>26</v>
      </c>
      <c r="B34" s="213" t="s">
        <v>28</v>
      </c>
      <c r="C34" s="217" t="s">
        <v>211</v>
      </c>
      <c r="D34" s="217"/>
      <c r="E34" s="217"/>
      <c r="F34" s="217" t="s">
        <v>187</v>
      </c>
      <c r="G34" s="217"/>
      <c r="H34" s="217"/>
    </row>
    <row r="35" spans="1:8" x14ac:dyDescent="0.25">
      <c r="A35" s="135" t="s">
        <v>30</v>
      </c>
      <c r="B35" s="135"/>
      <c r="C35" s="135"/>
      <c r="D35" s="135"/>
      <c r="E35" s="135"/>
      <c r="F35" s="135"/>
      <c r="G35" s="135"/>
      <c r="H35" s="135"/>
    </row>
    <row r="36" spans="1:8" ht="15.75" customHeight="1" x14ac:dyDescent="0.25">
      <c r="A36" s="112" t="s">
        <v>206</v>
      </c>
      <c r="B36" s="112"/>
      <c r="C36" s="229" t="s">
        <v>207</v>
      </c>
      <c r="D36" s="229"/>
      <c r="E36" s="229"/>
      <c r="F36" s="229"/>
      <c r="G36" s="229"/>
      <c r="H36" s="229"/>
    </row>
    <row r="37" spans="1:8" ht="15.75" customHeight="1" x14ac:dyDescent="0.25">
      <c r="A37" s="112" t="s">
        <v>197</v>
      </c>
      <c r="B37" s="112"/>
      <c r="C37" s="113" t="s">
        <v>198</v>
      </c>
      <c r="D37" s="114"/>
      <c r="E37" s="114"/>
      <c r="F37" s="114"/>
      <c r="G37" s="114"/>
      <c r="H37" s="114"/>
    </row>
    <row r="38" spans="1:8" x14ac:dyDescent="0.25">
      <c r="A38" s="112" t="s">
        <v>33</v>
      </c>
      <c r="B38" s="112"/>
      <c r="C38" s="112"/>
      <c r="D38" s="112"/>
      <c r="E38" s="112"/>
      <c r="F38" s="112"/>
      <c r="G38" s="112"/>
      <c r="H38" s="112"/>
    </row>
    <row r="39" spans="1:8" x14ac:dyDescent="0.25">
      <c r="A39" s="135" t="s">
        <v>34</v>
      </c>
      <c r="B39" s="135"/>
      <c r="C39" s="135"/>
      <c r="D39" s="135"/>
      <c r="E39" s="216">
        <v>1821.54</v>
      </c>
      <c r="F39" s="216"/>
      <c r="G39" s="216"/>
      <c r="H39" s="216"/>
    </row>
    <row r="40" spans="1:8" x14ac:dyDescent="0.25">
      <c r="A40" s="135" t="s">
        <v>35</v>
      </c>
      <c r="B40" s="135"/>
      <c r="C40" s="135"/>
      <c r="D40" s="135"/>
      <c r="E40" s="134">
        <f>2003.69/E39</f>
        <v>1.0999978040559089</v>
      </c>
      <c r="F40" s="134"/>
      <c r="G40" s="134"/>
      <c r="H40" s="134"/>
    </row>
    <row r="41" spans="1:8" x14ac:dyDescent="0.25">
      <c r="A41" s="135" t="s">
        <v>36</v>
      </c>
      <c r="B41" s="135"/>
      <c r="C41" s="135"/>
      <c r="D41" s="135"/>
      <c r="E41" s="134">
        <f>E43/E39-E40</f>
        <v>2.841095995695949</v>
      </c>
      <c r="F41" s="134"/>
      <c r="G41" s="134"/>
      <c r="H41" s="134"/>
    </row>
    <row r="42" spans="1:8" x14ac:dyDescent="0.25">
      <c r="A42" s="135" t="s">
        <v>37</v>
      </c>
      <c r="B42" s="135"/>
      <c r="C42" s="135"/>
      <c r="D42" s="135"/>
      <c r="E42" s="134">
        <f>E40+E41</f>
        <v>3.941093799751858</v>
      </c>
      <c r="F42" s="134"/>
      <c r="G42" s="134"/>
      <c r="H42" s="134"/>
    </row>
    <row r="43" spans="1:8" x14ac:dyDescent="0.25">
      <c r="A43" s="135" t="s">
        <v>91</v>
      </c>
      <c r="B43" s="135"/>
      <c r="C43" s="135"/>
      <c r="D43" s="135"/>
      <c r="E43" s="142">
        <v>7178.86</v>
      </c>
      <c r="F43" s="142"/>
      <c r="G43" s="142"/>
      <c r="H43" s="142"/>
    </row>
    <row r="44" spans="1:8" x14ac:dyDescent="0.25">
      <c r="A44" s="143" t="s">
        <v>38</v>
      </c>
      <c r="B44" s="143"/>
      <c r="C44" s="143"/>
      <c r="D44" s="143"/>
      <c r="E44" s="143" t="s">
        <v>212</v>
      </c>
      <c r="F44" s="143"/>
      <c r="G44" s="143"/>
      <c r="H44" s="143"/>
    </row>
    <row r="45" spans="1:8" x14ac:dyDescent="0.25">
      <c r="A45" s="197" t="s">
        <v>39</v>
      </c>
      <c r="B45" s="197"/>
      <c r="C45" s="197"/>
      <c r="D45" s="197"/>
      <c r="E45" s="197"/>
      <c r="F45" s="197"/>
      <c r="G45" s="197"/>
      <c r="H45" s="197"/>
    </row>
    <row r="46" spans="1:8" ht="32.25" customHeight="1" x14ac:dyDescent="0.25">
      <c r="A46" s="220" t="s">
        <v>151</v>
      </c>
      <c r="B46" s="221"/>
      <c r="C46" s="222" t="s">
        <v>172</v>
      </c>
      <c r="D46" s="223"/>
      <c r="E46" s="223"/>
      <c r="F46" s="223"/>
      <c r="G46" s="223"/>
      <c r="H46" s="224"/>
    </row>
    <row r="47" spans="1:8" ht="30" customHeight="1" x14ac:dyDescent="0.25">
      <c r="A47" s="144" t="s">
        <v>40</v>
      </c>
      <c r="B47" s="144"/>
      <c r="C47" s="144" t="s">
        <v>215</v>
      </c>
      <c r="D47" s="144"/>
      <c r="E47" s="144"/>
      <c r="F47" s="76" t="s">
        <v>41</v>
      </c>
      <c r="G47" s="141">
        <v>45344</v>
      </c>
      <c r="H47" s="141"/>
    </row>
    <row r="48" spans="1:8" ht="32.25" customHeight="1" x14ac:dyDescent="0.25">
      <c r="A48" s="144" t="s">
        <v>246</v>
      </c>
      <c r="B48" s="145"/>
      <c r="C48" s="144" t="str">
        <f>C47</f>
        <v>VVCMC/TP/AMEND/VP/6109/388/2023-24</v>
      </c>
      <c r="D48" s="144"/>
      <c r="E48" s="144"/>
      <c r="F48" s="76" t="s">
        <v>41</v>
      </c>
      <c r="G48" s="141">
        <v>45344</v>
      </c>
      <c r="H48" s="141"/>
    </row>
    <row r="49" spans="1:14" ht="32.25" customHeight="1" x14ac:dyDescent="0.25">
      <c r="A49" s="144" t="s">
        <v>244</v>
      </c>
      <c r="B49" s="145"/>
      <c r="C49" s="144" t="s">
        <v>245</v>
      </c>
      <c r="D49" s="144"/>
      <c r="E49" s="144"/>
      <c r="F49" s="96" t="s">
        <v>41</v>
      </c>
      <c r="G49" s="141">
        <v>44559</v>
      </c>
      <c r="H49" s="141"/>
    </row>
    <row r="50" spans="1:14" s="5" customFormat="1" ht="15.75" customHeight="1" x14ac:dyDescent="0.25">
      <c r="A50" s="144" t="s">
        <v>214</v>
      </c>
      <c r="B50" s="144"/>
      <c r="C50" s="144" t="s">
        <v>213</v>
      </c>
      <c r="D50" s="145"/>
      <c r="E50" s="145"/>
      <c r="F50" s="77" t="s">
        <v>41</v>
      </c>
      <c r="G50" s="141">
        <v>45344</v>
      </c>
      <c r="H50" s="141"/>
    </row>
    <row r="51" spans="1:14" s="5" customFormat="1" ht="49.5" customHeight="1" x14ac:dyDescent="0.25">
      <c r="A51" s="144"/>
      <c r="B51" s="144"/>
      <c r="C51" s="220" t="s">
        <v>237</v>
      </c>
      <c r="D51" s="231"/>
      <c r="E51" s="231"/>
      <c r="F51" s="231"/>
      <c r="G51" s="231"/>
      <c r="H51" s="221"/>
    </row>
    <row r="52" spans="1:14" x14ac:dyDescent="0.25">
      <c r="A52" s="152" t="s">
        <v>42</v>
      </c>
      <c r="B52" s="152"/>
      <c r="C52" s="152" t="s">
        <v>102</v>
      </c>
      <c r="D52" s="197"/>
      <c r="E52" s="197" t="s">
        <v>43</v>
      </c>
      <c r="F52" s="78" t="s">
        <v>41</v>
      </c>
      <c r="G52" s="201" t="s">
        <v>28</v>
      </c>
      <c r="H52" s="201"/>
    </row>
    <row r="53" spans="1:14" x14ac:dyDescent="0.25">
      <c r="A53" s="200" t="s">
        <v>45</v>
      </c>
      <c r="B53" s="200"/>
      <c r="C53" s="200"/>
      <c r="D53" s="200"/>
      <c r="E53" s="200"/>
      <c r="F53" s="200"/>
      <c r="G53" s="200"/>
      <c r="H53" s="200"/>
    </row>
    <row r="54" spans="1:14" x14ac:dyDescent="0.25">
      <c r="A54" s="198" t="s">
        <v>90</v>
      </c>
      <c r="B54" s="198"/>
      <c r="C54" s="198"/>
      <c r="D54" s="142">
        <f>E43</f>
        <v>7178.86</v>
      </c>
      <c r="E54" s="143"/>
      <c r="F54" s="143"/>
      <c r="G54" s="143"/>
      <c r="H54" s="143"/>
    </row>
    <row r="55" spans="1:14" x14ac:dyDescent="0.25">
      <c r="A55" s="153" t="s">
        <v>46</v>
      </c>
      <c r="B55" s="143"/>
      <c r="C55" s="143"/>
      <c r="D55" s="143" t="s">
        <v>238</v>
      </c>
      <c r="E55" s="143"/>
      <c r="F55" s="143"/>
      <c r="G55" s="143"/>
      <c r="H55" s="143"/>
      <c r="I55" s="40"/>
    </row>
    <row r="56" spans="1:14" ht="47.25" customHeight="1" x14ac:dyDescent="0.25">
      <c r="A56" s="154" t="s">
        <v>47</v>
      </c>
      <c r="B56" s="155"/>
      <c r="C56" s="156"/>
      <c r="D56" s="153" t="s">
        <v>252</v>
      </c>
      <c r="E56" s="143"/>
      <c r="F56" s="143"/>
      <c r="G56" s="143"/>
      <c r="H56" s="143"/>
      <c r="I56" s="80"/>
      <c r="J56" s="81"/>
      <c r="K56" s="81"/>
      <c r="L56" s="81"/>
    </row>
    <row r="57" spans="1:14" ht="15.75" customHeight="1" x14ac:dyDescent="0.25">
      <c r="A57" s="153" t="s">
        <v>88</v>
      </c>
      <c r="B57" s="153"/>
      <c r="C57" s="153"/>
      <c r="D57" s="146" t="s">
        <v>200</v>
      </c>
      <c r="E57" s="147"/>
      <c r="F57" s="147"/>
      <c r="G57" s="147"/>
      <c r="H57" s="148"/>
      <c r="I57" s="41"/>
    </row>
    <row r="58" spans="1:14" ht="15.75" customHeight="1" x14ac:dyDescent="0.25">
      <c r="A58" s="153"/>
      <c r="B58" s="153"/>
      <c r="C58" s="153"/>
      <c r="D58" s="149" t="s">
        <v>201</v>
      </c>
      <c r="E58" s="150"/>
      <c r="F58" s="150"/>
      <c r="G58" s="150"/>
      <c r="H58" s="151"/>
      <c r="I58" s="41"/>
    </row>
    <row r="59" spans="1:14" ht="15.75" customHeight="1" x14ac:dyDescent="0.25">
      <c r="A59" s="153"/>
      <c r="B59" s="153"/>
      <c r="C59" s="153"/>
      <c r="D59" s="202" t="s">
        <v>188</v>
      </c>
      <c r="E59" s="203"/>
      <c r="F59" s="203"/>
      <c r="G59" s="203"/>
      <c r="H59" s="204"/>
      <c r="I59" s="41"/>
    </row>
    <row r="60" spans="1:14" ht="15.75" customHeight="1" x14ac:dyDescent="0.25">
      <c r="A60" s="135" t="s">
        <v>44</v>
      </c>
      <c r="B60" s="135"/>
      <c r="C60" s="135"/>
      <c r="D60" s="153" t="s">
        <v>204</v>
      </c>
      <c r="E60" s="153"/>
      <c r="F60" s="153"/>
      <c r="G60" s="153"/>
      <c r="H60" s="153"/>
      <c r="J60" s="39"/>
      <c r="K60" s="40"/>
      <c r="N60" s="40"/>
    </row>
    <row r="61" spans="1:14" ht="15.75" customHeight="1" x14ac:dyDescent="0.25">
      <c r="A61" s="135" t="s">
        <v>86</v>
      </c>
      <c r="B61" s="135"/>
      <c r="C61" s="135"/>
      <c r="D61" s="199" t="str">
        <f>(IF(G52="NA","60 Years After Completion",IF(G52&lt;&gt;"NA",""&amp;60-ROUNDDOWN((E3-G52)/360,0)&amp;" Years"," ")))</f>
        <v>60 Years After Completion</v>
      </c>
      <c r="E61" s="199"/>
      <c r="F61" s="199"/>
      <c r="G61" s="199"/>
      <c r="H61" s="199"/>
      <c r="N61" s="40"/>
    </row>
    <row r="62" spans="1:14" ht="15.75" customHeight="1" x14ac:dyDescent="0.25">
      <c r="A62" s="135" t="s">
        <v>87</v>
      </c>
      <c r="B62" s="135"/>
      <c r="C62" s="135"/>
      <c r="D62" s="198" t="s">
        <v>23</v>
      </c>
      <c r="E62" s="198"/>
      <c r="F62" s="198"/>
      <c r="G62" s="198"/>
      <c r="H62" s="198"/>
      <c r="J62" s="12"/>
      <c r="K62" s="12"/>
    </row>
    <row r="63" spans="1:14" ht="15" hidden="1" customHeight="1" x14ac:dyDescent="0.25">
      <c r="A63" s="135" t="s">
        <v>75</v>
      </c>
      <c r="B63" s="135"/>
      <c r="C63" s="135"/>
      <c r="D63" s="153" t="s">
        <v>147</v>
      </c>
      <c r="E63" s="198"/>
      <c r="F63" s="198"/>
      <c r="G63" s="198"/>
      <c r="H63" s="198"/>
    </row>
    <row r="64" spans="1:14" x14ac:dyDescent="0.25">
      <c r="A64" s="198" t="s">
        <v>148</v>
      </c>
      <c r="B64" s="198"/>
      <c r="C64" s="198"/>
      <c r="D64" s="198" t="s">
        <v>28</v>
      </c>
      <c r="E64" s="198"/>
      <c r="F64" s="198"/>
      <c r="G64" s="198"/>
      <c r="H64" s="198"/>
      <c r="I64" s="56"/>
      <c r="J64" s="56"/>
      <c r="K64" s="56"/>
      <c r="L64" s="56"/>
      <c r="M64" s="56"/>
      <c r="N64" s="56"/>
    </row>
    <row r="65" spans="1:12" ht="15.75" customHeight="1" x14ac:dyDescent="0.25">
      <c r="A65" s="129" t="s">
        <v>85</v>
      </c>
      <c r="B65" s="129"/>
      <c r="C65" s="129"/>
      <c r="D65" s="130" t="str">
        <f>(IF(G71&gt;95%,"Nothing",IF(G71&gt;0%,"Cement, Aggregate, Steel, etc",IF(G71=0%,"Work not yet Started"))))</f>
        <v>Cement, Aggregate, Steel, etc</v>
      </c>
      <c r="E65" s="130"/>
      <c r="F65" s="130"/>
      <c r="G65" s="130"/>
      <c r="H65" s="130"/>
      <c r="J65" s="12"/>
    </row>
    <row r="66" spans="1:12" ht="33.75" customHeight="1" thickBot="1" x14ac:dyDescent="0.3">
      <c r="A66" s="198" t="s">
        <v>115</v>
      </c>
      <c r="B66" s="198"/>
      <c r="C66" s="198"/>
      <c r="D66" s="153" t="str">
        <f>(IF(D65="Nothing","Yes",IF(D65="Cement, Aggregate, Steel, etc","Under Construction",IF(D65="Work not yet Started","Work not yet Started"))))</f>
        <v>Under Construction</v>
      </c>
      <c r="E66" s="153"/>
      <c r="F66" s="153" t="str">
        <f>(IF(D65="Nothing","Yes",IF(D65="Cement, Aggregate, Steel, etc","Under Construction",IF(D65="Work not yet Started","Work not yet Started"))))</f>
        <v>Under Construction</v>
      </c>
      <c r="G66" s="153"/>
      <c r="H66" s="153"/>
    </row>
    <row r="67" spans="1:12" ht="15.75" customHeight="1" x14ac:dyDescent="0.25">
      <c r="A67" s="187" t="s">
        <v>139</v>
      </c>
      <c r="B67" s="187"/>
      <c r="C67" s="187" t="str">
        <f>D57</f>
        <v>Building No. 1 = Gr/St + 1st to 11th Floor</v>
      </c>
      <c r="D67" s="187"/>
      <c r="E67" s="187"/>
      <c r="F67" s="187"/>
      <c r="G67" s="187"/>
      <c r="H67" s="187"/>
      <c r="I67" s="45" t="str">
        <f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 Completed",IF(C73&gt;0,", RCC upto "&amp;C73&amp;" Slab Completed",""))&amp;(IF(C74=H68,", Brickwork Completed",IF(C74&gt;0,", Brickwork upto "&amp;C74&amp;" Floor Completed",""))&amp;(IF(C75=H68,", Internal Plaster Completed",IF(C75&gt;0,", Internal Plaster upto "&amp;C75&amp;" Floor Completed",""))&amp;(IF(C76=H68,", External Plaster Completed",IF(C76&gt;0,", External Plaster upto "&amp;C76&amp;" Floor Completed",""))&amp;(IF(C77=H68,", Flooring Completed",IF(C77&gt;0,", Flooring upto "&amp;C77&amp;" Floor Completed",""))&amp;(IF(C78=H68,", Painting Completed",IF(C78&gt;0,", Painting upto "&amp;C78&amp;" Floor Completed",""))&amp;(IF(C79&gt;0,", Finishing upto "&amp;C79&amp;" Floor Completed","")&amp;(IF(C73&gt;0.5,".",""))))))))))))))</f>
        <v>Excavation work Completed. Plinth work completed, RCC upto 11 Slab Completed, Brickwork upto 8 Floor Completed, Internal Plaster upto 6 Floor Completed, External Plaster upto 4 Floor Completed.</v>
      </c>
      <c r="J67" s="14"/>
    </row>
    <row r="68" spans="1:12" x14ac:dyDescent="0.25">
      <c r="A68" s="101" t="s">
        <v>141</v>
      </c>
      <c r="B68" s="101">
        <v>0</v>
      </c>
      <c r="C68" s="101" t="s">
        <v>72</v>
      </c>
      <c r="D68" s="101">
        <v>1</v>
      </c>
      <c r="E68" s="101" t="s">
        <v>71</v>
      </c>
      <c r="F68" s="101">
        <v>0</v>
      </c>
      <c r="G68" s="101" t="s">
        <v>79</v>
      </c>
      <c r="H68" s="101">
        <v>11</v>
      </c>
      <c r="I68" s="46"/>
      <c r="J68" s="15"/>
    </row>
    <row r="69" spans="1:12" ht="48.75" customHeight="1" x14ac:dyDescent="0.25">
      <c r="A69" s="186" t="s">
        <v>89</v>
      </c>
      <c r="B69" s="186"/>
      <c r="C69" s="187" t="str">
        <f>(IF($G$52="NA",I67,"All work Completed. OC Received."))</f>
        <v>Excavation work Completed. Plinth work completed, RCC upto 11 Slab Completed, Brickwork upto 8 Floor Completed, Internal Plaster upto 6 Floor Completed, External Plaster upto 4 Floor Completed.</v>
      </c>
      <c r="D69" s="187"/>
      <c r="E69" s="187"/>
      <c r="F69" s="187"/>
      <c r="G69" s="187"/>
      <c r="H69" s="187"/>
      <c r="I69" s="46" t="s">
        <v>101</v>
      </c>
      <c r="J69" s="15"/>
    </row>
    <row r="70" spans="1:12" ht="15.75" customHeight="1" x14ac:dyDescent="0.25">
      <c r="A70" s="131" t="s">
        <v>48</v>
      </c>
      <c r="B70" s="132"/>
      <c r="C70" s="68" t="s">
        <v>138</v>
      </c>
      <c r="D70" s="82" t="s">
        <v>82</v>
      </c>
      <c r="E70" s="132" t="s">
        <v>84</v>
      </c>
      <c r="F70" s="132"/>
      <c r="G70" s="132" t="s">
        <v>83</v>
      </c>
      <c r="H70" s="133"/>
      <c r="I70" s="38" t="s">
        <v>140</v>
      </c>
      <c r="J70" s="16">
        <f>H68*25%</f>
        <v>2.75</v>
      </c>
    </row>
    <row r="71" spans="1:12" x14ac:dyDescent="0.25">
      <c r="A71" s="131" t="s">
        <v>127</v>
      </c>
      <c r="B71" s="132"/>
      <c r="C71" s="70">
        <f>J72</f>
        <v>11</v>
      </c>
      <c r="D71" s="83">
        <f>((100/H68)*C71)/100</f>
        <v>1.0000000000000002</v>
      </c>
      <c r="E71" s="157">
        <f>(((C72/H68*10)+(40/(D68+F68+H68)*C73)+(7.5/(H68)*C74)+(7.5/(H68)*C75)+(10/H68*C76)+(10/H68*C77)+(5/H68*C78)+(5/H68*C79)+(5/H68*C80))/100)</f>
        <v>0.59848484848484851</v>
      </c>
      <c r="F71" s="157"/>
      <c r="G71" s="157">
        <f>((((C71/H68)*20)+((C72/H68)*25)+(30/(H68+F68+D68)*C73)+(5/H68*C74)+(5/H68*C75)+(5/H68*C76)+(5/H68*C77)+(0/H68*C78)+(0/H68*C79)+(5/H68*C80))/100)</f>
        <v>0.80681818181818188</v>
      </c>
      <c r="H71" s="158"/>
      <c r="I71" s="38" t="s">
        <v>96</v>
      </c>
      <c r="J71" s="44">
        <f>H68*50%</f>
        <v>5.5</v>
      </c>
    </row>
    <row r="72" spans="1:12" x14ac:dyDescent="0.25">
      <c r="A72" s="131" t="s">
        <v>49</v>
      </c>
      <c r="B72" s="132"/>
      <c r="C72" s="72">
        <f>J80</f>
        <v>11</v>
      </c>
      <c r="D72" s="83">
        <f>((100/H68)*C72)/100</f>
        <v>1.0000000000000002</v>
      </c>
      <c r="E72" s="157"/>
      <c r="F72" s="157"/>
      <c r="G72" s="157"/>
      <c r="H72" s="158"/>
      <c r="I72" s="38" t="s">
        <v>97</v>
      </c>
      <c r="J72" s="44">
        <f>H68</f>
        <v>11</v>
      </c>
    </row>
    <row r="73" spans="1:12" ht="15.75" customHeight="1" x14ac:dyDescent="0.25">
      <c r="A73" s="131" t="s">
        <v>128</v>
      </c>
      <c r="B73" s="132"/>
      <c r="C73" s="72">
        <v>11</v>
      </c>
      <c r="D73" s="83">
        <f>((100/(D68+F68+H68))*C73)/100</f>
        <v>0.91666666666666674</v>
      </c>
      <c r="E73" s="157"/>
      <c r="F73" s="157"/>
      <c r="G73" s="157"/>
      <c r="H73" s="158"/>
      <c r="I73" s="38" t="s">
        <v>98</v>
      </c>
      <c r="J73" s="48">
        <f>(IF(B68&gt;1,(H68/(B68+2)),H68/4))</f>
        <v>2.75</v>
      </c>
    </row>
    <row r="74" spans="1:12" ht="15.75" customHeight="1" x14ac:dyDescent="0.25">
      <c r="A74" s="131" t="s">
        <v>135</v>
      </c>
      <c r="B74" s="132" t="s">
        <v>129</v>
      </c>
      <c r="C74" s="70">
        <v>8</v>
      </c>
      <c r="D74" s="83">
        <f>((100/H68)*C74)/100</f>
        <v>0.72727272727272729</v>
      </c>
      <c r="E74" s="157"/>
      <c r="F74" s="157"/>
      <c r="G74" s="157"/>
      <c r="H74" s="158"/>
      <c r="I74" s="38" t="s">
        <v>99</v>
      </c>
      <c r="J74" s="48">
        <f>(IF(B68&gt;1,(H68/(B68+2)+J73),H68/4+J73))</f>
        <v>5.5</v>
      </c>
    </row>
    <row r="75" spans="1:12" ht="15.75" customHeight="1" x14ac:dyDescent="0.25">
      <c r="A75" s="131" t="s">
        <v>136</v>
      </c>
      <c r="B75" s="132" t="s">
        <v>129</v>
      </c>
      <c r="C75" s="70">
        <v>6</v>
      </c>
      <c r="D75" s="83">
        <f>((100/H68)*C75)/100</f>
        <v>0.54545454545454541</v>
      </c>
      <c r="E75" s="157"/>
      <c r="F75" s="157"/>
      <c r="G75" s="157"/>
      <c r="H75" s="158"/>
      <c r="I75" s="38" t="s">
        <v>145</v>
      </c>
      <c r="J75" s="48">
        <f>(IF(B68&gt;1,(H68/(B68+2)+J74),0))</f>
        <v>0</v>
      </c>
      <c r="L75" s="3">
        <f>11*0.8</f>
        <v>8.8000000000000007</v>
      </c>
    </row>
    <row r="76" spans="1:12" ht="15" customHeight="1" x14ac:dyDescent="0.25">
      <c r="A76" s="131" t="s">
        <v>134</v>
      </c>
      <c r="B76" s="132" t="s">
        <v>131</v>
      </c>
      <c r="C76" s="70">
        <v>4</v>
      </c>
      <c r="D76" s="83">
        <f>((100/(H68))*C76)/100</f>
        <v>0.36363636363636365</v>
      </c>
      <c r="E76" s="157"/>
      <c r="F76" s="157"/>
      <c r="G76" s="157"/>
      <c r="H76" s="158"/>
      <c r="I76" s="38" t="s">
        <v>142</v>
      </c>
      <c r="J76" s="48">
        <f>(IF(B68&gt;2,(H68/(B68+2)+J75),0))</f>
        <v>0</v>
      </c>
    </row>
    <row r="77" spans="1:12" ht="15.75" customHeight="1" x14ac:dyDescent="0.25">
      <c r="A77" s="131" t="s">
        <v>130</v>
      </c>
      <c r="B77" s="132" t="s">
        <v>130</v>
      </c>
      <c r="C77" s="70">
        <v>0</v>
      </c>
      <c r="D77" s="83">
        <f>((100/H68)*C77)/100</f>
        <v>0</v>
      </c>
      <c r="E77" s="157"/>
      <c r="F77" s="157"/>
      <c r="G77" s="157"/>
      <c r="H77" s="158"/>
      <c r="I77" s="38" t="s">
        <v>143</v>
      </c>
      <c r="J77" s="49">
        <f>(IF(B68&gt;3,(H68/(B68+2)+J76),0))</f>
        <v>0</v>
      </c>
    </row>
    <row r="78" spans="1:12" ht="15.75" customHeight="1" x14ac:dyDescent="0.25">
      <c r="A78" s="131" t="s">
        <v>137</v>
      </c>
      <c r="B78" s="132"/>
      <c r="C78" s="70">
        <v>0</v>
      </c>
      <c r="D78" s="83">
        <f>((100/H68)*C78)/100</f>
        <v>0</v>
      </c>
      <c r="E78" s="157"/>
      <c r="F78" s="157"/>
      <c r="G78" s="157"/>
      <c r="H78" s="158"/>
      <c r="I78" s="38" t="s">
        <v>144</v>
      </c>
      <c r="J78" s="48">
        <f>(IF(B68&gt;4,(H68/(B68+2)+J77),0))</f>
        <v>0</v>
      </c>
    </row>
    <row r="79" spans="1:12" ht="15.75" customHeight="1" x14ac:dyDescent="0.25">
      <c r="A79" s="131" t="s">
        <v>132</v>
      </c>
      <c r="B79" s="132" t="s">
        <v>132</v>
      </c>
      <c r="C79" s="70">
        <v>0</v>
      </c>
      <c r="D79" s="83">
        <f>((100/(H68))*C79)/100</f>
        <v>0</v>
      </c>
      <c r="E79" s="157"/>
      <c r="F79" s="157"/>
      <c r="G79" s="157"/>
      <c r="H79" s="158"/>
      <c r="I79" s="38" t="s">
        <v>146</v>
      </c>
      <c r="J79" s="48">
        <f>(IF(B68=1,(H68/(B68+3)+J74),IF(B68=0,(H68/4+J74),IF(B68&gt;1,0))))</f>
        <v>8.25</v>
      </c>
    </row>
    <row r="80" spans="1:12" ht="16.5" thickBot="1" x14ac:dyDescent="0.3">
      <c r="A80" s="183" t="s">
        <v>133</v>
      </c>
      <c r="B80" s="184"/>
      <c r="C80" s="73">
        <v>0</v>
      </c>
      <c r="D80" s="84">
        <f>((100/(H68))*C80)/100</f>
        <v>0</v>
      </c>
      <c r="E80" s="159"/>
      <c r="F80" s="159"/>
      <c r="G80" s="159"/>
      <c r="H80" s="160"/>
      <c r="I80" s="47" t="s">
        <v>100</v>
      </c>
      <c r="J80" s="50">
        <f>(IF(B68&gt;1.5,(H68/(B68+2)+J74+MAX(0,J75-J74)+MAX(0,J76-J75)+MAX(0,J77-J76)+MAX(0,J78-J77)+MAX(0,J79-J78)),IF(B68=1,(H68/(B68+3)+J79),IF(B68=0,H68/4+J79))))</f>
        <v>11</v>
      </c>
    </row>
    <row r="81" spans="1:10" ht="15.75" customHeight="1" x14ac:dyDescent="0.25">
      <c r="A81" s="136" t="s">
        <v>139</v>
      </c>
      <c r="B81" s="137"/>
      <c r="C81" s="138" t="str">
        <f>D58</f>
        <v>Building No. 2 = Gr/St + 1st to 11th Floor</v>
      </c>
      <c r="D81" s="139"/>
      <c r="E81" s="139"/>
      <c r="F81" s="139"/>
      <c r="G81" s="139"/>
      <c r="H81" s="140"/>
      <c r="I81" s="45" t="str">
        <f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 Completed",IF(C87&gt;0,", RCC upto "&amp;C87&amp;" Slab Completed",""))&amp;(IF(C88=H82,", Brickwork Completed",IF(C88&gt;0,", Brickwork upto "&amp;C88&amp;" Floor Completed",""))&amp;(IF(C89=H82,", Internal Plaster Completed",IF(C89&gt;0,", Internal Plaster upto "&amp;C89&amp;" Floor Completed",""))&amp;(IF(C90=H82,", External Plaster Completed",IF(C90&gt;0,", External Plaster upto "&amp;C90&amp;" Floor Completed",""))&amp;(IF(C91=H82,", Flooring Completed",IF(C91&gt;0,", Flooring upto "&amp;C91&amp;" Floor Completed",""))&amp;(IF(C92=H82,", Painting Completed",IF(C92&gt;0,", Painting upto "&amp;C92&amp;" Floor Completed",""))&amp;(IF(C93&gt;0,", Finishing upto "&amp;C93&amp;" Floor Completed","")&amp;(IF(C87&gt;0.5,".",""))))))))))))))</f>
        <v>Excavation work Completed. Plinth work completed, RCC Slab Completed, Brickwork Completed, Internal Plaster Completed, External Plaster Completed, Flooring upto 9 Floor Completed, Painting upto 8 Floor Completed.</v>
      </c>
      <c r="J81" s="14"/>
    </row>
    <row r="82" spans="1:10" x14ac:dyDescent="0.25">
      <c r="A82" s="51" t="s">
        <v>141</v>
      </c>
      <c r="B82" s="66">
        <v>0</v>
      </c>
      <c r="C82" s="66" t="s">
        <v>72</v>
      </c>
      <c r="D82" s="66">
        <v>1</v>
      </c>
      <c r="E82" s="66" t="s">
        <v>71</v>
      </c>
      <c r="F82" s="66">
        <v>0</v>
      </c>
      <c r="G82" s="66" t="s">
        <v>79</v>
      </c>
      <c r="H82" s="53">
        <v>11</v>
      </c>
      <c r="I82" s="46"/>
      <c r="J82" s="15"/>
    </row>
    <row r="83" spans="1:10" ht="48.95" customHeight="1" x14ac:dyDescent="0.25">
      <c r="A83" s="185" t="s">
        <v>89</v>
      </c>
      <c r="B83" s="186"/>
      <c r="C83" s="187" t="str">
        <f>(IF($G$52="NA",I81,"All work Completed. OC Received."))</f>
        <v>Excavation work Completed. Plinth work completed, RCC Slab Completed, Brickwork Completed, Internal Plaster Completed, External Plaster Completed, Flooring upto 9 Floor Completed, Painting upto 8 Floor Completed.</v>
      </c>
      <c r="D83" s="187"/>
      <c r="E83" s="187"/>
      <c r="F83" s="187"/>
      <c r="G83" s="187"/>
      <c r="H83" s="191"/>
      <c r="I83" s="46" t="s">
        <v>101</v>
      </c>
      <c r="J83" s="15"/>
    </row>
    <row r="84" spans="1:10" ht="15.75" customHeight="1" x14ac:dyDescent="0.25">
      <c r="A84" s="131" t="s">
        <v>48</v>
      </c>
      <c r="B84" s="132"/>
      <c r="C84" s="68" t="s">
        <v>138</v>
      </c>
      <c r="D84" s="69" t="s">
        <v>82</v>
      </c>
      <c r="E84" s="132" t="s">
        <v>84</v>
      </c>
      <c r="F84" s="132"/>
      <c r="G84" s="132" t="s">
        <v>83</v>
      </c>
      <c r="H84" s="133"/>
      <c r="I84" s="38" t="s">
        <v>140</v>
      </c>
      <c r="J84" s="16">
        <f>H82*25%</f>
        <v>2.75</v>
      </c>
    </row>
    <row r="85" spans="1:10" x14ac:dyDescent="0.25">
      <c r="A85" s="131" t="s">
        <v>127</v>
      </c>
      <c r="B85" s="132"/>
      <c r="C85" s="70">
        <f>J86</f>
        <v>11</v>
      </c>
      <c r="D85" s="71">
        <f>((100/H82)*C85)/100</f>
        <v>1.0000000000000002</v>
      </c>
      <c r="E85" s="157">
        <f>(((C86/H82*10)+(40/(D82+F82+H82)*C87)+(7.5/(H82)*C88)+(7.5/(H82)*C89)+(10/H82*C90)+(10/H82*C91)+(5/H82*C92)+(5/H82*C93)+(5/H82*C94))/100)</f>
        <v>0.86818181818181828</v>
      </c>
      <c r="F85" s="157"/>
      <c r="G85" s="157">
        <f>((((C85/H82)*20)+((C86/H82)*25)+(30/(H82+F82+D82)*C87)+(5/H82*C88)+(5/H82*C89)+(5/H82*C90)+(5/H82*C91)+(0/H82*C92)+(0/H82*C93)+(5/H82*C94))/100)</f>
        <v>0.94090909090909092</v>
      </c>
      <c r="H85" s="158"/>
      <c r="I85" s="38" t="s">
        <v>96</v>
      </c>
      <c r="J85" s="44">
        <f>H82*50%</f>
        <v>5.5</v>
      </c>
    </row>
    <row r="86" spans="1:10" x14ac:dyDescent="0.25">
      <c r="A86" s="131" t="s">
        <v>49</v>
      </c>
      <c r="B86" s="132"/>
      <c r="C86" s="72">
        <f>J94</f>
        <v>11</v>
      </c>
      <c r="D86" s="71">
        <f>((100/H82)*C86)/100</f>
        <v>1.0000000000000002</v>
      </c>
      <c r="E86" s="157"/>
      <c r="F86" s="157"/>
      <c r="G86" s="157"/>
      <c r="H86" s="158"/>
      <c r="I86" s="38" t="s">
        <v>97</v>
      </c>
      <c r="J86" s="44">
        <f>H82</f>
        <v>11</v>
      </c>
    </row>
    <row r="87" spans="1:10" ht="15.75" customHeight="1" x14ac:dyDescent="0.25">
      <c r="A87" s="131" t="s">
        <v>128</v>
      </c>
      <c r="B87" s="132"/>
      <c r="C87" s="72">
        <v>12</v>
      </c>
      <c r="D87" s="71">
        <f>((100/(D82+F82+H82))*C87)/100</f>
        <v>1</v>
      </c>
      <c r="E87" s="157"/>
      <c r="F87" s="157"/>
      <c r="G87" s="157"/>
      <c r="H87" s="158"/>
      <c r="I87" s="38" t="s">
        <v>98</v>
      </c>
      <c r="J87" s="48">
        <f>(IF(B82&gt;1,(H82/(B82+2)),H82/4))</f>
        <v>2.75</v>
      </c>
    </row>
    <row r="88" spans="1:10" ht="15.75" customHeight="1" x14ac:dyDescent="0.25">
      <c r="A88" s="131" t="s">
        <v>135</v>
      </c>
      <c r="B88" s="132" t="s">
        <v>129</v>
      </c>
      <c r="C88" s="70">
        <v>11</v>
      </c>
      <c r="D88" s="71">
        <f>((100/H82)*C88)/100</f>
        <v>1.0000000000000002</v>
      </c>
      <c r="E88" s="157"/>
      <c r="F88" s="157"/>
      <c r="G88" s="157"/>
      <c r="H88" s="158"/>
      <c r="I88" s="38" t="s">
        <v>99</v>
      </c>
      <c r="J88" s="48">
        <f>(IF(B82&gt;1,(H82/(B82+2)+J87),H82/4+J87))</f>
        <v>5.5</v>
      </c>
    </row>
    <row r="89" spans="1:10" ht="15.75" customHeight="1" x14ac:dyDescent="0.25">
      <c r="A89" s="131" t="s">
        <v>136</v>
      </c>
      <c r="B89" s="132" t="s">
        <v>129</v>
      </c>
      <c r="C89" s="70">
        <v>11</v>
      </c>
      <c r="D89" s="71">
        <f>((100/H82)*C89)/100</f>
        <v>1.0000000000000002</v>
      </c>
      <c r="E89" s="157"/>
      <c r="F89" s="157"/>
      <c r="G89" s="157"/>
      <c r="H89" s="158"/>
      <c r="I89" s="38" t="s">
        <v>145</v>
      </c>
      <c r="J89" s="48">
        <f>(IF(B82&gt;1,(H82/(B82+2)+J88),0))</f>
        <v>0</v>
      </c>
    </row>
    <row r="90" spans="1:10" ht="15" customHeight="1" x14ac:dyDescent="0.25">
      <c r="A90" s="131" t="s">
        <v>134</v>
      </c>
      <c r="B90" s="132" t="s">
        <v>131</v>
      </c>
      <c r="C90" s="70">
        <v>11</v>
      </c>
      <c r="D90" s="71">
        <f>((100/(H82))*C90)/100</f>
        <v>1.0000000000000002</v>
      </c>
      <c r="E90" s="157"/>
      <c r="F90" s="157"/>
      <c r="G90" s="157"/>
      <c r="H90" s="158"/>
      <c r="I90" s="38" t="s">
        <v>142</v>
      </c>
      <c r="J90" s="48">
        <f>(IF(B82&gt;2,(H82/(B82+2)+J89),0))</f>
        <v>0</v>
      </c>
    </row>
    <row r="91" spans="1:10" ht="15.75" customHeight="1" x14ac:dyDescent="0.25">
      <c r="A91" s="131" t="s">
        <v>130</v>
      </c>
      <c r="B91" s="132" t="s">
        <v>130</v>
      </c>
      <c r="C91" s="70">
        <v>9</v>
      </c>
      <c r="D91" s="71">
        <f>((100/H82)*C91)/100</f>
        <v>0.81818181818181823</v>
      </c>
      <c r="E91" s="157"/>
      <c r="F91" s="157"/>
      <c r="G91" s="157"/>
      <c r="H91" s="158"/>
      <c r="I91" s="38" t="s">
        <v>143</v>
      </c>
      <c r="J91" s="49">
        <f>(IF(B82&gt;3,(H82/(B82+2)+J90),0))</f>
        <v>0</v>
      </c>
    </row>
    <row r="92" spans="1:10" ht="15.75" customHeight="1" x14ac:dyDescent="0.25">
      <c r="A92" s="131" t="s">
        <v>137</v>
      </c>
      <c r="B92" s="132"/>
      <c r="C92" s="70">
        <v>8</v>
      </c>
      <c r="D92" s="71">
        <f>((100/H82)*C92)/100</f>
        <v>0.72727272727272729</v>
      </c>
      <c r="E92" s="157"/>
      <c r="F92" s="157"/>
      <c r="G92" s="157"/>
      <c r="H92" s="158"/>
      <c r="I92" s="38" t="s">
        <v>144</v>
      </c>
      <c r="J92" s="48">
        <f>(IF(B82&gt;4,(H82/(B82+2)+J91),0))</f>
        <v>0</v>
      </c>
    </row>
    <row r="93" spans="1:10" ht="15.75" customHeight="1" x14ac:dyDescent="0.25">
      <c r="A93" s="131" t="s">
        <v>132</v>
      </c>
      <c r="B93" s="132" t="s">
        <v>132</v>
      </c>
      <c r="C93" s="70">
        <v>0</v>
      </c>
      <c r="D93" s="71">
        <f>((100/(H82))*C93)/100</f>
        <v>0</v>
      </c>
      <c r="E93" s="157"/>
      <c r="F93" s="157"/>
      <c r="G93" s="157"/>
      <c r="H93" s="158"/>
      <c r="I93" s="38" t="s">
        <v>146</v>
      </c>
      <c r="J93" s="48">
        <f>(IF(B82=1,(H82/(B82+3)+J88),IF(B82=0,(H82/4+J88),IF(B82&gt;1,0))))</f>
        <v>8.25</v>
      </c>
    </row>
    <row r="94" spans="1:10" ht="16.5" thickBot="1" x14ac:dyDescent="0.3">
      <c r="A94" s="183" t="s">
        <v>133</v>
      </c>
      <c r="B94" s="184"/>
      <c r="C94" s="73">
        <v>0</v>
      </c>
      <c r="D94" s="74">
        <f>((100/(H82))*C94)/100</f>
        <v>0</v>
      </c>
      <c r="E94" s="159"/>
      <c r="F94" s="159"/>
      <c r="G94" s="159"/>
      <c r="H94" s="160"/>
      <c r="I94" s="47" t="s">
        <v>100</v>
      </c>
      <c r="J94" s="50">
        <f>(IF(B82&gt;1.5,(H82/(B82+2)+J88+MAX(0,J89-J88)+MAX(0,J90-J89)+MAX(0,J91-J90)+MAX(0,J92-J91)+MAX(0,J93-J92)),IF(B82=1,(H82/(B82+3)+J93),IF(B82=0,H82/4+J93))))</f>
        <v>11</v>
      </c>
    </row>
    <row r="95" spans="1:10" ht="15.75" customHeight="1" x14ac:dyDescent="0.25">
      <c r="A95" s="136" t="s">
        <v>139</v>
      </c>
      <c r="B95" s="137"/>
      <c r="C95" s="138" t="str">
        <f>D59</f>
        <v>Row House No. 1 &amp; 2 = Gr/St + 1st to 3rd Floor</v>
      </c>
      <c r="D95" s="139"/>
      <c r="E95" s="139"/>
      <c r="F95" s="139"/>
      <c r="G95" s="139"/>
      <c r="H95" s="140"/>
      <c r="I95" s="45" t="str">
        <f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 Completed",IF(C101&gt;0,", RCC upto "&amp;C101&amp;" Slab Completed",""))&amp;(IF(C102=H96,", Brickwork Completed",IF(C102&gt;0,", Brickwork upto "&amp;C102&amp;" Floor Completed",""))&amp;(IF(C103=H96,", Internal Plaster Completed",IF(C103&gt;0,", Internal Plaster upto "&amp;C103&amp;" Floor Completed",""))&amp;(IF(C104=H96,", External Plaster Completed",IF(C104&gt;0,", External Plaster upto "&amp;C104&amp;" Floor Completed",""))&amp;(IF(C105=H96,", Flooring Completed",IF(C105&gt;0,", Flooring upto "&amp;C105&amp;" Floor Completed",""))&amp;(IF(C106=H96,", Painting Completed",IF(C106&gt;0,", Painting upto "&amp;C106&amp;" Floor Completed",""))&amp;(IF(C107&gt;0,", Finishing upto "&amp;C107&amp;" Floor Completed","")&amp;(IF(C101&gt;0.5,".",""))))))))))))))</f>
        <v>Excavation work Completed. Plinth work completed, RCC Slab Completed, Brickwork Completed, Internal Plaster Completed, External Plaster Completed, Flooring upto 2.3 Floor Completed, Painting upto 2 Floor Completed.</v>
      </c>
      <c r="J95" s="14"/>
    </row>
    <row r="96" spans="1:10" x14ac:dyDescent="0.25">
      <c r="A96" s="51" t="s">
        <v>141</v>
      </c>
      <c r="B96" s="66">
        <v>0</v>
      </c>
      <c r="C96" s="66" t="s">
        <v>72</v>
      </c>
      <c r="D96" s="66">
        <v>1</v>
      </c>
      <c r="E96" s="66" t="s">
        <v>71</v>
      </c>
      <c r="F96" s="66">
        <v>0</v>
      </c>
      <c r="G96" s="66" t="s">
        <v>79</v>
      </c>
      <c r="H96" s="53">
        <v>3</v>
      </c>
      <c r="I96" s="46"/>
      <c r="J96" s="15"/>
    </row>
    <row r="97" spans="1:10" ht="51" customHeight="1" x14ac:dyDescent="0.25">
      <c r="A97" s="185" t="s">
        <v>89</v>
      </c>
      <c r="B97" s="186"/>
      <c r="C97" s="187" t="str">
        <f>(IF($G$52="NA",I95,"All work Completed. OC Received."))</f>
        <v>Excavation work Completed. Plinth work completed, RCC Slab Completed, Brickwork Completed, Internal Plaster Completed, External Plaster Completed, Flooring upto 2.3 Floor Completed, Painting upto 2 Floor Completed.</v>
      </c>
      <c r="D97" s="187"/>
      <c r="E97" s="187"/>
      <c r="F97" s="187"/>
      <c r="G97" s="187"/>
      <c r="H97" s="191"/>
      <c r="I97" s="46" t="s">
        <v>101</v>
      </c>
      <c r="J97" s="15"/>
    </row>
    <row r="98" spans="1:10" ht="15.75" customHeight="1" x14ac:dyDescent="0.25">
      <c r="A98" s="131" t="s">
        <v>48</v>
      </c>
      <c r="B98" s="132"/>
      <c r="C98" s="68" t="s">
        <v>138</v>
      </c>
      <c r="D98" s="69" t="s">
        <v>82</v>
      </c>
      <c r="E98" s="132" t="s">
        <v>84</v>
      </c>
      <c r="F98" s="132"/>
      <c r="G98" s="132" t="s">
        <v>83</v>
      </c>
      <c r="H98" s="133"/>
      <c r="I98" s="38" t="s">
        <v>140</v>
      </c>
      <c r="J98" s="16">
        <f>H96*25%</f>
        <v>0.75</v>
      </c>
    </row>
    <row r="99" spans="1:10" x14ac:dyDescent="0.25">
      <c r="A99" s="132" t="s">
        <v>127</v>
      </c>
      <c r="B99" s="132"/>
      <c r="C99" s="70">
        <f>J100</f>
        <v>3</v>
      </c>
      <c r="D99" s="100">
        <f>((100/H96)*C99)/100</f>
        <v>1</v>
      </c>
      <c r="E99" s="157">
        <f>(((C100/H96*10)+(40/(D96+F96+H96)*C101)+(7.5/(H96)*C102)+(7.5/(H96)*C103)+(10/H96*C104)+(10/H96*C105)+(5/H96*C106)+(5/H96*C107)+(5/H96*C108))/100)</f>
        <v>0.86</v>
      </c>
      <c r="F99" s="157"/>
      <c r="G99" s="157">
        <f>((((C99/H96)*20)+((C100/H96)*25)+(30/(H96+F96+D96)*C101)+(5/H96*C102)+(5/H96*C103)+(5/H96*C104)+(5/H96*C105)+(0/H96*C106)+(0/H96*C107)+(5/H96*C108))/100)</f>
        <v>0.93833333333333324</v>
      </c>
      <c r="H99" s="157"/>
      <c r="I99" s="38" t="s">
        <v>96</v>
      </c>
      <c r="J99" s="44">
        <f>H96*50%</f>
        <v>1.5</v>
      </c>
    </row>
    <row r="100" spans="1:10" x14ac:dyDescent="0.25">
      <c r="A100" s="132" t="s">
        <v>49</v>
      </c>
      <c r="B100" s="132"/>
      <c r="C100" s="72">
        <f>J108</f>
        <v>3</v>
      </c>
      <c r="D100" s="100">
        <f>((100/H96)*C100)/100</f>
        <v>1</v>
      </c>
      <c r="E100" s="157"/>
      <c r="F100" s="157"/>
      <c r="G100" s="157"/>
      <c r="H100" s="157"/>
      <c r="I100" s="38" t="s">
        <v>97</v>
      </c>
      <c r="J100" s="44">
        <f>H96</f>
        <v>3</v>
      </c>
    </row>
    <row r="101" spans="1:10" ht="15.75" customHeight="1" x14ac:dyDescent="0.25">
      <c r="A101" s="132" t="s">
        <v>128</v>
      </c>
      <c r="B101" s="132"/>
      <c r="C101" s="72">
        <v>4</v>
      </c>
      <c r="D101" s="100">
        <f>((100/(D96+F96+H96))*C101)/100</f>
        <v>1</v>
      </c>
      <c r="E101" s="157"/>
      <c r="F101" s="157"/>
      <c r="G101" s="157"/>
      <c r="H101" s="157"/>
      <c r="I101" s="38" t="s">
        <v>98</v>
      </c>
      <c r="J101" s="48">
        <f>(IF(B96&gt;1,(H96/(B96+2)),H96/4))</f>
        <v>0.75</v>
      </c>
    </row>
    <row r="102" spans="1:10" ht="15.75" customHeight="1" x14ac:dyDescent="0.25">
      <c r="A102" s="132" t="s">
        <v>135</v>
      </c>
      <c r="B102" s="132" t="s">
        <v>129</v>
      </c>
      <c r="C102" s="70">
        <v>3</v>
      </c>
      <c r="D102" s="100">
        <f>((100/H96)*C102)/100</f>
        <v>1</v>
      </c>
      <c r="E102" s="157"/>
      <c r="F102" s="157"/>
      <c r="G102" s="157"/>
      <c r="H102" s="157"/>
      <c r="I102" s="38" t="s">
        <v>99</v>
      </c>
      <c r="J102" s="48">
        <f>(IF(B96&gt;1,(H96/(B96+2)+J101),H96/4+J101))</f>
        <v>1.5</v>
      </c>
    </row>
    <row r="103" spans="1:10" ht="15.75" customHeight="1" x14ac:dyDescent="0.25">
      <c r="A103" s="132" t="s">
        <v>136</v>
      </c>
      <c r="B103" s="132" t="s">
        <v>129</v>
      </c>
      <c r="C103" s="70">
        <v>3</v>
      </c>
      <c r="D103" s="100">
        <f>((100/H96)*C103)/100</f>
        <v>1</v>
      </c>
      <c r="E103" s="157"/>
      <c r="F103" s="157"/>
      <c r="G103" s="157"/>
      <c r="H103" s="157"/>
      <c r="I103" s="38" t="s">
        <v>145</v>
      </c>
      <c r="J103" s="48">
        <f>(IF(B96&gt;1,(H96/(B96+2)+J102),0))</f>
        <v>0</v>
      </c>
    </row>
    <row r="104" spans="1:10" ht="15" customHeight="1" x14ac:dyDescent="0.25">
      <c r="A104" s="132" t="s">
        <v>134</v>
      </c>
      <c r="B104" s="132" t="s">
        <v>131</v>
      </c>
      <c r="C104" s="70">
        <v>3</v>
      </c>
      <c r="D104" s="100">
        <f>((100/(H96))*C104)/100</f>
        <v>1</v>
      </c>
      <c r="E104" s="157"/>
      <c r="F104" s="157"/>
      <c r="G104" s="157"/>
      <c r="H104" s="157"/>
      <c r="I104" s="38" t="s">
        <v>142</v>
      </c>
      <c r="J104" s="48">
        <f>(IF(B96&gt;2,(H96/(B96+2)+J103),0))</f>
        <v>0</v>
      </c>
    </row>
    <row r="105" spans="1:10" ht="15.75" customHeight="1" x14ac:dyDescent="0.25">
      <c r="A105" s="132" t="s">
        <v>130</v>
      </c>
      <c r="B105" s="132" t="s">
        <v>130</v>
      </c>
      <c r="C105" s="70">
        <v>2.2999999999999998</v>
      </c>
      <c r="D105" s="100">
        <f>((100/H96)*C105)/100</f>
        <v>0.76666666666666672</v>
      </c>
      <c r="E105" s="157"/>
      <c r="F105" s="157"/>
      <c r="G105" s="157"/>
      <c r="H105" s="157"/>
      <c r="I105" s="38" t="s">
        <v>143</v>
      </c>
      <c r="J105" s="49">
        <f>(IF(B96&gt;3,(H96/(B96+2)+J104),0))</f>
        <v>0</v>
      </c>
    </row>
    <row r="106" spans="1:10" ht="15.75" customHeight="1" x14ac:dyDescent="0.25">
      <c r="A106" s="132" t="s">
        <v>137</v>
      </c>
      <c r="B106" s="132"/>
      <c r="C106" s="70">
        <v>2</v>
      </c>
      <c r="D106" s="100">
        <f>((100/H96)*C106)/100</f>
        <v>0.66666666666666674</v>
      </c>
      <c r="E106" s="157"/>
      <c r="F106" s="157"/>
      <c r="G106" s="157"/>
      <c r="H106" s="157"/>
      <c r="I106" s="38" t="s">
        <v>144</v>
      </c>
      <c r="J106" s="48">
        <f>(IF(B96&gt;4,(H96/(B96+2)+J105),0))</f>
        <v>0</v>
      </c>
    </row>
    <row r="107" spans="1:10" ht="15.75" customHeight="1" x14ac:dyDescent="0.25">
      <c r="A107" s="132" t="s">
        <v>132</v>
      </c>
      <c r="B107" s="132" t="s">
        <v>132</v>
      </c>
      <c r="C107" s="70">
        <v>0</v>
      </c>
      <c r="D107" s="100">
        <f>((100/(H96))*C107)/100</f>
        <v>0</v>
      </c>
      <c r="E107" s="157"/>
      <c r="F107" s="157"/>
      <c r="G107" s="157"/>
      <c r="H107" s="157"/>
      <c r="I107" s="38" t="s">
        <v>146</v>
      </c>
      <c r="J107" s="48">
        <f>(IF(B96=1,(H96/(B96+3)+J102),IF(B96=0,(H96/4+J102),IF(B96&gt;1,0))))</f>
        <v>2.25</v>
      </c>
    </row>
    <row r="108" spans="1:10" ht="16.5" thickBot="1" x14ac:dyDescent="0.3">
      <c r="A108" s="132" t="s">
        <v>133</v>
      </c>
      <c r="B108" s="132"/>
      <c r="C108" s="70">
        <v>0</v>
      </c>
      <c r="D108" s="100">
        <f>((100/(H96))*C108)/100</f>
        <v>0</v>
      </c>
      <c r="E108" s="157"/>
      <c r="F108" s="157"/>
      <c r="G108" s="157"/>
      <c r="H108" s="157"/>
      <c r="I108" s="47" t="s">
        <v>100</v>
      </c>
      <c r="J108" s="50">
        <f>(IF(B96&gt;1.5,(H96/(B96+2)+J102+MAX(0,J103-J102)+MAX(0,J104-J103)+MAX(0,J105-J104)+MAX(0,J106-J105)+MAX(0,J107-J106)),IF(B96=1,(H96/(B96+3)+J107),IF(B96=0,H96/4+J107))))</f>
        <v>3</v>
      </c>
    </row>
    <row r="109" spans="1:10" x14ac:dyDescent="0.25">
      <c r="A109" s="112" t="s">
        <v>50</v>
      </c>
      <c r="B109" s="112"/>
      <c r="C109" s="112"/>
      <c r="D109" s="112"/>
      <c r="E109" s="112"/>
      <c r="F109" s="112"/>
      <c r="G109" s="112"/>
      <c r="H109" s="112"/>
    </row>
    <row r="110" spans="1:10" x14ac:dyDescent="0.25">
      <c r="A110" s="143" t="s">
        <v>154</v>
      </c>
      <c r="B110" s="143"/>
      <c r="C110" s="143"/>
      <c r="D110" s="143"/>
      <c r="E110" s="143"/>
      <c r="F110" s="172">
        <v>4700</v>
      </c>
      <c r="G110" s="172"/>
      <c r="H110" s="172"/>
    </row>
    <row r="111" spans="1:10" x14ac:dyDescent="0.25">
      <c r="A111" s="143" t="s">
        <v>191</v>
      </c>
      <c r="B111" s="143"/>
      <c r="C111" s="143"/>
      <c r="D111" s="143"/>
      <c r="E111" s="143"/>
      <c r="F111" s="172">
        <v>5000</v>
      </c>
      <c r="G111" s="172"/>
      <c r="H111" s="172"/>
    </row>
    <row r="112" spans="1:10" x14ac:dyDescent="0.25">
      <c r="A112" s="135" t="s">
        <v>155</v>
      </c>
      <c r="B112" s="135"/>
      <c r="C112" s="135"/>
      <c r="D112" s="135"/>
      <c r="E112" s="135"/>
      <c r="F112" s="172">
        <v>7500</v>
      </c>
      <c r="G112" s="172"/>
      <c r="H112" s="172"/>
    </row>
    <row r="113" spans="1:13" x14ac:dyDescent="0.25">
      <c r="A113" s="135" t="s">
        <v>193</v>
      </c>
      <c r="B113" s="135"/>
      <c r="C113" s="135"/>
      <c r="D113" s="135"/>
      <c r="E113" s="135"/>
      <c r="F113" s="172">
        <v>10000</v>
      </c>
      <c r="G113" s="172"/>
      <c r="H113" s="172"/>
    </row>
    <row r="114" spans="1:13" s="7" customFormat="1" x14ac:dyDescent="0.25">
      <c r="A114" s="135" t="s">
        <v>94</v>
      </c>
      <c r="B114" s="135"/>
      <c r="C114" s="135"/>
      <c r="D114" s="135"/>
      <c r="E114" s="135"/>
      <c r="F114" s="172">
        <v>150000</v>
      </c>
      <c r="G114" s="172"/>
      <c r="H114" s="172"/>
      <c r="J114" s="85" t="s">
        <v>194</v>
      </c>
      <c r="K114" s="86">
        <v>44972</v>
      </c>
      <c r="L114" s="87" t="s">
        <v>195</v>
      </c>
      <c r="M114" s="87" t="s">
        <v>196</v>
      </c>
    </row>
    <row r="115" spans="1:13" s="7" customFormat="1" x14ac:dyDescent="0.25">
      <c r="A115" s="135" t="s">
        <v>95</v>
      </c>
      <c r="B115" s="135"/>
      <c r="C115" s="135"/>
      <c r="D115" s="135"/>
      <c r="E115" s="135"/>
      <c r="F115" s="172">
        <v>75000</v>
      </c>
      <c r="G115" s="172"/>
      <c r="H115" s="172"/>
    </row>
    <row r="116" spans="1:13" x14ac:dyDescent="0.25">
      <c r="A116" s="135" t="s">
        <v>51</v>
      </c>
      <c r="B116" s="135"/>
      <c r="C116" s="135"/>
      <c r="D116" s="135"/>
      <c r="E116" s="135"/>
      <c r="F116" s="172">
        <v>150000</v>
      </c>
      <c r="G116" s="172"/>
      <c r="H116" s="172"/>
    </row>
    <row r="117" spans="1:13" s="4" customFormat="1" x14ac:dyDescent="0.25">
      <c r="A117" s="112" t="s">
        <v>52</v>
      </c>
      <c r="B117" s="112"/>
      <c r="C117" s="112"/>
      <c r="D117" s="112"/>
      <c r="E117" s="112"/>
      <c r="F117" s="172">
        <f>F110*0.8</f>
        <v>3760</v>
      </c>
      <c r="G117" s="172"/>
      <c r="H117" s="172"/>
    </row>
    <row r="118" spans="1:13" s="1" customFormat="1" ht="15.75" customHeight="1" x14ac:dyDescent="0.25">
      <c r="A118" s="179" t="s">
        <v>234</v>
      </c>
      <c r="B118" s="179"/>
      <c r="C118" s="179"/>
      <c r="D118" s="179"/>
      <c r="E118" s="179"/>
      <c r="F118" s="179"/>
      <c r="G118" s="179"/>
      <c r="H118" s="179"/>
    </row>
    <row r="119" spans="1:13" s="1" customFormat="1" ht="15.75" customHeight="1" x14ac:dyDescent="0.25">
      <c r="A119" s="163" t="s">
        <v>53</v>
      </c>
      <c r="B119" s="163"/>
      <c r="C119" s="190" t="s">
        <v>189</v>
      </c>
      <c r="D119" s="190"/>
      <c r="E119" s="226" t="s">
        <v>54</v>
      </c>
      <c r="F119" s="226"/>
      <c r="G119" s="163" t="s">
        <v>55</v>
      </c>
      <c r="H119" s="163"/>
    </row>
    <row r="120" spans="1:13" s="1" customFormat="1" x14ac:dyDescent="0.25">
      <c r="A120" s="107" t="s">
        <v>168</v>
      </c>
      <c r="B120" s="95" t="s">
        <v>159</v>
      </c>
      <c r="C120" s="181">
        <f>COUNT(D138:D153)</f>
        <v>16</v>
      </c>
      <c r="D120" s="182"/>
      <c r="E120" s="173">
        <f>SUM(D138:D153)</f>
        <v>3464.2857600000007</v>
      </c>
      <c r="F120" s="174"/>
      <c r="G120" s="173">
        <f>SUM(F138:F153)</f>
        <v>5542.8572160000003</v>
      </c>
      <c r="H120" s="174"/>
    </row>
    <row r="121" spans="1:13" s="1" customFormat="1" x14ac:dyDescent="0.25">
      <c r="A121" s="108"/>
      <c r="B121" s="95" t="s">
        <v>160</v>
      </c>
      <c r="C121" s="181">
        <f>COUNT(D156:D169)</f>
        <v>14</v>
      </c>
      <c r="D121" s="182"/>
      <c r="E121" s="173">
        <f>SUM(D156:D169)</f>
        <v>2510.3800800000008</v>
      </c>
      <c r="F121" s="174"/>
      <c r="G121" s="173">
        <f>SUM(F156:F169)</f>
        <v>4016.6081280000008</v>
      </c>
      <c r="H121" s="174"/>
    </row>
    <row r="122" spans="1:13" s="1" customFormat="1" ht="29.25" customHeight="1" x14ac:dyDescent="0.25">
      <c r="A122" s="95" t="s">
        <v>169</v>
      </c>
      <c r="B122" s="95" t="s">
        <v>159</v>
      </c>
      <c r="C122" s="181">
        <f>COUNT(D172:D178)</f>
        <v>7</v>
      </c>
      <c r="D122" s="182"/>
      <c r="E122" s="173">
        <f>SUM(D172:D178)</f>
        <v>1368.96552</v>
      </c>
      <c r="F122" s="174"/>
      <c r="G122" s="173">
        <f>SUM(F172:F178)</f>
        <v>2190.3448320000002</v>
      </c>
      <c r="H122" s="174"/>
    </row>
    <row r="123" spans="1:13" s="1" customFormat="1" x14ac:dyDescent="0.25">
      <c r="A123" s="228" t="s">
        <v>150</v>
      </c>
      <c r="B123" s="228"/>
      <c r="C123" s="227">
        <f>SUM(C120:D122)</f>
        <v>37</v>
      </c>
      <c r="D123" s="180"/>
      <c r="E123" s="127">
        <f>SUM(E120:F122)</f>
        <v>7343.6313600000012</v>
      </c>
      <c r="F123" s="128"/>
      <c r="G123" s="225">
        <f>SUM(G120:H122)</f>
        <v>11749.810176000001</v>
      </c>
      <c r="H123" s="225"/>
      <c r="J123" s="88" t="e">
        <f>SUM(E123,#REF!,E130)</f>
        <v>#REF!</v>
      </c>
      <c r="K123" s="88" t="e">
        <f>SUM(G123,#REF!,G130)</f>
        <v>#REF!</v>
      </c>
    </row>
    <row r="124" spans="1:13" s="1" customFormat="1" x14ac:dyDescent="0.25">
      <c r="A124" s="179" t="s">
        <v>70</v>
      </c>
      <c r="B124" s="179"/>
      <c r="C124" s="179"/>
      <c r="D124" s="179"/>
      <c r="E124" s="179"/>
      <c r="F124" s="179"/>
      <c r="G124" s="179"/>
      <c r="H124" s="179"/>
    </row>
    <row r="125" spans="1:13" s="1" customFormat="1" ht="15.75" customHeight="1" x14ac:dyDescent="0.25">
      <c r="A125" s="163" t="s">
        <v>53</v>
      </c>
      <c r="B125" s="163"/>
      <c r="C125" s="190" t="s">
        <v>190</v>
      </c>
      <c r="D125" s="190"/>
      <c r="E125" s="226" t="s">
        <v>54</v>
      </c>
      <c r="F125" s="226"/>
      <c r="G125" s="163" t="s">
        <v>55</v>
      </c>
      <c r="H125" s="163"/>
    </row>
    <row r="126" spans="1:13" s="1" customFormat="1" x14ac:dyDescent="0.25">
      <c r="A126" s="188" t="s">
        <v>168</v>
      </c>
      <c r="B126" s="188"/>
      <c r="C126" s="181">
        <f>COUNT(D184:D186)+COUNT(D189:D195)+COUNT(D197:D203)*3+COUNT(D205:D211)*2+COUNT(D213:D215,D217:D219)</f>
        <v>51</v>
      </c>
      <c r="D126" s="181"/>
      <c r="E126" s="189">
        <f>SUM(D184:D186)+SUM(D189:D195)+SUM(D197:D203)*3+SUM(D205:D211)*2+SUM(D213:D215,D217:D219)</f>
        <v>27896.628240000002</v>
      </c>
      <c r="F126" s="189"/>
      <c r="G126" s="189">
        <f>SUM(F184:F186)+SUM(F189:F195)+SUM(F197:F203)*3+SUM(F205:F211)*2+SUM(F213:F215,F217:F219)</f>
        <v>43938.755640000003</v>
      </c>
      <c r="H126" s="189"/>
      <c r="I126" s="1">
        <f>6*7+3+6</f>
        <v>51</v>
      </c>
    </row>
    <row r="127" spans="1:13" s="1" customFormat="1" x14ac:dyDescent="0.25">
      <c r="A127" s="188" t="s">
        <v>169</v>
      </c>
      <c r="B127" s="188"/>
      <c r="C127" s="181">
        <f>COUNT(D222:D225)+COUNT(D227:D230)*4+COUNT(D232:D235)*5+COUNT(D237:D239)</f>
        <v>43</v>
      </c>
      <c r="D127" s="181"/>
      <c r="E127" s="189">
        <f>SUM(D222:D225)+SUM(D227:D230)*4+SUM(D232:D235)*5+SUM(D237:D239)</f>
        <v>20328.217649999999</v>
      </c>
      <c r="F127" s="189"/>
      <c r="G127" s="189">
        <f>SUM(F222:F225)+SUM(F227:F230)*4+SUM(F232:F235)*5+SUM(F237:F239)</f>
        <v>32162.764725000001</v>
      </c>
      <c r="H127" s="189"/>
      <c r="I127" s="88">
        <f>C126+C127</f>
        <v>94</v>
      </c>
    </row>
    <row r="128" spans="1:13" s="1" customFormat="1" x14ac:dyDescent="0.25">
      <c r="A128" s="196" t="s">
        <v>170</v>
      </c>
      <c r="B128" s="196"/>
      <c r="C128" s="181">
        <f>COUNT(D244)</f>
        <v>1</v>
      </c>
      <c r="D128" s="182"/>
      <c r="E128" s="189">
        <f>SUM(D244)</f>
        <v>1164.3956999999998</v>
      </c>
      <c r="F128" s="230"/>
      <c r="G128" s="189">
        <f>SUM(F244)</f>
        <v>1746.5935499999996</v>
      </c>
      <c r="H128" s="230"/>
    </row>
    <row r="129" spans="1:14" s="1" customFormat="1" ht="15.75" customHeight="1" x14ac:dyDescent="0.25">
      <c r="A129" s="196" t="s">
        <v>171</v>
      </c>
      <c r="B129" s="196"/>
      <c r="C129" s="181">
        <f>COUNT(D248)</f>
        <v>1</v>
      </c>
      <c r="D129" s="182"/>
      <c r="E129" s="189">
        <f>SUM(D248)</f>
        <v>1164.3956999999998</v>
      </c>
      <c r="F129" s="230"/>
      <c r="G129" s="189">
        <f>SUM(F248)</f>
        <v>1746.5935499999996</v>
      </c>
      <c r="H129" s="230"/>
    </row>
    <row r="130" spans="1:14" s="1" customFormat="1" x14ac:dyDescent="0.25">
      <c r="A130" s="179" t="s">
        <v>150</v>
      </c>
      <c r="B130" s="179"/>
      <c r="C130" s="180">
        <f>SUM(C126:D129)</f>
        <v>96</v>
      </c>
      <c r="D130" s="180"/>
      <c r="E130" s="127">
        <f>SUM(E126:F129)</f>
        <v>50553.637289999999</v>
      </c>
      <c r="F130" s="128"/>
      <c r="G130" s="127">
        <f>SUM(G126:H129)</f>
        <v>79594.707465000014</v>
      </c>
      <c r="H130" s="128"/>
    </row>
    <row r="131" spans="1:14" s="1" customFormat="1" x14ac:dyDescent="0.25">
      <c r="A131" s="179" t="s">
        <v>235</v>
      </c>
      <c r="B131" s="179"/>
      <c r="C131" s="227">
        <f>C123+C130</f>
        <v>133</v>
      </c>
      <c r="D131" s="180"/>
      <c r="E131" s="227">
        <f>E123+E130</f>
        <v>57897.268649999998</v>
      </c>
      <c r="F131" s="180"/>
      <c r="G131" s="227">
        <f>G123+G130</f>
        <v>91344.517641000013</v>
      </c>
      <c r="H131" s="180"/>
    </row>
    <row r="132" spans="1:14" s="4" customFormat="1" x14ac:dyDescent="0.25">
      <c r="A132" s="126" t="s">
        <v>56</v>
      </c>
      <c r="B132" s="126"/>
      <c r="C132" s="126"/>
      <c r="D132" s="126"/>
      <c r="E132" s="126"/>
      <c r="F132" s="126"/>
      <c r="G132" s="126"/>
      <c r="H132" s="126"/>
    </row>
    <row r="133" spans="1:14" x14ac:dyDescent="0.25">
      <c r="A133" s="126" t="s">
        <v>236</v>
      </c>
      <c r="B133" s="126"/>
      <c r="C133" s="126"/>
      <c r="D133" s="126"/>
      <c r="E133" s="126"/>
      <c r="F133" s="126"/>
      <c r="G133" s="126"/>
      <c r="H133" s="126"/>
    </row>
    <row r="134" spans="1:14" ht="47.25" customHeight="1" x14ac:dyDescent="0.25">
      <c r="A134" s="164" t="s">
        <v>117</v>
      </c>
      <c r="B134" s="164" t="s">
        <v>116</v>
      </c>
      <c r="C134" s="164" t="s">
        <v>57</v>
      </c>
      <c r="D134" s="164" t="s">
        <v>58</v>
      </c>
      <c r="E134" s="164" t="s">
        <v>59</v>
      </c>
      <c r="F134" s="31" t="s">
        <v>149</v>
      </c>
      <c r="G134" s="168" t="s">
        <v>60</v>
      </c>
      <c r="H134" s="169"/>
    </row>
    <row r="135" spans="1:14" s="2" customFormat="1" x14ac:dyDescent="0.25">
      <c r="A135" s="165"/>
      <c r="B135" s="165"/>
      <c r="C135" s="165"/>
      <c r="D135" s="165"/>
      <c r="E135" s="165"/>
      <c r="F135" s="32">
        <v>0.6</v>
      </c>
      <c r="G135" s="170"/>
      <c r="H135" s="171"/>
    </row>
    <row r="136" spans="1:14" s="4" customFormat="1" x14ac:dyDescent="0.25">
      <c r="A136" s="126" t="s">
        <v>168</v>
      </c>
      <c r="B136" s="126"/>
      <c r="C136" s="126"/>
      <c r="D136" s="126"/>
      <c r="E136" s="126"/>
      <c r="F136" s="126"/>
      <c r="G136" s="126"/>
      <c r="H136" s="126"/>
    </row>
    <row r="137" spans="1:14" s="2" customFormat="1" x14ac:dyDescent="0.25">
      <c r="A137" s="123" t="s">
        <v>217</v>
      </c>
      <c r="B137" s="124"/>
      <c r="C137" s="124"/>
      <c r="D137" s="124"/>
      <c r="E137" s="124"/>
      <c r="F137" s="124"/>
      <c r="G137" s="124"/>
      <c r="H137" s="125"/>
      <c r="J137" s="33"/>
    </row>
    <row r="138" spans="1:14" s="2" customFormat="1" x14ac:dyDescent="0.25">
      <c r="A138" s="106">
        <v>1</v>
      </c>
      <c r="B138" s="106"/>
      <c r="C138" s="99" t="s">
        <v>159</v>
      </c>
      <c r="D138" s="99">
        <f>(17.67+1.2*2.9)*10.764</f>
        <v>227.65860000000001</v>
      </c>
      <c r="E138" s="99">
        <v>0</v>
      </c>
      <c r="F138" s="99">
        <f>(D138+(IF(E138&lt;101,E138,IF(E138&lt;201,E138/2,IF(E138&lt;=301,E138/3,E138/4)))))*(($F$135)+1)</f>
        <v>364.25376000000006</v>
      </c>
      <c r="G138" s="106" t="str">
        <f>A137</f>
        <v>Ground Floor For Commercial &amp; Parking</v>
      </c>
      <c r="H138" s="106"/>
      <c r="I138" s="33"/>
      <c r="L138" s="109"/>
      <c r="M138" s="109"/>
      <c r="N138" s="33"/>
    </row>
    <row r="139" spans="1:14" s="2" customFormat="1" x14ac:dyDescent="0.25">
      <c r="A139" s="106">
        <f t="shared" ref="A139:A153" si="0">A138+1</f>
        <v>2</v>
      </c>
      <c r="B139" s="106"/>
      <c r="C139" s="99" t="s">
        <v>159</v>
      </c>
      <c r="D139" s="99">
        <f>(17.67+1.2*2.9)*10.764</f>
        <v>227.65860000000001</v>
      </c>
      <c r="E139" s="99">
        <v>0</v>
      </c>
      <c r="F139" s="99">
        <f t="shared" ref="F139:F153" si="1">(D139+(IF(E139&lt;101,E139,IF(E139&lt;201,E139/2,IF(E139&lt;=301,E139/3,E139/4)))))*(($F$135)+1)</f>
        <v>364.25376000000006</v>
      </c>
      <c r="G139" s="106"/>
      <c r="H139" s="106"/>
      <c r="I139" s="33"/>
      <c r="L139" s="109"/>
      <c r="M139" s="109"/>
      <c r="N139" s="33"/>
    </row>
    <row r="140" spans="1:14" s="2" customFormat="1" x14ac:dyDescent="0.25">
      <c r="A140" s="106">
        <f t="shared" si="0"/>
        <v>3</v>
      </c>
      <c r="B140" s="106"/>
      <c r="C140" s="99" t="s">
        <v>159</v>
      </c>
      <c r="D140" s="99">
        <f>(14.67+2.4*1.2)*10.764</f>
        <v>188.90819999999999</v>
      </c>
      <c r="E140" s="99">
        <v>0</v>
      </c>
      <c r="F140" s="99">
        <f t="shared" si="1"/>
        <v>302.25312000000002</v>
      </c>
      <c r="G140" s="106"/>
      <c r="H140" s="106"/>
      <c r="I140" s="33"/>
      <c r="L140" s="109"/>
      <c r="M140" s="109"/>
      <c r="N140" s="33"/>
    </row>
    <row r="141" spans="1:14" s="2" customFormat="1" x14ac:dyDescent="0.25">
      <c r="A141" s="106">
        <f t="shared" si="0"/>
        <v>4</v>
      </c>
      <c r="B141" s="106"/>
      <c r="C141" s="99" t="s">
        <v>159</v>
      </c>
      <c r="D141" s="99">
        <f>(17.67+1.2*2.9)*10.764</f>
        <v>227.65860000000001</v>
      </c>
      <c r="E141" s="99">
        <v>0</v>
      </c>
      <c r="F141" s="99">
        <f t="shared" si="1"/>
        <v>364.25376000000006</v>
      </c>
      <c r="G141" s="106"/>
      <c r="H141" s="106"/>
      <c r="I141" s="33"/>
      <c r="L141" s="109"/>
      <c r="M141" s="109"/>
      <c r="N141" s="33"/>
    </row>
    <row r="142" spans="1:14" s="2" customFormat="1" x14ac:dyDescent="0.25">
      <c r="A142" s="106">
        <f t="shared" si="0"/>
        <v>5</v>
      </c>
      <c r="B142" s="106"/>
      <c r="C142" s="99" t="s">
        <v>159</v>
      </c>
      <c r="D142" s="99">
        <f>(17.67+1.2*2.9)*10.764</f>
        <v>227.65860000000001</v>
      </c>
      <c r="E142" s="99">
        <v>0</v>
      </c>
      <c r="F142" s="99">
        <f t="shared" si="1"/>
        <v>364.25376000000006</v>
      </c>
      <c r="G142" s="106"/>
      <c r="H142" s="106"/>
      <c r="I142" s="92">
        <f>2.9*5.6+2.45*0.55</f>
        <v>17.587499999999999</v>
      </c>
      <c r="L142" s="109"/>
      <c r="M142" s="109"/>
      <c r="N142" s="33"/>
    </row>
    <row r="143" spans="1:14" s="2" customFormat="1" x14ac:dyDescent="0.25">
      <c r="A143" s="106">
        <f t="shared" si="0"/>
        <v>6</v>
      </c>
      <c r="B143" s="106"/>
      <c r="C143" s="99" t="s">
        <v>159</v>
      </c>
      <c r="D143" s="99">
        <f>(17.42+2.9*1.2)*10.764</f>
        <v>224.9676</v>
      </c>
      <c r="E143" s="99">
        <v>0</v>
      </c>
      <c r="F143" s="99">
        <f t="shared" si="1"/>
        <v>359.94816000000003</v>
      </c>
      <c r="G143" s="106"/>
      <c r="H143" s="106"/>
      <c r="I143" s="33"/>
      <c r="L143" s="109"/>
      <c r="M143" s="109"/>
      <c r="N143" s="33"/>
    </row>
    <row r="144" spans="1:14" s="2" customFormat="1" x14ac:dyDescent="0.25">
      <c r="A144" s="106">
        <f t="shared" si="0"/>
        <v>7</v>
      </c>
      <c r="B144" s="106"/>
      <c r="C144" s="99" t="s">
        <v>159</v>
      </c>
      <c r="D144" s="99">
        <f>(13.84+2.4*1.2)*10.764</f>
        <v>179.97407999999999</v>
      </c>
      <c r="E144" s="99">
        <v>0</v>
      </c>
      <c r="F144" s="99">
        <f t="shared" si="1"/>
        <v>287.958528</v>
      </c>
      <c r="G144" s="106"/>
      <c r="H144" s="106"/>
      <c r="I144" s="33"/>
      <c r="L144" s="109"/>
      <c r="M144" s="109"/>
      <c r="N144" s="33"/>
    </row>
    <row r="145" spans="1:14" s="63" customFormat="1" x14ac:dyDescent="0.25">
      <c r="A145" s="106">
        <f t="shared" si="0"/>
        <v>8</v>
      </c>
      <c r="B145" s="106"/>
      <c r="C145" s="99" t="s">
        <v>159</v>
      </c>
      <c r="D145" s="99">
        <f>(17.67+2.9*1.2)*10.764</f>
        <v>227.65860000000001</v>
      </c>
      <c r="E145" s="99">
        <v>0</v>
      </c>
      <c r="F145" s="99">
        <f t="shared" si="1"/>
        <v>364.25376000000006</v>
      </c>
      <c r="G145" s="106"/>
      <c r="H145" s="106"/>
      <c r="I145" s="33"/>
      <c r="L145" s="109"/>
      <c r="M145" s="109"/>
      <c r="N145" s="33"/>
    </row>
    <row r="146" spans="1:14" s="63" customFormat="1" x14ac:dyDescent="0.25">
      <c r="A146" s="106">
        <f t="shared" si="0"/>
        <v>9</v>
      </c>
      <c r="B146" s="106"/>
      <c r="C146" s="99" t="s">
        <v>159</v>
      </c>
      <c r="D146" s="99">
        <f>(17.67+2.9*1.2)*10.764</f>
        <v>227.65860000000001</v>
      </c>
      <c r="E146" s="99">
        <v>0</v>
      </c>
      <c r="F146" s="99">
        <f t="shared" si="1"/>
        <v>364.25376000000006</v>
      </c>
      <c r="G146" s="106"/>
      <c r="H146" s="106"/>
      <c r="I146" s="33"/>
      <c r="L146" s="109"/>
      <c r="M146" s="109"/>
      <c r="N146" s="33"/>
    </row>
    <row r="147" spans="1:14" s="63" customFormat="1" x14ac:dyDescent="0.25">
      <c r="A147" s="106">
        <f t="shared" si="0"/>
        <v>10</v>
      </c>
      <c r="B147" s="106"/>
      <c r="C147" s="99" t="s">
        <v>159</v>
      </c>
      <c r="D147" s="99">
        <f>(13.84+2.4*1.2)*10.764</f>
        <v>179.97407999999999</v>
      </c>
      <c r="E147" s="99">
        <v>0</v>
      </c>
      <c r="F147" s="99">
        <f t="shared" si="1"/>
        <v>287.958528</v>
      </c>
      <c r="G147" s="106"/>
      <c r="H147" s="106"/>
      <c r="I147" s="33"/>
      <c r="L147" s="109"/>
      <c r="M147" s="109"/>
      <c r="N147" s="33"/>
    </row>
    <row r="148" spans="1:14" s="63" customFormat="1" x14ac:dyDescent="0.25">
      <c r="A148" s="106">
        <f t="shared" si="0"/>
        <v>11</v>
      </c>
      <c r="B148" s="106"/>
      <c r="C148" s="99" t="s">
        <v>159</v>
      </c>
      <c r="D148" s="99">
        <f>(17.42+1.2*2.9)*10.764</f>
        <v>224.9676</v>
      </c>
      <c r="E148" s="99">
        <v>0</v>
      </c>
      <c r="F148" s="99">
        <f t="shared" si="1"/>
        <v>359.94816000000003</v>
      </c>
      <c r="G148" s="106"/>
      <c r="H148" s="106"/>
      <c r="I148" s="33"/>
      <c r="L148" s="109"/>
      <c r="M148" s="109"/>
      <c r="N148" s="33"/>
    </row>
    <row r="149" spans="1:14" s="63" customFormat="1" x14ac:dyDescent="0.25">
      <c r="A149" s="106">
        <f t="shared" si="0"/>
        <v>12</v>
      </c>
      <c r="B149" s="106"/>
      <c r="C149" s="99" t="s">
        <v>159</v>
      </c>
      <c r="D149" s="99">
        <f>(17.67+1.2*2.9)*10.764</f>
        <v>227.65860000000001</v>
      </c>
      <c r="E149" s="99">
        <v>0</v>
      </c>
      <c r="F149" s="99">
        <f t="shared" si="1"/>
        <v>364.25376000000006</v>
      </c>
      <c r="G149" s="106"/>
      <c r="H149" s="106"/>
      <c r="I149" s="33"/>
      <c r="L149" s="109"/>
      <c r="M149" s="109"/>
      <c r="N149" s="33"/>
    </row>
    <row r="150" spans="1:14" s="63" customFormat="1" x14ac:dyDescent="0.25">
      <c r="A150" s="106">
        <f t="shared" si="0"/>
        <v>13</v>
      </c>
      <c r="B150" s="106"/>
      <c r="C150" s="99" t="s">
        <v>159</v>
      </c>
      <c r="D150" s="99">
        <f>(17.67+1.2*2.9)*10.764</f>
        <v>227.65860000000001</v>
      </c>
      <c r="E150" s="99">
        <v>0</v>
      </c>
      <c r="F150" s="99">
        <f t="shared" si="1"/>
        <v>364.25376000000006</v>
      </c>
      <c r="G150" s="106"/>
      <c r="H150" s="106"/>
      <c r="I150" s="33"/>
      <c r="L150" s="109"/>
      <c r="M150" s="109"/>
      <c r="N150" s="33"/>
    </row>
    <row r="151" spans="1:14" s="63" customFormat="1" x14ac:dyDescent="0.25">
      <c r="A151" s="106">
        <f t="shared" si="0"/>
        <v>14</v>
      </c>
      <c r="B151" s="106"/>
      <c r="C151" s="99" t="s">
        <v>159</v>
      </c>
      <c r="D151" s="99">
        <f>(14.67+2.4*1.2)*10.764</f>
        <v>188.90819999999999</v>
      </c>
      <c r="E151" s="99">
        <v>0</v>
      </c>
      <c r="F151" s="99">
        <f t="shared" si="1"/>
        <v>302.25312000000002</v>
      </c>
      <c r="G151" s="106"/>
      <c r="H151" s="106"/>
      <c r="I151" s="33"/>
      <c r="L151" s="109"/>
      <c r="M151" s="109"/>
      <c r="N151" s="33"/>
    </row>
    <row r="152" spans="1:14" s="63" customFormat="1" x14ac:dyDescent="0.25">
      <c r="A152" s="106">
        <f t="shared" si="0"/>
        <v>15</v>
      </c>
      <c r="B152" s="106"/>
      <c r="C152" s="99" t="s">
        <v>159</v>
      </c>
      <c r="D152" s="99">
        <f>(17.67+1.2*2.9)*10.764</f>
        <v>227.65860000000001</v>
      </c>
      <c r="E152" s="99">
        <v>0</v>
      </c>
      <c r="F152" s="99">
        <f t="shared" si="1"/>
        <v>364.25376000000006</v>
      </c>
      <c r="G152" s="106"/>
      <c r="H152" s="106"/>
      <c r="I152" s="33"/>
      <c r="L152" s="109"/>
      <c r="M152" s="109"/>
      <c r="N152" s="33"/>
    </row>
    <row r="153" spans="1:14" s="63" customFormat="1" x14ac:dyDescent="0.25">
      <c r="A153" s="106">
        <f t="shared" si="0"/>
        <v>16</v>
      </c>
      <c r="B153" s="106"/>
      <c r="C153" s="99" t="s">
        <v>159</v>
      </c>
      <c r="D153" s="99">
        <f>(17.67+1.2*2.9)*10.764</f>
        <v>227.65860000000001</v>
      </c>
      <c r="E153" s="99">
        <v>0</v>
      </c>
      <c r="F153" s="99">
        <f t="shared" si="1"/>
        <v>364.25376000000006</v>
      </c>
      <c r="G153" s="106"/>
      <c r="H153" s="106"/>
      <c r="I153" s="33"/>
      <c r="L153" s="109"/>
      <c r="M153" s="109"/>
      <c r="N153" s="33"/>
    </row>
    <row r="154" spans="1:14" s="63" customFormat="1" x14ac:dyDescent="0.25">
      <c r="A154" s="123" t="s">
        <v>218</v>
      </c>
      <c r="B154" s="124"/>
      <c r="C154" s="124"/>
      <c r="D154" s="124"/>
      <c r="E154" s="124"/>
      <c r="F154" s="124"/>
      <c r="G154" s="124"/>
      <c r="H154" s="125"/>
      <c r="J154" s="33"/>
    </row>
    <row r="155" spans="1:14" s="90" customFormat="1" x14ac:dyDescent="0.25">
      <c r="A155" s="110" t="s">
        <v>219</v>
      </c>
      <c r="B155" s="111"/>
      <c r="C155" s="110" t="s">
        <v>220</v>
      </c>
      <c r="D155" s="115"/>
      <c r="E155" s="115"/>
      <c r="F155" s="111"/>
      <c r="G155" s="116" t="str">
        <f>A154</f>
        <v>1st Floor For Commercial, Driver Room, Society Office &amp; Part Residential Area</v>
      </c>
      <c r="H155" s="117"/>
      <c r="J155" s="33"/>
    </row>
    <row r="156" spans="1:14" s="63" customFormat="1" ht="15.75" customHeight="1" x14ac:dyDescent="0.25">
      <c r="A156" s="110">
        <v>1</v>
      </c>
      <c r="B156" s="111"/>
      <c r="C156" s="62" t="s">
        <v>160</v>
      </c>
      <c r="D156" s="62">
        <f>17.67*10.764</f>
        <v>190.19988000000001</v>
      </c>
      <c r="E156" s="62">
        <v>0</v>
      </c>
      <c r="F156" s="89">
        <f>(D156+(IF(E156&lt;101,E156,IF(E156&lt;201,E156/2,IF(E156&lt;=301,E156/3,E156/4)))))*(($F$135)+1)</f>
        <v>304.31980800000002</v>
      </c>
      <c r="G156" s="118"/>
      <c r="H156" s="119"/>
      <c r="I156" s="33"/>
      <c r="L156" s="109"/>
      <c r="M156" s="109"/>
      <c r="N156" s="33"/>
    </row>
    <row r="157" spans="1:14" s="63" customFormat="1" ht="15.75" customHeight="1" x14ac:dyDescent="0.25">
      <c r="A157" s="110">
        <f t="shared" ref="A157:A169" si="2">A156+1</f>
        <v>2</v>
      </c>
      <c r="B157" s="111"/>
      <c r="C157" s="62" t="s">
        <v>160</v>
      </c>
      <c r="D157" s="62">
        <f>17.67*10.764</f>
        <v>190.19988000000001</v>
      </c>
      <c r="E157" s="62">
        <v>0</v>
      </c>
      <c r="F157" s="89">
        <f t="shared" ref="F157:F169" si="3">(D157+(IF(E157&lt;101,E157,IF(E157&lt;201,E157/2,IF(E157&lt;=301,E157/3,E157/4)))))*(($F$135)+1)</f>
        <v>304.31980800000002</v>
      </c>
      <c r="G157" s="118"/>
      <c r="H157" s="119"/>
      <c r="I157" s="33"/>
      <c r="L157" s="109"/>
      <c r="M157" s="109"/>
      <c r="N157" s="33"/>
    </row>
    <row r="158" spans="1:14" s="63" customFormat="1" ht="15.75" customHeight="1" x14ac:dyDescent="0.25">
      <c r="A158" s="110">
        <f t="shared" si="2"/>
        <v>3</v>
      </c>
      <c r="B158" s="111"/>
      <c r="C158" s="62" t="s">
        <v>160</v>
      </c>
      <c r="D158" s="62">
        <f>14.67*10.764</f>
        <v>157.90787999999998</v>
      </c>
      <c r="E158" s="62">
        <v>0</v>
      </c>
      <c r="F158" s="89">
        <f t="shared" si="3"/>
        <v>252.65260799999999</v>
      </c>
      <c r="G158" s="118"/>
      <c r="H158" s="119"/>
      <c r="I158" s="33"/>
      <c r="L158" s="109"/>
      <c r="M158" s="109"/>
      <c r="N158" s="33"/>
    </row>
    <row r="159" spans="1:14" s="63" customFormat="1" ht="15.75" customHeight="1" x14ac:dyDescent="0.25">
      <c r="A159" s="110">
        <f t="shared" si="2"/>
        <v>4</v>
      </c>
      <c r="B159" s="111"/>
      <c r="C159" s="62" t="s">
        <v>160</v>
      </c>
      <c r="D159" s="62">
        <f>17.67*10.764</f>
        <v>190.19988000000001</v>
      </c>
      <c r="E159" s="62">
        <v>0</v>
      </c>
      <c r="F159" s="89">
        <f t="shared" si="3"/>
        <v>304.31980800000002</v>
      </c>
      <c r="G159" s="118"/>
      <c r="H159" s="119"/>
      <c r="I159" s="33"/>
      <c r="L159" s="109"/>
      <c r="M159" s="109"/>
      <c r="N159" s="33"/>
    </row>
    <row r="160" spans="1:14" s="63" customFormat="1" ht="15.75" customHeight="1" x14ac:dyDescent="0.25">
      <c r="A160" s="110">
        <f t="shared" si="2"/>
        <v>5</v>
      </c>
      <c r="B160" s="111"/>
      <c r="C160" s="62" t="s">
        <v>160</v>
      </c>
      <c r="D160" s="62">
        <f>17.67*10.764</f>
        <v>190.19988000000001</v>
      </c>
      <c r="E160" s="62">
        <v>0</v>
      </c>
      <c r="F160" s="89">
        <f t="shared" si="3"/>
        <v>304.31980800000002</v>
      </c>
      <c r="G160" s="118"/>
      <c r="H160" s="119"/>
      <c r="I160" s="33"/>
      <c r="L160" s="109"/>
      <c r="M160" s="109"/>
      <c r="N160" s="33"/>
    </row>
    <row r="161" spans="1:14" s="63" customFormat="1" ht="15.75" customHeight="1" x14ac:dyDescent="0.25">
      <c r="A161" s="110">
        <f t="shared" si="2"/>
        <v>6</v>
      </c>
      <c r="B161" s="111"/>
      <c r="C161" s="62" t="s">
        <v>160</v>
      </c>
      <c r="D161" s="62">
        <f>17.42*10.764</f>
        <v>187.50888</v>
      </c>
      <c r="E161" s="62">
        <v>0</v>
      </c>
      <c r="F161" s="89">
        <f t="shared" si="3"/>
        <v>300.014208</v>
      </c>
      <c r="G161" s="118"/>
      <c r="H161" s="119"/>
      <c r="I161" s="33"/>
      <c r="L161" s="109"/>
      <c r="M161" s="109"/>
      <c r="N161" s="33"/>
    </row>
    <row r="162" spans="1:14" s="63" customFormat="1" ht="15.75" customHeight="1" x14ac:dyDescent="0.25">
      <c r="A162" s="110">
        <f t="shared" si="2"/>
        <v>7</v>
      </c>
      <c r="B162" s="111"/>
      <c r="C162" s="62" t="s">
        <v>160</v>
      </c>
      <c r="D162" s="62">
        <f>13.84*10.764</f>
        <v>148.97376</v>
      </c>
      <c r="E162" s="62">
        <v>0</v>
      </c>
      <c r="F162" s="89">
        <f t="shared" si="3"/>
        <v>238.35801600000002</v>
      </c>
      <c r="G162" s="118"/>
      <c r="H162" s="119"/>
      <c r="I162" s="33"/>
      <c r="L162" s="109"/>
      <c r="M162" s="109"/>
      <c r="N162" s="33"/>
    </row>
    <row r="163" spans="1:14" s="63" customFormat="1" ht="15.75" customHeight="1" x14ac:dyDescent="0.25">
      <c r="A163" s="110">
        <f t="shared" si="2"/>
        <v>8</v>
      </c>
      <c r="B163" s="111"/>
      <c r="C163" s="62" t="s">
        <v>160</v>
      </c>
      <c r="D163" s="62">
        <f>17.67*10.764</f>
        <v>190.19988000000001</v>
      </c>
      <c r="E163" s="62">
        <v>0</v>
      </c>
      <c r="F163" s="89">
        <f t="shared" si="3"/>
        <v>304.31980800000002</v>
      </c>
      <c r="G163" s="118"/>
      <c r="H163" s="119"/>
      <c r="I163" s="33"/>
      <c r="L163" s="109"/>
      <c r="M163" s="109"/>
      <c r="N163" s="33"/>
    </row>
    <row r="164" spans="1:14" s="63" customFormat="1" ht="15.75" customHeight="1" x14ac:dyDescent="0.25">
      <c r="A164" s="110">
        <f t="shared" si="2"/>
        <v>9</v>
      </c>
      <c r="B164" s="111"/>
      <c r="C164" s="62" t="s">
        <v>160</v>
      </c>
      <c r="D164" s="62">
        <f>17.67*10.764</f>
        <v>190.19988000000001</v>
      </c>
      <c r="E164" s="62">
        <v>0</v>
      </c>
      <c r="F164" s="89">
        <f t="shared" si="3"/>
        <v>304.31980800000002</v>
      </c>
      <c r="G164" s="118"/>
      <c r="H164" s="119"/>
      <c r="I164" s="33"/>
      <c r="L164" s="109"/>
      <c r="M164" s="109"/>
      <c r="N164" s="33"/>
    </row>
    <row r="165" spans="1:14" s="63" customFormat="1" ht="15.75" customHeight="1" x14ac:dyDescent="0.25">
      <c r="A165" s="110">
        <f t="shared" si="2"/>
        <v>10</v>
      </c>
      <c r="B165" s="111"/>
      <c r="C165" s="62" t="s">
        <v>160</v>
      </c>
      <c r="D165" s="62">
        <f>13.84*10.764</f>
        <v>148.97376</v>
      </c>
      <c r="E165" s="62">
        <v>0</v>
      </c>
      <c r="F165" s="89">
        <f t="shared" si="3"/>
        <v>238.35801600000002</v>
      </c>
      <c r="G165" s="118"/>
      <c r="H165" s="119"/>
      <c r="I165" s="33"/>
      <c r="L165" s="109"/>
      <c r="M165" s="109"/>
      <c r="N165" s="33"/>
    </row>
    <row r="166" spans="1:14" s="63" customFormat="1" ht="15.75" customHeight="1" x14ac:dyDescent="0.25">
      <c r="A166" s="110">
        <f t="shared" si="2"/>
        <v>11</v>
      </c>
      <c r="B166" s="111"/>
      <c r="C166" s="62" t="s">
        <v>160</v>
      </c>
      <c r="D166" s="62">
        <f>17.42*10.764</f>
        <v>187.50888</v>
      </c>
      <c r="E166" s="62">
        <v>0</v>
      </c>
      <c r="F166" s="89">
        <f t="shared" si="3"/>
        <v>300.014208</v>
      </c>
      <c r="G166" s="118"/>
      <c r="H166" s="119"/>
      <c r="I166" s="33"/>
      <c r="L166" s="109"/>
      <c r="M166" s="109"/>
      <c r="N166" s="33"/>
    </row>
    <row r="167" spans="1:14" s="63" customFormat="1" ht="15.75" customHeight="1" x14ac:dyDescent="0.25">
      <c r="A167" s="110">
        <f t="shared" si="2"/>
        <v>12</v>
      </c>
      <c r="B167" s="111"/>
      <c r="C167" s="62" t="s">
        <v>160</v>
      </c>
      <c r="D167" s="62">
        <f>17.67*10.764</f>
        <v>190.19988000000001</v>
      </c>
      <c r="E167" s="62">
        <v>0</v>
      </c>
      <c r="F167" s="89">
        <f t="shared" si="3"/>
        <v>304.31980800000002</v>
      </c>
      <c r="G167" s="118"/>
      <c r="H167" s="119"/>
      <c r="I167" s="33"/>
      <c r="L167" s="109"/>
      <c r="M167" s="109"/>
      <c r="N167" s="33"/>
    </row>
    <row r="168" spans="1:14" s="63" customFormat="1" ht="15.75" customHeight="1" x14ac:dyDescent="0.25">
      <c r="A168" s="110">
        <f t="shared" si="2"/>
        <v>13</v>
      </c>
      <c r="B168" s="111"/>
      <c r="C168" s="62" t="s">
        <v>160</v>
      </c>
      <c r="D168" s="62">
        <f>17.67*10.764</f>
        <v>190.19988000000001</v>
      </c>
      <c r="E168" s="62">
        <v>0</v>
      </c>
      <c r="F168" s="89">
        <f t="shared" si="3"/>
        <v>304.31980800000002</v>
      </c>
      <c r="G168" s="118"/>
      <c r="H168" s="119"/>
      <c r="I168" s="33"/>
      <c r="L168" s="109"/>
      <c r="M168" s="109"/>
      <c r="N168" s="33"/>
    </row>
    <row r="169" spans="1:14" s="63" customFormat="1" ht="15.75" customHeight="1" x14ac:dyDescent="0.25">
      <c r="A169" s="110">
        <f t="shared" si="2"/>
        <v>14</v>
      </c>
      <c r="B169" s="111"/>
      <c r="C169" s="62" t="s">
        <v>160</v>
      </c>
      <c r="D169" s="62">
        <f>14.67*10.764</f>
        <v>157.90787999999998</v>
      </c>
      <c r="E169" s="62">
        <v>0</v>
      </c>
      <c r="F169" s="89">
        <f t="shared" si="3"/>
        <v>252.65260799999999</v>
      </c>
      <c r="G169" s="120"/>
      <c r="H169" s="121"/>
      <c r="I169" s="33"/>
      <c r="L169" s="109"/>
      <c r="M169" s="109"/>
      <c r="N169" s="33"/>
    </row>
    <row r="170" spans="1:14" s="4" customFormat="1" x14ac:dyDescent="0.25">
      <c r="A170" s="218" t="s">
        <v>169</v>
      </c>
      <c r="B170" s="218"/>
      <c r="C170" s="218"/>
      <c r="D170" s="218"/>
      <c r="E170" s="218"/>
      <c r="F170" s="218"/>
      <c r="G170" s="218"/>
      <c r="H170" s="218"/>
    </row>
    <row r="171" spans="1:14" s="65" customFormat="1" x14ac:dyDescent="0.25">
      <c r="A171" s="123" t="s">
        <v>217</v>
      </c>
      <c r="B171" s="124"/>
      <c r="C171" s="124"/>
      <c r="D171" s="124"/>
      <c r="E171" s="124"/>
      <c r="F171" s="124"/>
      <c r="G171" s="124"/>
      <c r="H171" s="125"/>
      <c r="J171" s="33"/>
    </row>
    <row r="172" spans="1:14" s="65" customFormat="1" ht="15.75" customHeight="1" x14ac:dyDescent="0.25">
      <c r="A172" s="110">
        <v>1</v>
      </c>
      <c r="B172" s="111"/>
      <c r="C172" s="64" t="s">
        <v>159</v>
      </c>
      <c r="D172" s="64">
        <f>(14.57+1.2*2.6)*10.764</f>
        <v>190.41516000000001</v>
      </c>
      <c r="E172" s="64">
        <v>0</v>
      </c>
      <c r="F172" s="89">
        <f t="shared" ref="F172:F178" si="4">(D172+(IF(E172&lt;101,E172,IF(E172&lt;201,E172/2,IF(E172&lt;=301,E172/3,E172/4)))))*(($F$135)+1)</f>
        <v>304.66425600000002</v>
      </c>
      <c r="G172" s="116" t="str">
        <f>A171</f>
        <v>Ground Floor For Commercial &amp; Parking</v>
      </c>
      <c r="H172" s="117"/>
      <c r="I172" s="33"/>
      <c r="L172" s="109"/>
      <c r="M172" s="109"/>
      <c r="N172" s="33"/>
    </row>
    <row r="173" spans="1:14" s="65" customFormat="1" ht="15.75" customHeight="1" x14ac:dyDescent="0.25">
      <c r="A173" s="110">
        <f t="shared" ref="A173:A178" si="5">A172+1</f>
        <v>2</v>
      </c>
      <c r="B173" s="111"/>
      <c r="C173" s="64" t="s">
        <v>159</v>
      </c>
      <c r="D173" s="64">
        <f>(13.47+1.2*2.4)*10.764</f>
        <v>175.9914</v>
      </c>
      <c r="E173" s="64">
        <v>0</v>
      </c>
      <c r="F173" s="89">
        <f t="shared" si="4"/>
        <v>281.58624000000003</v>
      </c>
      <c r="G173" s="118"/>
      <c r="H173" s="119"/>
      <c r="I173" s="33"/>
      <c r="L173" s="109"/>
      <c r="M173" s="109"/>
      <c r="N173" s="33"/>
    </row>
    <row r="174" spans="1:14" s="65" customFormat="1" ht="15.75" customHeight="1" x14ac:dyDescent="0.25">
      <c r="A174" s="110">
        <f t="shared" si="5"/>
        <v>3</v>
      </c>
      <c r="B174" s="111"/>
      <c r="C174" s="64" t="s">
        <v>159</v>
      </c>
      <c r="D174" s="64">
        <f>(14.57+1.2*2.6)*10.764</f>
        <v>190.41516000000001</v>
      </c>
      <c r="E174" s="64">
        <v>0</v>
      </c>
      <c r="F174" s="89">
        <f t="shared" si="4"/>
        <v>304.66425600000002</v>
      </c>
      <c r="G174" s="118"/>
      <c r="H174" s="119"/>
      <c r="I174" s="33"/>
      <c r="L174" s="109"/>
      <c r="M174" s="109"/>
      <c r="N174" s="33"/>
    </row>
    <row r="175" spans="1:14" s="65" customFormat="1" ht="15.75" customHeight="1" x14ac:dyDescent="0.25">
      <c r="A175" s="110">
        <f t="shared" si="5"/>
        <v>4</v>
      </c>
      <c r="B175" s="111"/>
      <c r="C175" s="64" t="s">
        <v>159</v>
      </c>
      <c r="D175" s="64">
        <f>(16.22+1.2*2.9)*10.764</f>
        <v>212.05079999999998</v>
      </c>
      <c r="E175" s="64">
        <v>0</v>
      </c>
      <c r="F175" s="89">
        <f t="shared" si="4"/>
        <v>339.28127999999998</v>
      </c>
      <c r="G175" s="118"/>
      <c r="H175" s="119"/>
      <c r="I175" s="33"/>
      <c r="L175" s="109"/>
      <c r="M175" s="109"/>
      <c r="N175" s="33"/>
    </row>
    <row r="176" spans="1:14" s="65" customFormat="1" ht="15.75" customHeight="1" x14ac:dyDescent="0.25">
      <c r="A176" s="110">
        <f t="shared" si="5"/>
        <v>5</v>
      </c>
      <c r="B176" s="111"/>
      <c r="C176" s="64" t="s">
        <v>159</v>
      </c>
      <c r="D176" s="64">
        <f>(13.47+1.2*2.4)*10.764</f>
        <v>175.9914</v>
      </c>
      <c r="E176" s="64">
        <v>0</v>
      </c>
      <c r="F176" s="89">
        <f t="shared" si="4"/>
        <v>281.58624000000003</v>
      </c>
      <c r="G176" s="118"/>
      <c r="H176" s="119"/>
      <c r="I176" s="33"/>
      <c r="L176" s="109"/>
      <c r="M176" s="109"/>
      <c r="N176" s="33"/>
    </row>
    <row r="177" spans="1:16" s="65" customFormat="1" ht="15.75" customHeight="1" x14ac:dyDescent="0.25">
      <c r="A177" s="110">
        <f t="shared" si="5"/>
        <v>6</v>
      </c>
      <c r="B177" s="111"/>
      <c r="C177" s="64" t="s">
        <v>159</v>
      </c>
      <c r="D177" s="64">
        <f>(16.22+1.2*2.9)*10.764</f>
        <v>212.05079999999998</v>
      </c>
      <c r="E177" s="64">
        <v>0</v>
      </c>
      <c r="F177" s="89">
        <f t="shared" si="4"/>
        <v>339.28127999999998</v>
      </c>
      <c r="G177" s="118"/>
      <c r="H177" s="119"/>
      <c r="I177" s="33"/>
      <c r="L177" s="109"/>
      <c r="M177" s="109"/>
      <c r="N177" s="33"/>
    </row>
    <row r="178" spans="1:16" s="65" customFormat="1" ht="15.75" customHeight="1" x14ac:dyDescent="0.25">
      <c r="A178" s="110">
        <f t="shared" si="5"/>
        <v>7</v>
      </c>
      <c r="B178" s="111"/>
      <c r="C178" s="64" t="s">
        <v>159</v>
      </c>
      <c r="D178" s="64">
        <f>(16.22+1.2*2.9)*10.764</f>
        <v>212.05079999999998</v>
      </c>
      <c r="E178" s="64">
        <v>0</v>
      </c>
      <c r="F178" s="89">
        <f t="shared" si="4"/>
        <v>339.28127999999998</v>
      </c>
      <c r="G178" s="120"/>
      <c r="H178" s="121"/>
      <c r="I178" s="33"/>
      <c r="L178" s="109"/>
      <c r="M178" s="109"/>
      <c r="N178" s="33"/>
    </row>
    <row r="179" spans="1:16" s="35" customFormat="1" x14ac:dyDescent="0.25">
      <c r="A179" s="110"/>
      <c r="B179" s="115"/>
      <c r="C179" s="115"/>
      <c r="D179" s="115"/>
      <c r="E179" s="115"/>
      <c r="F179" s="115"/>
      <c r="G179" s="115"/>
      <c r="H179" s="111"/>
      <c r="I179" s="33"/>
      <c r="N179" s="33"/>
    </row>
    <row r="180" spans="1:16" ht="47.25" customHeight="1" x14ac:dyDescent="0.25">
      <c r="A180" s="168" t="s">
        <v>118</v>
      </c>
      <c r="B180" s="168" t="s">
        <v>119</v>
      </c>
      <c r="C180" s="164" t="s">
        <v>57</v>
      </c>
      <c r="D180" s="164" t="s">
        <v>58</v>
      </c>
      <c r="E180" s="166" t="s">
        <v>59</v>
      </c>
      <c r="F180" s="36" t="s">
        <v>149</v>
      </c>
      <c r="G180" s="168" t="s">
        <v>60</v>
      </c>
      <c r="H180" s="169"/>
      <c r="I180" s="33"/>
    </row>
    <row r="181" spans="1:16" s="35" customFormat="1" x14ac:dyDescent="0.25">
      <c r="A181" s="170"/>
      <c r="B181" s="170"/>
      <c r="C181" s="165"/>
      <c r="D181" s="165"/>
      <c r="E181" s="167"/>
      <c r="F181" s="32">
        <v>0.5</v>
      </c>
      <c r="G181" s="170"/>
      <c r="H181" s="171"/>
      <c r="I181" s="33"/>
    </row>
    <row r="182" spans="1:16" s="4" customFormat="1" x14ac:dyDescent="0.25">
      <c r="A182" s="126" t="s">
        <v>158</v>
      </c>
      <c r="B182" s="126"/>
      <c r="C182" s="126"/>
      <c r="D182" s="126"/>
      <c r="E182" s="126"/>
      <c r="F182" s="126"/>
      <c r="G182" s="126"/>
      <c r="H182" s="126"/>
      <c r="I182" s="93">
        <v>10.763999999999999</v>
      </c>
    </row>
    <row r="183" spans="1:16" s="2" customFormat="1" x14ac:dyDescent="0.25">
      <c r="A183" s="122" t="s">
        <v>221</v>
      </c>
      <c r="B183" s="122"/>
      <c r="C183" s="122"/>
      <c r="D183" s="122"/>
      <c r="E183" s="122"/>
      <c r="F183" s="122"/>
      <c r="G183" s="122"/>
      <c r="H183" s="122"/>
      <c r="I183" s="33"/>
      <c r="L183" s="109"/>
      <c r="M183" s="109"/>
    </row>
    <row r="184" spans="1:16" s="2" customFormat="1" ht="15.75" customHeight="1" x14ac:dyDescent="0.25">
      <c r="A184" s="106">
        <v>1</v>
      </c>
      <c r="B184" s="106"/>
      <c r="C184" s="13" t="s">
        <v>161</v>
      </c>
      <c r="D184" s="93">
        <f>(28.87+(2.1+2.75)+0.75*(2.1+2.75))*10.764</f>
        <v>402.11613</v>
      </c>
      <c r="E184" s="13">
        <f>(1.2*2.75)*10.764</f>
        <v>35.521199999999993</v>
      </c>
      <c r="F184" s="57">
        <f t="shared" ref="F184:F185" si="6">D184*(($F$181)+1)+(IF(E184&lt;101,E184,IF(E184&lt;201,E184/2,IF(E184&lt;=301,E184/3,E184/4))))</f>
        <v>638.69539500000008</v>
      </c>
      <c r="G184" s="116" t="str">
        <f>A183</f>
        <v>1st Floor For Residential, Driver Room, Society Office &amp; Part Commercial Area</v>
      </c>
      <c r="H184" s="117"/>
      <c r="I184" s="33">
        <f>2.75*4.45+2.1*2.1+2.75*2.55+1.2*1.95*2</f>
        <v>28.34</v>
      </c>
      <c r="L184" s="42"/>
      <c r="M184" s="42"/>
      <c r="N184" s="33"/>
    </row>
    <row r="185" spans="1:16" s="2" customFormat="1" x14ac:dyDescent="0.25">
      <c r="A185" s="106">
        <f>A184+1</f>
        <v>2</v>
      </c>
      <c r="B185" s="106"/>
      <c r="C185" s="62" t="s">
        <v>161</v>
      </c>
      <c r="D185" s="93">
        <f>(28.87+(2.1+2.75)+0.75*(2.1+2.75))*10.764</f>
        <v>402.11613</v>
      </c>
      <c r="E185" s="62">
        <f t="shared" ref="E185:E186" si="7">(1.2*2.75)*10.764</f>
        <v>35.521199999999993</v>
      </c>
      <c r="F185" s="57">
        <f t="shared" si="6"/>
        <v>638.69539500000008</v>
      </c>
      <c r="G185" s="118"/>
      <c r="H185" s="119"/>
      <c r="I185" s="33"/>
      <c r="L185" s="42"/>
      <c r="M185" s="42"/>
      <c r="N185" s="33"/>
    </row>
    <row r="186" spans="1:16" s="2" customFormat="1" x14ac:dyDescent="0.25">
      <c r="A186" s="106">
        <f>A185+1</f>
        <v>3</v>
      </c>
      <c r="B186" s="106"/>
      <c r="C186" s="62" t="s">
        <v>161</v>
      </c>
      <c r="D186" s="93">
        <f>(29.86+(2.1+2.75)+0.75*(2.1+2.75))*10.764</f>
        <v>412.77249</v>
      </c>
      <c r="E186" s="62">
        <f t="shared" si="7"/>
        <v>35.521199999999993</v>
      </c>
      <c r="F186" s="55">
        <f>D186*(($F$181)+1)+(IF(E186&lt;101,E186,IF(E186&lt;201,E186/2,IF(E186&lt;=301,E186/3,E186/4))))</f>
        <v>654.679935</v>
      </c>
      <c r="G186" s="118"/>
      <c r="H186" s="119"/>
      <c r="I186" s="33"/>
      <c r="L186" s="42"/>
      <c r="M186" s="42"/>
      <c r="N186" s="33"/>
    </row>
    <row r="187" spans="1:16" s="90" customFormat="1" x14ac:dyDescent="0.25">
      <c r="A187" s="106" t="s">
        <v>219</v>
      </c>
      <c r="B187" s="106"/>
      <c r="C187" s="110" t="s">
        <v>222</v>
      </c>
      <c r="D187" s="115"/>
      <c r="E187" s="115"/>
      <c r="F187" s="111"/>
      <c r="G187" s="120"/>
      <c r="H187" s="121"/>
      <c r="I187" s="33"/>
      <c r="N187" s="33"/>
    </row>
    <row r="188" spans="1:16" s="2" customFormat="1" ht="15.75" customHeight="1" x14ac:dyDescent="0.25">
      <c r="A188" s="122" t="s">
        <v>223</v>
      </c>
      <c r="B188" s="122"/>
      <c r="C188" s="122"/>
      <c r="D188" s="122"/>
      <c r="E188" s="122"/>
      <c r="F188" s="122"/>
      <c r="G188" s="122"/>
      <c r="H188" s="122"/>
      <c r="I188" s="33"/>
      <c r="L188" s="42"/>
      <c r="M188" s="42"/>
      <c r="P188" s="34"/>
    </row>
    <row r="189" spans="1:16" s="2" customFormat="1" x14ac:dyDescent="0.25">
      <c r="A189" s="106">
        <v>1</v>
      </c>
      <c r="B189" s="106"/>
      <c r="C189" s="99" t="s">
        <v>161</v>
      </c>
      <c r="D189" s="93">
        <f>(28.87+(2.1+2.75)+0.75*(2.1+2.75))*10.764</f>
        <v>402.11613</v>
      </c>
      <c r="E189" s="99">
        <f>(1.2*2.75)*10.764</f>
        <v>35.521199999999993</v>
      </c>
      <c r="F189" s="99">
        <f t="shared" ref="F189:F194" si="8">D189*(($F$181)+1)+(IF(E189&lt;101,E189,IF(E189&lt;201,E189/2,IF(E189&lt;=301,E189/3,E189/4))))</f>
        <v>638.69539500000008</v>
      </c>
      <c r="G189" s="106" t="str">
        <f>A188</f>
        <v>2nd Floor For Residential</v>
      </c>
      <c r="H189" s="106"/>
      <c r="I189" s="33"/>
      <c r="M189" s="42"/>
      <c r="N189" s="42"/>
      <c r="O189" s="54"/>
      <c r="P189" s="54"/>
    </row>
    <row r="190" spans="1:16" s="2" customFormat="1" x14ac:dyDescent="0.25">
      <c r="A190" s="106">
        <v>2</v>
      </c>
      <c r="B190" s="106"/>
      <c r="C190" s="99" t="s">
        <v>161</v>
      </c>
      <c r="D190" s="93">
        <f>(28.87+(2.1+2.75)+0.75*(2.1+2.75))*10.764</f>
        <v>402.11613</v>
      </c>
      <c r="E190" s="99">
        <f>(1.2*2.75)*10.764</f>
        <v>35.521199999999993</v>
      </c>
      <c r="F190" s="99">
        <f t="shared" si="8"/>
        <v>638.69539500000008</v>
      </c>
      <c r="G190" s="106"/>
      <c r="H190" s="106"/>
      <c r="I190" s="33"/>
      <c r="M190" s="42"/>
      <c r="N190" s="52"/>
    </row>
    <row r="191" spans="1:16" s="2" customFormat="1" ht="15.75" customHeight="1" x14ac:dyDescent="0.25">
      <c r="A191" s="106">
        <v>3</v>
      </c>
      <c r="B191" s="106"/>
      <c r="C191" s="99" t="s">
        <v>161</v>
      </c>
      <c r="D191" s="93">
        <f>(29.86+(2.1+2.75)+0.75*(2.1+2.75))*10.764</f>
        <v>412.77249</v>
      </c>
      <c r="E191" s="99">
        <f>(1.2*2.75)*10.764</f>
        <v>35.521199999999993</v>
      </c>
      <c r="F191" s="99">
        <f t="shared" si="8"/>
        <v>654.679935</v>
      </c>
      <c r="G191" s="106"/>
      <c r="H191" s="106"/>
      <c r="I191" s="33"/>
      <c r="M191" s="42"/>
      <c r="N191" s="52"/>
    </row>
    <row r="192" spans="1:16" s="2" customFormat="1" ht="15.75" customHeight="1" x14ac:dyDescent="0.25">
      <c r="A192" s="106">
        <v>4</v>
      </c>
      <c r="B192" s="106"/>
      <c r="C192" s="99" t="s">
        <v>162</v>
      </c>
      <c r="D192" s="93">
        <f>(49.51+(2.4+2.9+2.9))*10.764</f>
        <v>621.19043999999985</v>
      </c>
      <c r="E192" s="99">
        <f>(2.9*2.4+1.2*(8.9))*10.764</f>
        <v>189.87696</v>
      </c>
      <c r="F192" s="99">
        <f t="shared" si="8"/>
        <v>1026.7241399999998</v>
      </c>
      <c r="G192" s="106"/>
      <c r="H192" s="106"/>
      <c r="I192" s="33"/>
      <c r="J192" s="67"/>
      <c r="M192" s="42"/>
      <c r="N192" s="52"/>
    </row>
    <row r="193" spans="1:16" s="2" customFormat="1" ht="15.75" customHeight="1" x14ac:dyDescent="0.25">
      <c r="A193" s="106">
        <v>5</v>
      </c>
      <c r="B193" s="106"/>
      <c r="C193" s="99" t="s">
        <v>162</v>
      </c>
      <c r="D193" s="93">
        <f>(48.54+(2.4+2.9+2.9))*10.764</f>
        <v>610.74935999999991</v>
      </c>
      <c r="E193" s="99">
        <f>(2.9*2.4+1.2*(8.9))*10.764</f>
        <v>189.87696</v>
      </c>
      <c r="F193" s="99">
        <f t="shared" si="8"/>
        <v>1011.0625199999999</v>
      </c>
      <c r="G193" s="106"/>
      <c r="H193" s="106"/>
      <c r="I193" s="33"/>
      <c r="M193" s="42"/>
      <c r="N193" s="52"/>
    </row>
    <row r="194" spans="1:16" s="37" customFormat="1" ht="15.75" customHeight="1" x14ac:dyDescent="0.25">
      <c r="A194" s="106">
        <v>6</v>
      </c>
      <c r="B194" s="106"/>
      <c r="C194" s="99" t="s">
        <v>162</v>
      </c>
      <c r="D194" s="93">
        <f>(48.54+(2.4+2.9+2.9))*10.764</f>
        <v>610.74935999999991</v>
      </c>
      <c r="E194" s="99">
        <f>(2.9*2.4+1.2*(8.9))*10.764</f>
        <v>189.87696</v>
      </c>
      <c r="F194" s="99">
        <f t="shared" si="8"/>
        <v>1011.0625199999999</v>
      </c>
      <c r="G194" s="106"/>
      <c r="H194" s="106"/>
      <c r="I194" s="33"/>
      <c r="M194" s="42"/>
      <c r="N194" s="52"/>
    </row>
    <row r="195" spans="1:16" s="63" customFormat="1" ht="15.75" customHeight="1" x14ac:dyDescent="0.25">
      <c r="A195" s="106">
        <v>7</v>
      </c>
      <c r="B195" s="106"/>
      <c r="C195" s="99" t="s">
        <v>162</v>
      </c>
      <c r="D195" s="93">
        <f>(49.67+(2.4+2.9+2.9))*10.764</f>
        <v>622.91268000000002</v>
      </c>
      <c r="E195" s="99">
        <f>(2.9*2.4+1.2*(8.9))*10.764</f>
        <v>189.87696</v>
      </c>
      <c r="F195" s="99">
        <f t="shared" ref="F195" si="9">D195*(($F$181)+1)+(IF(E195&lt;101,E195,IF(E195&lt;201,E195/2,IF(E195&lt;=301,E195/3,E195/4))))</f>
        <v>1029.3075000000001</v>
      </c>
      <c r="G195" s="106"/>
      <c r="H195" s="106"/>
      <c r="I195" s="33"/>
    </row>
    <row r="196" spans="1:16" s="2" customFormat="1" x14ac:dyDescent="0.25">
      <c r="A196" s="123" t="s">
        <v>164</v>
      </c>
      <c r="B196" s="124"/>
      <c r="C196" s="124"/>
      <c r="D196" s="124"/>
      <c r="E196" s="124"/>
      <c r="F196" s="124"/>
      <c r="G196" s="124"/>
      <c r="H196" s="125"/>
      <c r="I196" s="33"/>
      <c r="M196" s="42"/>
      <c r="N196" s="42"/>
      <c r="P196" s="34"/>
    </row>
    <row r="197" spans="1:16" s="2" customFormat="1" ht="15.75" customHeight="1" x14ac:dyDescent="0.25">
      <c r="A197" s="110">
        <v>1</v>
      </c>
      <c r="B197" s="111"/>
      <c r="C197" s="89" t="s">
        <v>161</v>
      </c>
      <c r="D197" s="93">
        <f>(28.87+(2.1+2.75)+0.75*(2.1+2.75))*10.764</f>
        <v>402.11613</v>
      </c>
      <c r="E197" s="62">
        <f t="shared" ref="E197:E199" si="10">(1.2*2.75)*10.764</f>
        <v>35.521199999999993</v>
      </c>
      <c r="F197" s="57">
        <f t="shared" ref="F197:F202" si="11">D197*(($F$181)+1)+(IF(E197&lt;101,E197,IF(E197&lt;201,E197/2,IF(E197&lt;=301,E197/3,E197/4))))</f>
        <v>638.69539500000008</v>
      </c>
      <c r="G197" s="116" t="str">
        <f>A196</f>
        <v>3rd, 5th &amp; 7th Floor</v>
      </c>
      <c r="H197" s="117"/>
      <c r="I197" s="33"/>
      <c r="M197" s="42"/>
      <c r="N197" s="42"/>
      <c r="O197" s="52"/>
      <c r="P197" s="52"/>
    </row>
    <row r="198" spans="1:16" s="2" customFormat="1" ht="15.75" customHeight="1" x14ac:dyDescent="0.25">
      <c r="A198" s="110">
        <v>2</v>
      </c>
      <c r="B198" s="111"/>
      <c r="C198" s="89" t="s">
        <v>161</v>
      </c>
      <c r="D198" s="93">
        <f>(28.87+(2.1+2.75)+0.75*(2.1+2.75))*10.764</f>
        <v>402.11613</v>
      </c>
      <c r="E198" s="62">
        <f t="shared" si="10"/>
        <v>35.521199999999993</v>
      </c>
      <c r="F198" s="57">
        <f t="shared" si="11"/>
        <v>638.69539500000008</v>
      </c>
      <c r="G198" s="118"/>
      <c r="H198" s="119"/>
      <c r="I198" s="33"/>
      <c r="M198" s="42"/>
      <c r="N198" s="52"/>
    </row>
    <row r="199" spans="1:16" s="2" customFormat="1" ht="15.75" customHeight="1" x14ac:dyDescent="0.25">
      <c r="A199" s="110">
        <v>3</v>
      </c>
      <c r="B199" s="111"/>
      <c r="C199" s="89" t="s">
        <v>161</v>
      </c>
      <c r="D199" s="93">
        <f>(29.86+(2.1+2.75)+0.75*(2.1+2.75))*10.764</f>
        <v>412.77249</v>
      </c>
      <c r="E199" s="62">
        <f t="shared" si="10"/>
        <v>35.521199999999993</v>
      </c>
      <c r="F199" s="57">
        <f t="shared" si="11"/>
        <v>654.679935</v>
      </c>
      <c r="G199" s="118"/>
      <c r="H199" s="119"/>
      <c r="I199" s="33">
        <f>2902500/F199</f>
        <v>4433.4641170879931</v>
      </c>
      <c r="M199" s="42"/>
      <c r="N199" s="52"/>
    </row>
    <row r="200" spans="1:16" s="2" customFormat="1" ht="15.75" customHeight="1" x14ac:dyDescent="0.25">
      <c r="A200" s="110">
        <v>4</v>
      </c>
      <c r="B200" s="111"/>
      <c r="C200" s="89" t="s">
        <v>162</v>
      </c>
      <c r="D200" s="93">
        <f>(49.51+(2.4+2.9+2.9)+0.75*(2.4+2.9+2.9))*10.764</f>
        <v>687.38903999999991</v>
      </c>
      <c r="E200" s="75">
        <f>(1.2*2.9)*10.764</f>
        <v>37.45872</v>
      </c>
      <c r="F200" s="57">
        <f t="shared" si="11"/>
        <v>1068.5422799999999</v>
      </c>
      <c r="G200" s="118"/>
      <c r="H200" s="119"/>
      <c r="I200" s="33">
        <f>4950000/F200</f>
        <v>4632.4793062938052</v>
      </c>
      <c r="M200" s="42"/>
      <c r="N200" s="52"/>
    </row>
    <row r="201" spans="1:16" s="2" customFormat="1" ht="15.75" customHeight="1" x14ac:dyDescent="0.25">
      <c r="A201" s="110">
        <v>5</v>
      </c>
      <c r="B201" s="111"/>
      <c r="C201" s="89" t="s">
        <v>162</v>
      </c>
      <c r="D201" s="93">
        <f>(48.54+(2.4+2.9+2.9)+0.75*(2.4+2.9+2.9))*10.764</f>
        <v>676.94795999999985</v>
      </c>
      <c r="E201" s="62">
        <f>(1.2*2.9)*10.764</f>
        <v>37.45872</v>
      </c>
      <c r="F201" s="57">
        <f t="shared" si="11"/>
        <v>1052.8806599999998</v>
      </c>
      <c r="G201" s="118"/>
      <c r="H201" s="119"/>
      <c r="I201" s="33"/>
      <c r="M201" s="42"/>
      <c r="N201" s="52"/>
    </row>
    <row r="202" spans="1:16" s="37" customFormat="1" ht="15.75" customHeight="1" x14ac:dyDescent="0.25">
      <c r="A202" s="110">
        <v>6</v>
      </c>
      <c r="B202" s="111"/>
      <c r="C202" s="89" t="s">
        <v>162</v>
      </c>
      <c r="D202" s="93">
        <f>(48.54+(2.4+2.9+2.9)+0.75*(2.4+2.9+2.9))*10.764</f>
        <v>676.94795999999985</v>
      </c>
      <c r="E202" s="75">
        <f>(1.2*2.9)*10.764</f>
        <v>37.45872</v>
      </c>
      <c r="F202" s="57">
        <f t="shared" si="11"/>
        <v>1052.8806599999998</v>
      </c>
      <c r="G202" s="118"/>
      <c r="H202" s="119"/>
      <c r="I202" s="33"/>
      <c r="M202" s="42"/>
      <c r="N202" s="52"/>
    </row>
    <row r="203" spans="1:16" s="63" customFormat="1" ht="15.75" customHeight="1" x14ac:dyDescent="0.25">
      <c r="A203" s="110">
        <v>7</v>
      </c>
      <c r="B203" s="111"/>
      <c r="C203" s="89" t="s">
        <v>162</v>
      </c>
      <c r="D203" s="93">
        <f>(49.67+(2.4+2.9+2.9)+0.75*(2.4+2.9+2.9))*10.764</f>
        <v>689.11128000000008</v>
      </c>
      <c r="E203" s="75">
        <f>(1.2*2.9)*10.764</f>
        <v>37.45872</v>
      </c>
      <c r="F203" s="62">
        <f t="shared" ref="F203" si="12">D203*(($F$181)+1)+(IF(E203&lt;101,E203,IF(E203&lt;201,E203/2,IF(E203&lt;=301,E203/3,E203/4))))</f>
        <v>1071.1256400000002</v>
      </c>
      <c r="G203" s="120"/>
      <c r="H203" s="121"/>
      <c r="I203" s="33"/>
    </row>
    <row r="204" spans="1:16" s="37" customFormat="1" x14ac:dyDescent="0.25">
      <c r="A204" s="123" t="s">
        <v>224</v>
      </c>
      <c r="B204" s="124"/>
      <c r="C204" s="124"/>
      <c r="D204" s="124"/>
      <c r="E204" s="124"/>
      <c r="F204" s="124"/>
      <c r="G204" s="124"/>
      <c r="H204" s="125"/>
      <c r="I204" s="33"/>
      <c r="M204" s="42"/>
      <c r="N204" s="42"/>
      <c r="P204" s="34"/>
    </row>
    <row r="205" spans="1:16" s="37" customFormat="1" x14ac:dyDescent="0.25">
      <c r="A205" s="110">
        <v>1</v>
      </c>
      <c r="B205" s="111"/>
      <c r="C205" s="89" t="s">
        <v>161</v>
      </c>
      <c r="D205" s="93">
        <f>(28.87+(2.1+2.75)+0.75*(2.1+2.75))*10.764</f>
        <v>402.11613</v>
      </c>
      <c r="E205" s="43">
        <f>(1.2*2.75)*10.764</f>
        <v>35.521199999999993</v>
      </c>
      <c r="F205" s="57">
        <f t="shared" ref="F205:F210" si="13">D205*(($F$181)+1)+(IF(E205&lt;101,E205,IF(E205&lt;201,E205/2,IF(E205&lt;=301,E205/3,E205/4))))</f>
        <v>638.69539500000008</v>
      </c>
      <c r="G205" s="116" t="str">
        <f>A204</f>
        <v>4th &amp; 6th Floor</v>
      </c>
      <c r="H205" s="117"/>
      <c r="I205" s="33"/>
      <c r="M205" s="42"/>
      <c r="N205" s="42"/>
      <c r="O205" s="52"/>
      <c r="P205" s="52"/>
    </row>
    <row r="206" spans="1:16" s="37" customFormat="1" x14ac:dyDescent="0.25">
      <c r="A206" s="110">
        <v>2</v>
      </c>
      <c r="B206" s="111"/>
      <c r="C206" s="89" t="s">
        <v>161</v>
      </c>
      <c r="D206" s="93">
        <f>(28.87+(2.1+2.75)+0.75*(2.1+2.75))*10.764</f>
        <v>402.11613</v>
      </c>
      <c r="E206" s="43">
        <f>(1.2*2.75)*10.764</f>
        <v>35.521199999999993</v>
      </c>
      <c r="F206" s="57">
        <f t="shared" si="13"/>
        <v>638.69539500000008</v>
      </c>
      <c r="G206" s="118"/>
      <c r="H206" s="119"/>
      <c r="I206" s="33"/>
      <c r="M206" s="42"/>
      <c r="N206" s="52"/>
    </row>
    <row r="207" spans="1:16" s="37" customFormat="1" x14ac:dyDescent="0.25">
      <c r="A207" s="110">
        <v>3</v>
      </c>
      <c r="B207" s="111"/>
      <c r="C207" s="89" t="s">
        <v>161</v>
      </c>
      <c r="D207" s="93">
        <f>(29.86+(2.1+2.75)+0.75*(2.1+2.75))*10.764</f>
        <v>412.77249</v>
      </c>
      <c r="E207" s="43">
        <f>(1.2*2.75)*10.764</f>
        <v>35.521199999999993</v>
      </c>
      <c r="F207" s="57">
        <f t="shared" si="13"/>
        <v>654.679935</v>
      </c>
      <c r="G207" s="118"/>
      <c r="H207" s="119"/>
      <c r="I207" s="33"/>
      <c r="J207" s="37">
        <f>8*7-5</f>
        <v>51</v>
      </c>
      <c r="M207" s="42"/>
      <c r="N207" s="52"/>
    </row>
    <row r="208" spans="1:16" s="37" customFormat="1" x14ac:dyDescent="0.25">
      <c r="A208" s="110">
        <v>4</v>
      </c>
      <c r="B208" s="111"/>
      <c r="C208" s="89" t="s">
        <v>162</v>
      </c>
      <c r="D208" s="93">
        <f>(49.51+(2.4+2.9+2.9)+0.75*(2.4+2.9+2.9))*10.764</f>
        <v>687.38903999999991</v>
      </c>
      <c r="E208" s="43">
        <f>(1.2*2.9)*10.764</f>
        <v>37.45872</v>
      </c>
      <c r="F208" s="57">
        <f t="shared" si="13"/>
        <v>1068.5422799999999</v>
      </c>
      <c r="G208" s="118"/>
      <c r="H208" s="119"/>
      <c r="I208" s="33"/>
      <c r="M208" s="42"/>
      <c r="N208" s="52"/>
    </row>
    <row r="209" spans="1:14" s="37" customFormat="1" x14ac:dyDescent="0.25">
      <c r="A209" s="110">
        <v>5</v>
      </c>
      <c r="B209" s="111"/>
      <c r="C209" s="89" t="s">
        <v>162</v>
      </c>
      <c r="D209" s="93">
        <f>(48.54+(2.4+2.9+2.9)+0.75*(2.4+2.9+2.9))*10.764</f>
        <v>676.94795999999985</v>
      </c>
      <c r="E209" s="43">
        <f>(1.2*2.9)*10.764</f>
        <v>37.45872</v>
      </c>
      <c r="F209" s="57">
        <f t="shared" si="13"/>
        <v>1052.8806599999998</v>
      </c>
      <c r="G209" s="118"/>
      <c r="H209" s="119"/>
      <c r="I209" s="33"/>
      <c r="M209" s="42"/>
      <c r="N209" s="52"/>
    </row>
    <row r="210" spans="1:14" s="37" customFormat="1" x14ac:dyDescent="0.25">
      <c r="A210" s="110">
        <v>6</v>
      </c>
      <c r="B210" s="111"/>
      <c r="C210" s="89" t="s">
        <v>162</v>
      </c>
      <c r="D210" s="93">
        <f>(48.54+(2.4+2.9+2.9)+0.75*(2.4+2.9+2.9))*10.764</f>
        <v>676.94795999999985</v>
      </c>
      <c r="E210" s="64">
        <f>(1.2*2.9)*10.764</f>
        <v>37.45872</v>
      </c>
      <c r="F210" s="57">
        <f t="shared" si="13"/>
        <v>1052.8806599999998</v>
      </c>
      <c r="G210" s="118"/>
      <c r="H210" s="119"/>
      <c r="I210" s="33"/>
      <c r="M210" s="42"/>
      <c r="N210" s="52"/>
    </row>
    <row r="211" spans="1:14" s="60" customFormat="1" x14ac:dyDescent="0.25">
      <c r="A211" s="110">
        <v>7</v>
      </c>
      <c r="B211" s="111"/>
      <c r="C211" s="89" t="s">
        <v>162</v>
      </c>
      <c r="D211" s="93">
        <f>(49.67+(2.4+2.9+2.9)+0.75*(2.4+2.9+2.9))*10.764</f>
        <v>689.11128000000008</v>
      </c>
      <c r="E211" s="59">
        <f>(1.2*2.9)*10.764</f>
        <v>37.45872</v>
      </c>
      <c r="F211" s="59">
        <f t="shared" ref="F211" si="14">D211*(($F$181)+1)+(IF(E211&lt;101,E211,IF(E211&lt;201,E211/2,IF(E211&lt;=301,E211/3,E211/4))))</f>
        <v>1071.1256400000002</v>
      </c>
      <c r="G211" s="120"/>
      <c r="H211" s="121"/>
      <c r="I211" s="33"/>
    </row>
    <row r="212" spans="1:14" s="4" customFormat="1" x14ac:dyDescent="0.25">
      <c r="A212" s="123" t="s">
        <v>225</v>
      </c>
      <c r="B212" s="124"/>
      <c r="C212" s="124"/>
      <c r="D212" s="124"/>
      <c r="E212" s="124"/>
      <c r="F212" s="124"/>
      <c r="G212" s="124"/>
      <c r="H212" s="125"/>
    </row>
    <row r="213" spans="1:14" s="65" customFormat="1" x14ac:dyDescent="0.25">
      <c r="A213" s="110">
        <v>1</v>
      </c>
      <c r="B213" s="111"/>
      <c r="C213" s="89" t="s">
        <v>161</v>
      </c>
      <c r="D213" s="93">
        <f>(28.87+(2.1+2.75)+0.75*(2.1+2.75))*10.764</f>
        <v>402.11613</v>
      </c>
      <c r="E213" s="89">
        <f>(1.2*2.75)*10.764</f>
        <v>35.521199999999993</v>
      </c>
      <c r="F213" s="89">
        <f t="shared" ref="F213:F219" si="15">D213*(($F$181)+1)+(IF(E213&lt;101,E213,IF(E213&lt;201,E213/2,IF(E213&lt;=301,E213/3,E213/4))))</f>
        <v>638.69539500000008</v>
      </c>
      <c r="G213" s="116" t="str">
        <f>A212</f>
        <v>8th Floor For Part Refuge Area</v>
      </c>
      <c r="H213" s="117"/>
      <c r="I213" s="33"/>
      <c r="L213" s="109"/>
      <c r="M213" s="109"/>
    </row>
    <row r="214" spans="1:14" s="65" customFormat="1" x14ac:dyDescent="0.25">
      <c r="A214" s="110">
        <v>2</v>
      </c>
      <c r="B214" s="111"/>
      <c r="C214" s="89" t="s">
        <v>161</v>
      </c>
      <c r="D214" s="93">
        <f>(28.87+(2.1+2.75)+0.75*(2.1+2.75))*10.764</f>
        <v>402.11613</v>
      </c>
      <c r="E214" s="89">
        <f>(1.2*2.75)*10.764</f>
        <v>35.521199999999993</v>
      </c>
      <c r="F214" s="89">
        <f t="shared" si="15"/>
        <v>638.69539500000008</v>
      </c>
      <c r="G214" s="118"/>
      <c r="H214" s="119"/>
      <c r="I214" s="33"/>
      <c r="N214" s="33"/>
    </row>
    <row r="215" spans="1:14" s="65" customFormat="1" x14ac:dyDescent="0.25">
      <c r="A215" s="110">
        <v>3</v>
      </c>
      <c r="B215" s="111"/>
      <c r="C215" s="89" t="s">
        <v>161</v>
      </c>
      <c r="D215" s="93">
        <f>(29.86+(2.1+2.75)+0.75*(2.1+2.75))*10.764</f>
        <v>412.77249</v>
      </c>
      <c r="E215" s="89">
        <f>(1.2*2.75)*10.764</f>
        <v>35.521199999999993</v>
      </c>
      <c r="F215" s="89">
        <f t="shared" si="15"/>
        <v>654.679935</v>
      </c>
      <c r="G215" s="118"/>
      <c r="H215" s="119"/>
      <c r="I215" s="33"/>
      <c r="N215" s="33"/>
    </row>
    <row r="216" spans="1:14" s="65" customFormat="1" x14ac:dyDescent="0.25">
      <c r="A216" s="110">
        <v>4</v>
      </c>
      <c r="B216" s="111"/>
      <c r="C216" s="110" t="s">
        <v>226</v>
      </c>
      <c r="D216" s="115"/>
      <c r="E216" s="115"/>
      <c r="F216" s="111"/>
      <c r="G216" s="118"/>
      <c r="H216" s="119"/>
      <c r="I216" s="33"/>
      <c r="N216" s="33"/>
    </row>
    <row r="217" spans="1:14" s="65" customFormat="1" x14ac:dyDescent="0.25">
      <c r="A217" s="110">
        <v>5</v>
      </c>
      <c r="B217" s="111"/>
      <c r="C217" s="89" t="s">
        <v>162</v>
      </c>
      <c r="D217" s="93">
        <f>(48.54+(2.4+2.9+2.9)+0.75*(2.4+2.9+2.9))*10.764</f>
        <v>676.94795999999985</v>
      </c>
      <c r="E217" s="89">
        <f>(1.2*2.9)*10.764</f>
        <v>37.45872</v>
      </c>
      <c r="F217" s="89">
        <f t="shared" si="15"/>
        <v>1052.8806599999998</v>
      </c>
      <c r="G217" s="118"/>
      <c r="H217" s="119"/>
      <c r="I217" s="33"/>
      <c r="N217" s="33"/>
    </row>
    <row r="218" spans="1:14" s="65" customFormat="1" x14ac:dyDescent="0.25">
      <c r="A218" s="110">
        <v>6</v>
      </c>
      <c r="B218" s="111"/>
      <c r="C218" s="89" t="s">
        <v>162</v>
      </c>
      <c r="D218" s="93">
        <f>(48.54+(2.4+2.9+2.9)+0.75*(2.4+2.9+2.9))*10.764</f>
        <v>676.94795999999985</v>
      </c>
      <c r="E218" s="89">
        <f>(1.2*2.9)*10.764</f>
        <v>37.45872</v>
      </c>
      <c r="F218" s="89">
        <f t="shared" si="15"/>
        <v>1052.8806599999998</v>
      </c>
      <c r="G218" s="118"/>
      <c r="H218" s="119"/>
      <c r="I218" s="33"/>
      <c r="L218" s="109"/>
      <c r="M218" s="109"/>
    </row>
    <row r="219" spans="1:14" s="65" customFormat="1" x14ac:dyDescent="0.25">
      <c r="A219" s="110">
        <v>7</v>
      </c>
      <c r="B219" s="111"/>
      <c r="C219" s="89" t="s">
        <v>162</v>
      </c>
      <c r="D219" s="93">
        <f>(49.67+(2.4+2.9+2.9)+0.75*(2.4+2.9+2.9))*10.764</f>
        <v>689.11128000000008</v>
      </c>
      <c r="E219" s="89">
        <f>(1.2*2.9)*10.764</f>
        <v>37.45872</v>
      </c>
      <c r="F219" s="89">
        <f t="shared" si="15"/>
        <v>1071.1256400000002</v>
      </c>
      <c r="G219" s="120"/>
      <c r="H219" s="121"/>
      <c r="I219" s="33"/>
      <c r="N219" s="33"/>
    </row>
    <row r="220" spans="1:14" s="65" customFormat="1" x14ac:dyDescent="0.25">
      <c r="A220" s="126" t="s">
        <v>163</v>
      </c>
      <c r="B220" s="126"/>
      <c r="C220" s="126"/>
      <c r="D220" s="126"/>
      <c r="E220" s="126"/>
      <c r="F220" s="126"/>
      <c r="G220" s="126"/>
      <c r="H220" s="126"/>
      <c r="I220" s="94">
        <v>10.763999999999999</v>
      </c>
      <c r="N220" s="33"/>
    </row>
    <row r="221" spans="1:14" s="65" customFormat="1" x14ac:dyDescent="0.25">
      <c r="A221" s="122" t="s">
        <v>227</v>
      </c>
      <c r="B221" s="122"/>
      <c r="C221" s="122"/>
      <c r="D221" s="122"/>
      <c r="E221" s="122"/>
      <c r="F221" s="122"/>
      <c r="G221" s="122"/>
      <c r="H221" s="122"/>
      <c r="I221" s="33"/>
      <c r="N221" s="33"/>
    </row>
    <row r="222" spans="1:14" s="65" customFormat="1" ht="15.75" customHeight="1" x14ac:dyDescent="0.25">
      <c r="A222" s="106">
        <v>1</v>
      </c>
      <c r="B222" s="106"/>
      <c r="C222" s="64" t="s">
        <v>161</v>
      </c>
      <c r="D222" s="94">
        <f>(27.63+(3.1+2.1)+0.75*(2.1+3.1))*10.764</f>
        <v>395.36171999999993</v>
      </c>
      <c r="E222" s="64">
        <f>(1.2*2.75)*10.764</f>
        <v>35.521199999999993</v>
      </c>
      <c r="F222" s="64">
        <f t="shared" ref="F222:F223" si="16">D222*(($F$181)+1)+(IF(E222&lt;101,E222,IF(E222&lt;201,E222/2,IF(E222&lt;=301,E222/3,E222/4))))</f>
        <v>628.56377999999995</v>
      </c>
      <c r="G222" s="116" t="str">
        <f>A221</f>
        <v>1st Floor For Residential</v>
      </c>
      <c r="H222" s="117"/>
      <c r="I222" s="33">
        <f>2.75*4.5+2.1*1.7+3.1*1.7+2*0.6+1.8*1.2+1.2*1.95</f>
        <v>26.914999999999999</v>
      </c>
      <c r="N222" s="33"/>
    </row>
    <row r="223" spans="1:14" s="65" customFormat="1" ht="15.75" customHeight="1" x14ac:dyDescent="0.25">
      <c r="A223" s="106">
        <f>A222+1</f>
        <v>2</v>
      </c>
      <c r="B223" s="106"/>
      <c r="C223" s="64" t="s">
        <v>161</v>
      </c>
      <c r="D223" s="94">
        <f>(27.63+(3.1+2.1)+0.75*(2.1+3.1))*10.764</f>
        <v>395.36171999999993</v>
      </c>
      <c r="E223" s="64">
        <f>(1.2*2.75)*10.764</f>
        <v>35.521199999999993</v>
      </c>
      <c r="F223" s="64">
        <f t="shared" si="16"/>
        <v>628.56377999999995</v>
      </c>
      <c r="G223" s="118"/>
      <c r="H223" s="119"/>
      <c r="I223" s="33"/>
      <c r="L223" s="109"/>
      <c r="M223" s="109"/>
    </row>
    <row r="224" spans="1:14" s="65" customFormat="1" ht="15.75" customHeight="1" x14ac:dyDescent="0.25">
      <c r="A224" s="106">
        <f>A223+1</f>
        <v>3</v>
      </c>
      <c r="B224" s="106"/>
      <c r="C224" s="64" t="s">
        <v>162</v>
      </c>
      <c r="D224" s="94">
        <f>(49.46+(2.4+2.9+2.9))*10.764</f>
        <v>620.65223999999989</v>
      </c>
      <c r="E224" s="64">
        <f>(2.9*1.9+1.2*8.9)*10.764</f>
        <v>174.26915999999997</v>
      </c>
      <c r="F224" s="64">
        <f>D224*(($F$181)+1)+(IF(E224&lt;101,E224,IF(E224&lt;201,E224/2,IF(E224&lt;=301,E224/3,E224/4))))</f>
        <v>1018.1129399999999</v>
      </c>
      <c r="G224" s="118"/>
      <c r="H224" s="119"/>
      <c r="I224" s="33"/>
      <c r="N224" s="33"/>
    </row>
    <row r="225" spans="1:14" s="65" customFormat="1" ht="15.75" customHeight="1" x14ac:dyDescent="0.25">
      <c r="A225" s="106">
        <f>A224+1</f>
        <v>4</v>
      </c>
      <c r="B225" s="106"/>
      <c r="C225" s="64" t="s">
        <v>161</v>
      </c>
      <c r="D225" s="94">
        <f>(29.98+(2.1*1.13+2.75*1.13))*10.764</f>
        <v>381.69682199999994</v>
      </c>
      <c r="E225" s="64">
        <f>(2.75*1.9+1.2*5.3)*10.764</f>
        <v>124.70093999999999</v>
      </c>
      <c r="F225" s="64">
        <f>D225*(($F$181)+1)+(IF(E225&lt;101,E225,IF(E225&lt;201,E225/2,IF(E225&lt;=301,E225/3,E225/4))))</f>
        <v>634.89570299999991</v>
      </c>
      <c r="G225" s="120"/>
      <c r="H225" s="121"/>
      <c r="I225" s="33"/>
      <c r="N225" s="33"/>
    </row>
    <row r="226" spans="1:14" s="65" customFormat="1" x14ac:dyDescent="0.25">
      <c r="A226" s="122" t="s">
        <v>228</v>
      </c>
      <c r="B226" s="122"/>
      <c r="C226" s="122"/>
      <c r="D226" s="122"/>
      <c r="E226" s="122"/>
      <c r="F226" s="122"/>
      <c r="G226" s="122"/>
      <c r="H226" s="122"/>
      <c r="I226" s="33"/>
      <c r="N226" s="33"/>
    </row>
    <row r="227" spans="1:14" s="65" customFormat="1" ht="15.75" customHeight="1" x14ac:dyDescent="0.25">
      <c r="A227" s="106">
        <v>1</v>
      </c>
      <c r="B227" s="106"/>
      <c r="C227" s="91" t="s">
        <v>161</v>
      </c>
      <c r="D227" s="94">
        <f>(27.98+(2.75+2.1)+0.75*(2.1+2.75))*10.764</f>
        <v>392.53616999999997</v>
      </c>
      <c r="E227" s="64">
        <f>(1.2*3.1)*10.764</f>
        <v>40.042079999999991</v>
      </c>
      <c r="F227" s="79">
        <f t="shared" ref="F227:F228" si="17">D227*(($F$181)+1)+(IF(E227&lt;101,E227,IF(E227&lt;201,E227/2,IF(E227&lt;=301,E227/3,E227/4))))</f>
        <v>628.84633499999995</v>
      </c>
      <c r="G227" s="116" t="str">
        <f>A226</f>
        <v>2nd, 4th, 6th &amp; 10th Floor</v>
      </c>
      <c r="H227" s="117"/>
      <c r="I227" s="33"/>
      <c r="N227" s="33"/>
    </row>
    <row r="228" spans="1:14" s="4" customFormat="1" ht="15.75" customHeight="1" x14ac:dyDescent="0.25">
      <c r="A228" s="106">
        <f>A227+1</f>
        <v>2</v>
      </c>
      <c r="B228" s="106"/>
      <c r="C228" s="91" t="s">
        <v>161</v>
      </c>
      <c r="D228" s="94">
        <f>(27.98+(2.75+2.1)+0.75*(2.1+2.75))*10.764</f>
        <v>392.53616999999997</v>
      </c>
      <c r="E228" s="64">
        <f>(1.2*3.1)*10.764</f>
        <v>40.042079999999991</v>
      </c>
      <c r="F228" s="64">
        <f t="shared" si="17"/>
        <v>628.84633499999995</v>
      </c>
      <c r="G228" s="118"/>
      <c r="H228" s="119"/>
    </row>
    <row r="229" spans="1:14" s="4" customFormat="1" ht="15.75" customHeight="1" x14ac:dyDescent="0.25">
      <c r="A229" s="106">
        <f>A228+1</f>
        <v>3</v>
      </c>
      <c r="B229" s="106"/>
      <c r="C229" s="91" t="s">
        <v>162</v>
      </c>
      <c r="D229" s="94">
        <f>(49.46+(2.4+2.9+2.9)+0.75*(2.9+2.9+2.4))*10.764</f>
        <v>686.85083999999995</v>
      </c>
      <c r="E229" s="64">
        <f>(1.2*2.9)*10.764</f>
        <v>37.45872</v>
      </c>
      <c r="F229" s="64">
        <f>D229*(($F$181)+1)+(IF(E229&lt;101,E229,IF(E229&lt;201,E229/2,IF(E229&lt;=301,E229/3,E229/4))))</f>
        <v>1067.73498</v>
      </c>
      <c r="G229" s="118"/>
      <c r="H229" s="119"/>
    </row>
    <row r="230" spans="1:14" s="4" customFormat="1" ht="15.75" customHeight="1" x14ac:dyDescent="0.25">
      <c r="A230" s="106">
        <f>A229+1</f>
        <v>4</v>
      </c>
      <c r="B230" s="106"/>
      <c r="C230" s="91" t="s">
        <v>161</v>
      </c>
      <c r="D230" s="94">
        <f>(29.98+(2.1*1.13+2.75*1.13)+0.75*(2.75+2.1))*10.764</f>
        <v>420.85087199999998</v>
      </c>
      <c r="E230" s="64">
        <f>(1.2*2.75)*10.764</f>
        <v>35.521199999999993</v>
      </c>
      <c r="F230" s="64">
        <f>D230*(($F$181)+1)+(IF(E230&lt;101,E230,IF(E230&lt;201,E230/2,IF(E230&lt;=301,E230/3,E230/4))))</f>
        <v>666.79750799999999</v>
      </c>
      <c r="G230" s="120"/>
      <c r="H230" s="121"/>
    </row>
    <row r="231" spans="1:14" s="65" customFormat="1" x14ac:dyDescent="0.25">
      <c r="A231" s="122" t="s">
        <v>229</v>
      </c>
      <c r="B231" s="122"/>
      <c r="C231" s="122"/>
      <c r="D231" s="122"/>
      <c r="E231" s="122"/>
      <c r="F231" s="122"/>
      <c r="G231" s="122"/>
      <c r="H231" s="122"/>
      <c r="I231" s="33"/>
      <c r="J231" s="65">
        <f>(2.75*4.5+2.1*2.7+3.1*2.7+1.85*1.2+1.2*1.95+2*0.6)</f>
        <v>32.175000000000004</v>
      </c>
      <c r="N231" s="33"/>
    </row>
    <row r="232" spans="1:14" s="4" customFormat="1" ht="15.75" customHeight="1" x14ac:dyDescent="0.25">
      <c r="A232" s="106">
        <v>1</v>
      </c>
      <c r="B232" s="106"/>
      <c r="C232" s="91" t="s">
        <v>161</v>
      </c>
      <c r="D232" s="94">
        <f>(27.63+(3.1+2.1)+0.75*(2.1+3.1))*10.764</f>
        <v>395.36171999999993</v>
      </c>
      <c r="E232" s="64">
        <f>(1.2*2.75)*10.764</f>
        <v>35.521199999999993</v>
      </c>
      <c r="F232" s="79">
        <f t="shared" ref="F232:F233" si="18">D232*(($F$181)+1)+(IF(E232&lt;101,E232,IF(E232&lt;201,E232/2,IF(E232&lt;=301,E232/3,E232/4))))</f>
        <v>628.56377999999995</v>
      </c>
      <c r="G232" s="116" t="str">
        <f>A231</f>
        <v>3rd, 5th, 7th, 9th &amp; 11th Floor</v>
      </c>
      <c r="H232" s="117"/>
    </row>
    <row r="233" spans="1:14" s="4" customFormat="1" ht="15.75" customHeight="1" x14ac:dyDescent="0.25">
      <c r="A233" s="106">
        <f>A232+1</f>
        <v>2</v>
      </c>
      <c r="B233" s="106"/>
      <c r="C233" s="91" t="s">
        <v>161</v>
      </c>
      <c r="D233" s="94">
        <f>(27.63+(3.1+2.1)+0.75*(2.1+3.1))*10.764</f>
        <v>395.36171999999993</v>
      </c>
      <c r="E233" s="64">
        <f>(1.2*2.75)*10.764</f>
        <v>35.521199999999993</v>
      </c>
      <c r="F233" s="64">
        <f t="shared" si="18"/>
        <v>628.56377999999995</v>
      </c>
      <c r="G233" s="118"/>
      <c r="H233" s="119"/>
    </row>
    <row r="234" spans="1:14" s="4" customFormat="1" ht="15.75" customHeight="1" x14ac:dyDescent="0.25">
      <c r="A234" s="106">
        <f>A233+1</f>
        <v>3</v>
      </c>
      <c r="B234" s="106"/>
      <c r="C234" s="91" t="s">
        <v>162</v>
      </c>
      <c r="D234" s="94">
        <f>(49.46+(2.4+2.9+2.9)+0.75*(2.4+2.9+2.9))*10.764</f>
        <v>686.85083999999995</v>
      </c>
      <c r="E234" s="64">
        <f>(1.2*2.9)*10.764</f>
        <v>37.45872</v>
      </c>
      <c r="F234" s="64">
        <f>D234*(($F$181)+1)+(IF(E234&lt;101,E234,IF(E234&lt;201,E234/2,IF(E234&lt;=301,E234/3,E234/4))))</f>
        <v>1067.73498</v>
      </c>
      <c r="G234" s="118"/>
      <c r="H234" s="119"/>
    </row>
    <row r="235" spans="1:14" s="65" customFormat="1" ht="15.75" customHeight="1" x14ac:dyDescent="0.25">
      <c r="A235" s="106">
        <f>A234+1</f>
        <v>4</v>
      </c>
      <c r="B235" s="106"/>
      <c r="C235" s="91" t="s">
        <v>161</v>
      </c>
      <c r="D235" s="94">
        <f>(29.98+(2.1*1.13+2.75*1.13)+0.75*(2.1+2.75))*10.764</f>
        <v>420.85087199999998</v>
      </c>
      <c r="E235" s="64">
        <f>(1.2*2.75)*10.764</f>
        <v>35.521199999999993</v>
      </c>
      <c r="F235" s="64">
        <f>D235*(($F$181)+1)+(IF(E235&lt;101,E235,IF(E235&lt;201,E235/2,IF(E235&lt;=301,E235/3,E235/4))))</f>
        <v>666.79750799999999</v>
      </c>
      <c r="G235" s="120"/>
      <c r="H235" s="121"/>
      <c r="I235" s="33"/>
      <c r="J235" s="65">
        <f>(2.75*4.5+2.1*2.7+3.1*2.7+1.85*1.2+1.2*1.95+2*0.6)</f>
        <v>32.175000000000004</v>
      </c>
      <c r="N235" s="33"/>
    </row>
    <row r="236" spans="1:14" s="1" customFormat="1" x14ac:dyDescent="0.25">
      <c r="A236" s="122" t="s">
        <v>230</v>
      </c>
      <c r="B236" s="122"/>
      <c r="C236" s="122"/>
      <c r="D236" s="122"/>
      <c r="E236" s="122"/>
      <c r="F236" s="122"/>
      <c r="G236" s="122"/>
      <c r="H236" s="122"/>
    </row>
    <row r="237" spans="1:14" s="1" customFormat="1" x14ac:dyDescent="0.25">
      <c r="A237" s="106">
        <v>1</v>
      </c>
      <c r="B237" s="106"/>
      <c r="C237" s="99" t="s">
        <v>161</v>
      </c>
      <c r="D237" s="94">
        <f>(27.98+(2.75+2.1)+0.75*(2.1+2.75))*10.764</f>
        <v>392.53616999999997</v>
      </c>
      <c r="E237" s="99">
        <f>(1.2*3.1)*10.764</f>
        <v>40.042079999999991</v>
      </c>
      <c r="F237" s="99">
        <f t="shared" ref="F237:F238" si="19">D237*(($F$181)+1)+(IF(E237&lt;101,E237,IF(E237&lt;201,E237/2,IF(E237&lt;=301,E237/3,E237/4))))</f>
        <v>628.84633499999995</v>
      </c>
      <c r="G237" s="106" t="str">
        <f>A236</f>
        <v>8th Floor Part Refuge Area &amp; Society Office</v>
      </c>
      <c r="H237" s="106"/>
    </row>
    <row r="238" spans="1:14" s="1" customFormat="1" x14ac:dyDescent="0.25">
      <c r="A238" s="106">
        <f>A237+1</f>
        <v>2</v>
      </c>
      <c r="B238" s="106"/>
      <c r="C238" s="99" t="s">
        <v>161</v>
      </c>
      <c r="D238" s="94">
        <f>(27.98+(2.75+2.1)+0.75*(2.1+2.75))*10.764</f>
        <v>392.53616999999997</v>
      </c>
      <c r="E238" s="99">
        <f>(1.2*3.1)*10.764</f>
        <v>40.042079999999991</v>
      </c>
      <c r="F238" s="99">
        <f t="shared" si="19"/>
        <v>628.84633499999995</v>
      </c>
      <c r="G238" s="106"/>
      <c r="H238" s="106"/>
    </row>
    <row r="239" spans="1:14" s="1" customFormat="1" x14ac:dyDescent="0.25">
      <c r="A239" s="106">
        <f>A238+1</f>
        <v>3</v>
      </c>
      <c r="B239" s="106"/>
      <c r="C239" s="99" t="s">
        <v>162</v>
      </c>
      <c r="D239" s="94">
        <f>(49.46+(2.4+2.9+2.9)+0.75*(2.9+2.9+2.4))*10.764</f>
        <v>686.85083999999995</v>
      </c>
      <c r="E239" s="99">
        <f>(1.2*2.9)*10.764</f>
        <v>37.45872</v>
      </c>
      <c r="F239" s="99">
        <f>D239*(($F$181)+1)+(IF(E239&lt;101,E239,IF(E239&lt;201,E239/2,IF(E239&lt;=301,E239/3,E239/4))))</f>
        <v>1067.73498</v>
      </c>
      <c r="G239" s="106"/>
      <c r="H239" s="106"/>
    </row>
    <row r="240" spans="1:14" s="1" customFormat="1" x14ac:dyDescent="0.25">
      <c r="A240" s="106">
        <f>A239+1</f>
        <v>4</v>
      </c>
      <c r="B240" s="106"/>
      <c r="C240" s="106" t="s">
        <v>231</v>
      </c>
      <c r="D240" s="106"/>
      <c r="E240" s="106"/>
      <c r="F240" s="106"/>
      <c r="G240" s="106"/>
      <c r="H240" s="106"/>
    </row>
    <row r="241" spans="1:8" s="1" customFormat="1" x14ac:dyDescent="0.25">
      <c r="A241" s="126" t="s">
        <v>166</v>
      </c>
      <c r="B241" s="126"/>
      <c r="C241" s="126"/>
      <c r="D241" s="126"/>
      <c r="E241" s="126"/>
      <c r="F241" s="126"/>
      <c r="G241" s="126"/>
      <c r="H241" s="126"/>
    </row>
    <row r="242" spans="1:8" s="1" customFormat="1" x14ac:dyDescent="0.25">
      <c r="A242" s="126" t="s">
        <v>232</v>
      </c>
      <c r="B242" s="126"/>
      <c r="C242" s="126"/>
      <c r="D242" s="126"/>
      <c r="E242" s="126"/>
      <c r="F242" s="126"/>
      <c r="G242" s="126"/>
      <c r="H242" s="126"/>
    </row>
    <row r="243" spans="1:8" s="1" customFormat="1" x14ac:dyDescent="0.25">
      <c r="A243" s="126" t="s">
        <v>233</v>
      </c>
      <c r="B243" s="126"/>
      <c r="C243" s="126"/>
      <c r="D243" s="126"/>
      <c r="E243" s="126"/>
      <c r="F243" s="126"/>
      <c r="G243" s="126"/>
      <c r="H243" s="126"/>
    </row>
    <row r="244" spans="1:8" s="1" customFormat="1" x14ac:dyDescent="0.25">
      <c r="A244" s="106">
        <v>1</v>
      </c>
      <c r="B244" s="106"/>
      <c r="C244" s="64" t="s">
        <v>165</v>
      </c>
      <c r="D244" s="64">
        <f>(4.75*3.25+3.15*1.8+1.4*1.95+2.55*1.2+4.75*1.25+4.7*2.75+4.7*2.9+2.55*1.2+2.55*1.2+4.7*2.75+4.7*2.9+2.55*1.2+2.55*1.2+0.6*4.75+2.55*2.8)*10.764</f>
        <v>1164.3956999999998</v>
      </c>
      <c r="E244" s="64">
        <v>0</v>
      </c>
      <c r="F244" s="64">
        <f>D244*(($F$181)+1)+(IF(E244&lt;101,E244,IF(E244&lt;201,E244/2,IF(E244&lt;=301,E244/3,E244/4))))</f>
        <v>1746.5935499999996</v>
      </c>
      <c r="G244" s="106" t="str">
        <f>A243</f>
        <v>1st + 2nd + 3rd Floor For Residential</v>
      </c>
      <c r="H244" s="106"/>
    </row>
    <row r="245" spans="1:8" s="1" customFormat="1" x14ac:dyDescent="0.25">
      <c r="A245" s="126" t="s">
        <v>167</v>
      </c>
      <c r="B245" s="126"/>
      <c r="C245" s="126"/>
      <c r="D245" s="126"/>
      <c r="E245" s="126"/>
      <c r="F245" s="126"/>
      <c r="G245" s="126"/>
      <c r="H245" s="126"/>
    </row>
    <row r="246" spans="1:8" s="1" customFormat="1" x14ac:dyDescent="0.25">
      <c r="A246" s="126" t="s">
        <v>232</v>
      </c>
      <c r="B246" s="126"/>
      <c r="C246" s="126"/>
      <c r="D246" s="126"/>
      <c r="E246" s="126"/>
      <c r="F246" s="126"/>
      <c r="G246" s="126"/>
      <c r="H246" s="126"/>
    </row>
    <row r="247" spans="1:8" s="1" customFormat="1" x14ac:dyDescent="0.25">
      <c r="A247" s="126" t="s">
        <v>233</v>
      </c>
      <c r="B247" s="126"/>
      <c r="C247" s="126"/>
      <c r="D247" s="126"/>
      <c r="E247" s="126"/>
      <c r="F247" s="126"/>
      <c r="G247" s="126"/>
      <c r="H247" s="126"/>
    </row>
    <row r="248" spans="1:8" x14ac:dyDescent="0.25">
      <c r="A248" s="106">
        <v>1</v>
      </c>
      <c r="B248" s="106"/>
      <c r="C248" s="64" t="s">
        <v>165</v>
      </c>
      <c r="D248" s="75">
        <f>(4.75*3.25+3.15*1.8+1.4*1.95+2.55*1.2+4.75*1.25+4.7*2.75+4.7*2.9+2.55*1.2+2.55*1.2+4.7*2.75+4.7*2.9+2.55*1.2+2.55*1.2+0.6*4.75+2.55*2.8)*10.764</f>
        <v>1164.3956999999998</v>
      </c>
      <c r="E248" s="64">
        <v>0</v>
      </c>
      <c r="F248" s="64">
        <f t="shared" ref="F248" si="20">D248*(($F$181)+1)+(IF(E248&lt;101,E248,IF(E248&lt;201,E248/2,IF(E248&lt;=301,E248/3,E248/4))))</f>
        <v>1746.5935499999996</v>
      </c>
      <c r="G248" s="106" t="str">
        <f>A247</f>
        <v>1st + 2nd + 3rd Floor For Residential</v>
      </c>
      <c r="H248" s="106"/>
    </row>
    <row r="249" spans="1:8" x14ac:dyDescent="0.25">
      <c r="A249" s="195" t="s">
        <v>68</v>
      </c>
      <c r="B249" s="195"/>
      <c r="C249" s="195"/>
      <c r="D249" s="195"/>
      <c r="E249" s="195"/>
      <c r="F249" s="195"/>
      <c r="G249" s="195"/>
      <c r="H249" s="195"/>
    </row>
    <row r="250" spans="1:8" ht="37.5" customHeight="1" x14ac:dyDescent="0.25">
      <c r="A250" s="58" t="s">
        <v>153</v>
      </c>
      <c r="B250" s="103" t="s">
        <v>251</v>
      </c>
      <c r="C250" s="104"/>
      <c r="D250" s="104"/>
      <c r="E250" s="104"/>
      <c r="F250" s="104"/>
      <c r="G250" s="104"/>
      <c r="H250" s="105"/>
    </row>
    <row r="251" spans="1:8" x14ac:dyDescent="0.25">
      <c r="A251" s="58" t="s">
        <v>153</v>
      </c>
      <c r="B251" s="103" t="str">
        <f>(IF(F180="Saleable area Loading :","We have considered Saleable area of Flats as per our Calculation.","We considered Saleable area of Flat as per Builder area Sheet."))</f>
        <v>We have considered Saleable area of Flats as per our Calculation.</v>
      </c>
      <c r="C251" s="104"/>
      <c r="D251" s="104"/>
      <c r="E251" s="104"/>
      <c r="F251" s="104"/>
      <c r="G251" s="104"/>
      <c r="H251" s="105"/>
    </row>
    <row r="252" spans="1:8" x14ac:dyDescent="0.25">
      <c r="A252" s="58" t="s">
        <v>153</v>
      </c>
      <c r="B252" s="103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2" s="104"/>
      <c r="D252" s="104"/>
      <c r="E252" s="104"/>
      <c r="F252" s="104"/>
      <c r="G252" s="104"/>
      <c r="H252" s="105"/>
    </row>
    <row r="253" spans="1:8" x14ac:dyDescent="0.25">
      <c r="A253" s="58" t="s">
        <v>153</v>
      </c>
      <c r="B253" s="103" t="s">
        <v>122</v>
      </c>
      <c r="C253" s="104"/>
      <c r="D253" s="104"/>
      <c r="E253" s="104"/>
      <c r="F253" s="104"/>
      <c r="G253" s="104"/>
      <c r="H253" s="105"/>
    </row>
    <row r="254" spans="1:8" x14ac:dyDescent="0.25">
      <c r="A254" s="58" t="s">
        <v>153</v>
      </c>
      <c r="B254" s="175" t="s">
        <v>239</v>
      </c>
      <c r="C254" s="176"/>
      <c r="D254" s="176"/>
      <c r="E254" s="176"/>
      <c r="F254" s="176"/>
      <c r="G254" s="176"/>
      <c r="H254" s="177"/>
    </row>
    <row r="255" spans="1:8" x14ac:dyDescent="0.25">
      <c r="A255" s="58" t="s">
        <v>153</v>
      </c>
      <c r="B255" s="175" t="s">
        <v>152</v>
      </c>
      <c r="C255" s="176"/>
      <c r="D255" s="176"/>
      <c r="E255" s="176"/>
      <c r="F255" s="176"/>
      <c r="G255" s="176"/>
      <c r="H255" s="177"/>
    </row>
    <row r="256" spans="1:8" x14ac:dyDescent="0.25">
      <c r="A256" s="58" t="s">
        <v>153</v>
      </c>
      <c r="B256" s="175" t="s">
        <v>123</v>
      </c>
      <c r="C256" s="176"/>
      <c r="D256" s="176"/>
      <c r="E256" s="176"/>
      <c r="F256" s="176"/>
      <c r="G256" s="176"/>
      <c r="H256" s="177"/>
    </row>
    <row r="257" spans="1:15" ht="33.75" customHeight="1" x14ac:dyDescent="0.25">
      <c r="A257" s="61" t="s">
        <v>153</v>
      </c>
      <c r="B257" s="175" t="s">
        <v>156</v>
      </c>
      <c r="C257" s="176"/>
      <c r="D257" s="176"/>
      <c r="E257" s="176"/>
      <c r="F257" s="176"/>
      <c r="G257" s="176"/>
      <c r="H257" s="177"/>
    </row>
    <row r="258" spans="1:15" x14ac:dyDescent="0.25">
      <c r="A258" s="58" t="s">
        <v>153</v>
      </c>
      <c r="B258" s="175" t="s">
        <v>124</v>
      </c>
      <c r="C258" s="176"/>
      <c r="D258" s="176"/>
      <c r="E258" s="176"/>
      <c r="F258" s="176"/>
      <c r="G258" s="176"/>
      <c r="H258" s="177"/>
      <c r="I258" s="103" t="s">
        <v>202</v>
      </c>
      <c r="J258" s="104"/>
      <c r="K258" s="104"/>
      <c r="L258" s="104"/>
      <c r="M258" s="104"/>
      <c r="N258" s="104"/>
      <c r="O258" s="105"/>
    </row>
    <row r="259" spans="1:15" x14ac:dyDescent="0.25">
      <c r="A259" s="102" t="s">
        <v>153</v>
      </c>
      <c r="B259" s="103" t="s">
        <v>240</v>
      </c>
      <c r="C259" s="104"/>
      <c r="D259" s="104"/>
      <c r="E259" s="104"/>
      <c r="F259" s="104"/>
      <c r="G259" s="104"/>
      <c r="H259" s="105"/>
    </row>
    <row r="260" spans="1:15" ht="30.75" customHeight="1" x14ac:dyDescent="0.25">
      <c r="A260" s="97" t="s">
        <v>153</v>
      </c>
      <c r="B260" s="103" t="s">
        <v>249</v>
      </c>
      <c r="C260" s="104"/>
      <c r="D260" s="104"/>
      <c r="E260" s="104"/>
      <c r="F260" s="104"/>
      <c r="G260" s="104"/>
      <c r="H260" s="105"/>
    </row>
    <row r="261" spans="1:15" x14ac:dyDescent="0.25">
      <c r="A261" s="178" t="s">
        <v>61</v>
      </c>
      <c r="B261" s="178"/>
      <c r="C261" s="178"/>
      <c r="D261" s="178"/>
      <c r="E261" s="178"/>
      <c r="F261" s="178"/>
      <c r="G261" s="178"/>
      <c r="H261" s="178"/>
    </row>
    <row r="262" spans="1:15" x14ac:dyDescent="0.25">
      <c r="A262" s="161" t="s">
        <v>62</v>
      </c>
      <c r="B262" s="161"/>
      <c r="C262" s="161"/>
      <c r="D262" s="161"/>
      <c r="E262" s="161"/>
      <c r="F262" s="161"/>
      <c r="G262" s="161"/>
      <c r="H262" s="161"/>
    </row>
    <row r="263" spans="1:15" ht="15" customHeight="1" x14ac:dyDescent="0.25">
      <c r="A263" s="162" t="s">
        <v>63</v>
      </c>
      <c r="B263" s="162"/>
      <c r="C263" s="162"/>
      <c r="D263" s="162"/>
      <c r="E263" s="162"/>
      <c r="F263" s="162"/>
      <c r="G263" s="162"/>
      <c r="H263" s="162"/>
    </row>
    <row r="264" spans="1:15" x14ac:dyDescent="0.25">
      <c r="A264" s="161" t="s">
        <v>64</v>
      </c>
      <c r="B264" s="161"/>
      <c r="C264" s="161"/>
      <c r="D264" s="161"/>
      <c r="E264" s="161"/>
      <c r="F264" s="161"/>
      <c r="G264" s="161"/>
      <c r="H264" s="161"/>
    </row>
    <row r="265" spans="1:15" x14ac:dyDescent="0.25">
      <c r="A265" s="161" t="s">
        <v>65</v>
      </c>
      <c r="B265" s="161"/>
      <c r="C265" s="161"/>
      <c r="D265" s="161"/>
      <c r="E265" s="161"/>
      <c r="F265" s="161"/>
      <c r="G265" s="161"/>
      <c r="H265" s="161"/>
    </row>
    <row r="266" spans="1:15" x14ac:dyDescent="0.25">
      <c r="A266" s="161" t="s">
        <v>125</v>
      </c>
      <c r="B266" s="161"/>
      <c r="C266" s="161"/>
      <c r="D266" s="161"/>
      <c r="E266" s="161"/>
      <c r="F266" s="161"/>
      <c r="G266" s="161"/>
      <c r="H266" s="161"/>
    </row>
    <row r="267" spans="1:15" ht="33" customHeight="1" x14ac:dyDescent="0.25">
      <c r="A267" s="194" t="s">
        <v>126</v>
      </c>
      <c r="B267" s="194"/>
      <c r="C267" s="194"/>
      <c r="D267" s="194"/>
      <c r="E267" s="194"/>
      <c r="F267" s="194"/>
      <c r="G267" s="194"/>
      <c r="H267" s="194"/>
    </row>
    <row r="268" spans="1:15" ht="16.5" customHeight="1" x14ac:dyDescent="0.25">
      <c r="A268" s="193" t="s">
        <v>77</v>
      </c>
      <c r="B268" s="193"/>
      <c r="C268" s="193" t="s">
        <v>185</v>
      </c>
      <c r="D268" s="193"/>
      <c r="E268" s="193" t="s">
        <v>103</v>
      </c>
      <c r="F268" s="193"/>
      <c r="G268" s="193" t="s">
        <v>250</v>
      </c>
      <c r="H268" s="193"/>
      <c r="M268" s="98" t="s">
        <v>247</v>
      </c>
    </row>
    <row r="269" spans="1:15" x14ac:dyDescent="0.25">
      <c r="A269" s="192" t="s">
        <v>78</v>
      </c>
      <c r="B269" s="192"/>
      <c r="C269" s="192"/>
      <c r="D269" s="192"/>
      <c r="E269" s="192"/>
      <c r="F269" s="192"/>
      <c r="G269" s="192"/>
      <c r="H269" s="192"/>
    </row>
    <row r="270" spans="1:15" x14ac:dyDescent="0.25">
      <c r="A270" s="192"/>
      <c r="B270" s="192"/>
      <c r="C270" s="192"/>
      <c r="D270" s="192"/>
      <c r="E270" s="192"/>
      <c r="F270" s="192"/>
      <c r="G270" s="192"/>
      <c r="H270" s="192"/>
    </row>
    <row r="271" spans="1:15" x14ac:dyDescent="0.25">
      <c r="A271" s="192"/>
      <c r="B271" s="192"/>
      <c r="C271" s="192"/>
      <c r="D271" s="192"/>
      <c r="E271" s="192"/>
      <c r="F271" s="192"/>
      <c r="G271" s="192"/>
      <c r="H271" s="192"/>
    </row>
    <row r="272" spans="1:15" ht="6.75" customHeight="1" x14ac:dyDescent="0.25">
      <c r="A272" s="192"/>
      <c r="B272" s="192"/>
      <c r="C272" s="192"/>
      <c r="D272" s="192"/>
      <c r="E272" s="192"/>
      <c r="F272" s="192"/>
      <c r="G272" s="192"/>
      <c r="H272" s="192"/>
    </row>
    <row r="273" spans="1:8" x14ac:dyDescent="0.25">
      <c r="A273" s="8" t="s">
        <v>66</v>
      </c>
      <c r="B273" s="9"/>
      <c r="C273" s="9"/>
      <c r="D273" s="8" t="str">
        <f>E8</f>
        <v>Signature Heights</v>
      </c>
      <c r="F273" s="9"/>
      <c r="G273" s="9"/>
      <c r="H273" s="9"/>
    </row>
    <row r="274" spans="1:8" x14ac:dyDescent="0.25">
      <c r="A274" s="9"/>
      <c r="B274" s="9"/>
      <c r="C274" s="9"/>
      <c r="D274" s="9"/>
      <c r="E274" s="9"/>
      <c r="F274" s="9"/>
      <c r="G274" s="9"/>
      <c r="H274" s="9"/>
    </row>
    <row r="275" spans="1:8" x14ac:dyDescent="0.25">
      <c r="A275" s="9"/>
      <c r="B275" s="9"/>
      <c r="C275" s="9"/>
      <c r="D275" s="9"/>
      <c r="E275" s="9"/>
      <c r="F275" s="9"/>
      <c r="G275" s="9"/>
      <c r="H275" s="9"/>
    </row>
    <row r="308" spans="1:9" x14ac:dyDescent="0.25">
      <c r="I308"/>
    </row>
    <row r="310" spans="1:9" x14ac:dyDescent="0.25">
      <c r="I310"/>
    </row>
    <row r="317" spans="1:9" x14ac:dyDescent="0.25">
      <c r="A317" s="11" t="s">
        <v>209</v>
      </c>
    </row>
    <row r="361" spans="1:1" x14ac:dyDescent="0.25">
      <c r="A361" s="11" t="s">
        <v>67</v>
      </c>
    </row>
    <row r="377" spans="8:8" x14ac:dyDescent="0.25">
      <c r="H377" s="10" t="s">
        <v>192</v>
      </c>
    </row>
  </sheetData>
  <mergeCells count="470">
    <mergeCell ref="B259:H259"/>
    <mergeCell ref="A49:B49"/>
    <mergeCell ref="C49:E49"/>
    <mergeCell ref="G49:H49"/>
    <mergeCell ref="I258:O258"/>
    <mergeCell ref="C36:H36"/>
    <mergeCell ref="A83:B83"/>
    <mergeCell ref="C83:H83"/>
    <mergeCell ref="A84:B84"/>
    <mergeCell ref="A248:B248"/>
    <mergeCell ref="G248:H248"/>
    <mergeCell ref="A245:H245"/>
    <mergeCell ref="E129:F129"/>
    <mergeCell ref="G129:H129"/>
    <mergeCell ref="C51:H51"/>
    <mergeCell ref="A128:B128"/>
    <mergeCell ref="C128:D128"/>
    <mergeCell ref="E128:F128"/>
    <mergeCell ref="G128:H128"/>
    <mergeCell ref="F114:H114"/>
    <mergeCell ref="G205:H211"/>
    <mergeCell ref="A212:H212"/>
    <mergeCell ref="A213:B213"/>
    <mergeCell ref="G213:H219"/>
    <mergeCell ref="B134:B135"/>
    <mergeCell ref="A134:A135"/>
    <mergeCell ref="E125:F125"/>
    <mergeCell ref="E119:F119"/>
    <mergeCell ref="A132:H132"/>
    <mergeCell ref="A119:B119"/>
    <mergeCell ref="C119:D119"/>
    <mergeCell ref="A133:H133"/>
    <mergeCell ref="G119:H119"/>
    <mergeCell ref="C120:D120"/>
    <mergeCell ref="E120:F120"/>
    <mergeCell ref="C121:D121"/>
    <mergeCell ref="E121:F121"/>
    <mergeCell ref="G121:H121"/>
    <mergeCell ref="A131:B131"/>
    <mergeCell ref="C131:D131"/>
    <mergeCell ref="E131:F131"/>
    <mergeCell ref="G131:H131"/>
    <mergeCell ref="C129:D129"/>
    <mergeCell ref="A123:B123"/>
    <mergeCell ref="C123:D123"/>
    <mergeCell ref="E123:F123"/>
    <mergeCell ref="G123:H123"/>
    <mergeCell ref="L223:M223"/>
    <mergeCell ref="A232:B232"/>
    <mergeCell ref="A233:B233"/>
    <mergeCell ref="A234:B234"/>
    <mergeCell ref="A235:B235"/>
    <mergeCell ref="L218:M218"/>
    <mergeCell ref="A227:B227"/>
    <mergeCell ref="A228:B228"/>
    <mergeCell ref="A229:B229"/>
    <mergeCell ref="A219:B219"/>
    <mergeCell ref="A201:B201"/>
    <mergeCell ref="A202:B202"/>
    <mergeCell ref="A197:B197"/>
    <mergeCell ref="A182:H182"/>
    <mergeCell ref="L172:M172"/>
    <mergeCell ref="A180:A181"/>
    <mergeCell ref="L173:M173"/>
    <mergeCell ref="L174:M174"/>
    <mergeCell ref="A218:B218"/>
    <mergeCell ref="G197:H203"/>
    <mergeCell ref="L213:M213"/>
    <mergeCell ref="A178:B178"/>
    <mergeCell ref="A215:B215"/>
    <mergeCell ref="A216:B216"/>
    <mergeCell ref="A217:B217"/>
    <mergeCell ref="A185:B185"/>
    <mergeCell ref="A176:B176"/>
    <mergeCell ref="L176:M176"/>
    <mergeCell ref="A177:B177"/>
    <mergeCell ref="L177:M177"/>
    <mergeCell ref="A199:B199"/>
    <mergeCell ref="A194:B194"/>
    <mergeCell ref="G172:H178"/>
    <mergeCell ref="A187:B187"/>
    <mergeCell ref="A214:B214"/>
    <mergeCell ref="C180:C181"/>
    <mergeCell ref="B257:H257"/>
    <mergeCell ref="A46:B46"/>
    <mergeCell ref="C46:H46"/>
    <mergeCell ref="B255:H255"/>
    <mergeCell ref="A100:B100"/>
    <mergeCell ref="A101:B101"/>
    <mergeCell ref="G85:H94"/>
    <mergeCell ref="A86:B86"/>
    <mergeCell ref="A87:B87"/>
    <mergeCell ref="A88:B88"/>
    <mergeCell ref="F113:H113"/>
    <mergeCell ref="A113:E113"/>
    <mergeCell ref="D134:D135"/>
    <mergeCell ref="A144:B144"/>
    <mergeCell ref="A138:B138"/>
    <mergeCell ref="A139:B139"/>
    <mergeCell ref="A140:B140"/>
    <mergeCell ref="A141:B141"/>
    <mergeCell ref="A142:B142"/>
    <mergeCell ref="A186:B186"/>
    <mergeCell ref="A114:E114"/>
    <mergeCell ref="A193:B193"/>
    <mergeCell ref="A247:H247"/>
    <mergeCell ref="A170:H170"/>
    <mergeCell ref="B256:H256"/>
    <mergeCell ref="B252:H252"/>
    <mergeCell ref="A207:B207"/>
    <mergeCell ref="A204:H204"/>
    <mergeCell ref="A205:B205"/>
    <mergeCell ref="A206:B206"/>
    <mergeCell ref="A209:B209"/>
    <mergeCell ref="A210:B210"/>
    <mergeCell ref="A208:B208"/>
    <mergeCell ref="B250:H250"/>
    <mergeCell ref="B251:H251"/>
    <mergeCell ref="B253:H253"/>
    <mergeCell ref="A230:B230"/>
    <mergeCell ref="A224:B224"/>
    <mergeCell ref="A220:H220"/>
    <mergeCell ref="A226:H226"/>
    <mergeCell ref="A221:H221"/>
    <mergeCell ref="A222:B222"/>
    <mergeCell ref="A241:H241"/>
    <mergeCell ref="A242:H242"/>
    <mergeCell ref="A244:B244"/>
    <mergeCell ref="G244:H244"/>
    <mergeCell ref="A231:H231"/>
    <mergeCell ref="C216:F216"/>
    <mergeCell ref="A32:B32"/>
    <mergeCell ref="C32:E32"/>
    <mergeCell ref="A35:H35"/>
    <mergeCell ref="A34:B34"/>
    <mergeCell ref="A38:H38"/>
    <mergeCell ref="C34:E34"/>
    <mergeCell ref="A77:B77"/>
    <mergeCell ref="A192:B192"/>
    <mergeCell ref="A198:B198"/>
    <mergeCell ref="A78:B78"/>
    <mergeCell ref="C126:D126"/>
    <mergeCell ref="E126:F126"/>
    <mergeCell ref="G126:H126"/>
    <mergeCell ref="A110:E110"/>
    <mergeCell ref="A95:B95"/>
    <mergeCell ref="C95:H95"/>
    <mergeCell ref="A137:H137"/>
    <mergeCell ref="E134:E135"/>
    <mergeCell ref="G134:H135"/>
    <mergeCell ref="A85:B85"/>
    <mergeCell ref="E85:F94"/>
    <mergeCell ref="A92:B92"/>
    <mergeCell ref="A93:B93"/>
    <mergeCell ref="C33:E33"/>
    <mergeCell ref="A28:D28"/>
    <mergeCell ref="E28:H28"/>
    <mergeCell ref="A29:D29"/>
    <mergeCell ref="E29:H29"/>
    <mergeCell ref="A25:D25"/>
    <mergeCell ref="E25:H25"/>
    <mergeCell ref="A111:E111"/>
    <mergeCell ref="F111:H111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E42:H42"/>
    <mergeCell ref="E43:H43"/>
    <mergeCell ref="E44:H44"/>
    <mergeCell ref="A42:D42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1:D11"/>
    <mergeCell ref="E11:H11"/>
    <mergeCell ref="A5:D5"/>
    <mergeCell ref="E5:H5"/>
    <mergeCell ref="A6:D6"/>
    <mergeCell ref="E6:H6"/>
    <mergeCell ref="A7:D7"/>
    <mergeCell ref="A41:D41"/>
    <mergeCell ref="E41:H41"/>
    <mergeCell ref="E7:H7"/>
    <mergeCell ref="A15:B15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43:D43"/>
    <mergeCell ref="A44:D44"/>
    <mergeCell ref="A45:H45"/>
    <mergeCell ref="D63:H63"/>
    <mergeCell ref="A66:C66"/>
    <mergeCell ref="D66:H66"/>
    <mergeCell ref="A64:C64"/>
    <mergeCell ref="D64:H64"/>
    <mergeCell ref="A60:C60"/>
    <mergeCell ref="A61:C61"/>
    <mergeCell ref="D60:H60"/>
    <mergeCell ref="D61:H61"/>
    <mergeCell ref="C52:E52"/>
    <mergeCell ref="A48:B48"/>
    <mergeCell ref="A53:H53"/>
    <mergeCell ref="A54:C54"/>
    <mergeCell ref="A55:C55"/>
    <mergeCell ref="D55:H55"/>
    <mergeCell ref="G52:H52"/>
    <mergeCell ref="D59:H59"/>
    <mergeCell ref="A62:C62"/>
    <mergeCell ref="D62:H62"/>
    <mergeCell ref="A63:C63"/>
    <mergeCell ref="C47:E47"/>
    <mergeCell ref="A269:H272"/>
    <mergeCell ref="A268:B268"/>
    <mergeCell ref="E268:F268"/>
    <mergeCell ref="C268:D268"/>
    <mergeCell ref="G268:H268"/>
    <mergeCell ref="A118:H118"/>
    <mergeCell ref="A116:E116"/>
    <mergeCell ref="F116:H116"/>
    <mergeCell ref="A117:E117"/>
    <mergeCell ref="F117:H117"/>
    <mergeCell ref="A183:H183"/>
    <mergeCell ref="A126:B126"/>
    <mergeCell ref="A191:B191"/>
    <mergeCell ref="A264:H264"/>
    <mergeCell ref="A124:H124"/>
    <mergeCell ref="A267:H267"/>
    <mergeCell ref="A265:H265"/>
    <mergeCell ref="A249:H249"/>
    <mergeCell ref="C134:C135"/>
    <mergeCell ref="B180:B181"/>
    <mergeCell ref="A196:H196"/>
    <mergeCell ref="A188:H188"/>
    <mergeCell ref="A262:H262"/>
    <mergeCell ref="A129:B129"/>
    <mergeCell ref="A127:B127"/>
    <mergeCell ref="C127:D127"/>
    <mergeCell ref="E127:F127"/>
    <mergeCell ref="G127:H127"/>
    <mergeCell ref="C125:D125"/>
    <mergeCell ref="G125:H125"/>
    <mergeCell ref="A67:B67"/>
    <mergeCell ref="C67:H67"/>
    <mergeCell ref="A75:B75"/>
    <mergeCell ref="E71:F80"/>
    <mergeCell ref="E84:F84"/>
    <mergeCell ref="G84:H84"/>
    <mergeCell ref="F112:H112"/>
    <mergeCell ref="A102:B102"/>
    <mergeCell ref="A103:B103"/>
    <mergeCell ref="A104:B104"/>
    <mergeCell ref="A106:B106"/>
    <mergeCell ref="A107:B107"/>
    <mergeCell ref="A112:E112"/>
    <mergeCell ref="C97:H97"/>
    <mergeCell ref="A98:B98"/>
    <mergeCell ref="E98:F98"/>
    <mergeCell ref="G98:H98"/>
    <mergeCell ref="A99:B99"/>
    <mergeCell ref="E99:F108"/>
    <mergeCell ref="G99:H108"/>
    <mergeCell ref="A94:B94"/>
    <mergeCell ref="A97:B97"/>
    <mergeCell ref="A79:B79"/>
    <mergeCell ref="A80:B80"/>
    <mergeCell ref="A115:E115"/>
    <mergeCell ref="C69:H69"/>
    <mergeCell ref="A72:B72"/>
    <mergeCell ref="A74:B74"/>
    <mergeCell ref="E70:F70"/>
    <mergeCell ref="A70:B70"/>
    <mergeCell ref="A73:B73"/>
    <mergeCell ref="A108:B108"/>
    <mergeCell ref="A69:B69"/>
    <mergeCell ref="F115:H115"/>
    <mergeCell ref="A266:H266"/>
    <mergeCell ref="A190:B190"/>
    <mergeCell ref="A263:H263"/>
    <mergeCell ref="A184:B184"/>
    <mergeCell ref="A125:B125"/>
    <mergeCell ref="D180:D181"/>
    <mergeCell ref="E180:E181"/>
    <mergeCell ref="G180:H181"/>
    <mergeCell ref="A89:B89"/>
    <mergeCell ref="A90:B90"/>
    <mergeCell ref="A91:B91"/>
    <mergeCell ref="A105:B105"/>
    <mergeCell ref="F110:H110"/>
    <mergeCell ref="A109:H109"/>
    <mergeCell ref="G120:H120"/>
    <mergeCell ref="B258:H258"/>
    <mergeCell ref="B254:H254"/>
    <mergeCell ref="A261:H261"/>
    <mergeCell ref="A145:B145"/>
    <mergeCell ref="A130:B130"/>
    <mergeCell ref="C130:D130"/>
    <mergeCell ref="C122:D122"/>
    <mergeCell ref="E122:F122"/>
    <mergeCell ref="G122:H122"/>
    <mergeCell ref="A65:C65"/>
    <mergeCell ref="D65:H65"/>
    <mergeCell ref="A71:B71"/>
    <mergeCell ref="G70:H70"/>
    <mergeCell ref="E40:H40"/>
    <mergeCell ref="A40:D40"/>
    <mergeCell ref="A81:B81"/>
    <mergeCell ref="C81:H81"/>
    <mergeCell ref="A76:B76"/>
    <mergeCell ref="G47:H47"/>
    <mergeCell ref="G50:H50"/>
    <mergeCell ref="D54:H54"/>
    <mergeCell ref="C50:E50"/>
    <mergeCell ref="D57:H57"/>
    <mergeCell ref="D58:H58"/>
    <mergeCell ref="C48:E48"/>
    <mergeCell ref="A52:B52"/>
    <mergeCell ref="G48:H48"/>
    <mergeCell ref="A50:B51"/>
    <mergeCell ref="D56:H56"/>
    <mergeCell ref="A56:C56"/>
    <mergeCell ref="A57:C59"/>
    <mergeCell ref="A47:B47"/>
    <mergeCell ref="G71:H80"/>
    <mergeCell ref="L145:M145"/>
    <mergeCell ref="A146:B146"/>
    <mergeCell ref="L146:M146"/>
    <mergeCell ref="E130:F130"/>
    <mergeCell ref="G130:H130"/>
    <mergeCell ref="L144:M144"/>
    <mergeCell ref="L143:M143"/>
    <mergeCell ref="L142:M142"/>
    <mergeCell ref="L141:M141"/>
    <mergeCell ref="L140:M140"/>
    <mergeCell ref="L139:M139"/>
    <mergeCell ref="L138:M138"/>
    <mergeCell ref="A143:B143"/>
    <mergeCell ref="A136:H136"/>
    <mergeCell ref="G138:H153"/>
    <mergeCell ref="L147:M147"/>
    <mergeCell ref="A148:B148"/>
    <mergeCell ref="L148:M148"/>
    <mergeCell ref="A149:B149"/>
    <mergeCell ref="L149:M149"/>
    <mergeCell ref="A150:B150"/>
    <mergeCell ref="L150:M150"/>
    <mergeCell ref="A147:B147"/>
    <mergeCell ref="L151:M151"/>
    <mergeCell ref="A151:B151"/>
    <mergeCell ref="A155:B155"/>
    <mergeCell ref="G155:H169"/>
    <mergeCell ref="C155:F155"/>
    <mergeCell ref="L157:M157"/>
    <mergeCell ref="A158:B158"/>
    <mergeCell ref="L158:M158"/>
    <mergeCell ref="A159:B159"/>
    <mergeCell ref="L159:M159"/>
    <mergeCell ref="A160:B160"/>
    <mergeCell ref="L160:M160"/>
    <mergeCell ref="A157:B157"/>
    <mergeCell ref="L161:M161"/>
    <mergeCell ref="A162:B162"/>
    <mergeCell ref="L162:M162"/>
    <mergeCell ref="A163:B163"/>
    <mergeCell ref="L163:M163"/>
    <mergeCell ref="A164:B164"/>
    <mergeCell ref="L164:M164"/>
    <mergeCell ref="A161:B161"/>
    <mergeCell ref="A152:B152"/>
    <mergeCell ref="L152:M152"/>
    <mergeCell ref="A153:B153"/>
    <mergeCell ref="L153:M153"/>
    <mergeCell ref="G237:H240"/>
    <mergeCell ref="A238:B238"/>
    <mergeCell ref="A239:B239"/>
    <mergeCell ref="A154:H154"/>
    <mergeCell ref="A156:B156"/>
    <mergeCell ref="L156:M156"/>
    <mergeCell ref="A246:H246"/>
    <mergeCell ref="A243:H243"/>
    <mergeCell ref="A165:B165"/>
    <mergeCell ref="L165:M165"/>
    <mergeCell ref="A166:B166"/>
    <mergeCell ref="L166:M166"/>
    <mergeCell ref="A167:B167"/>
    <mergeCell ref="L167:M167"/>
    <mergeCell ref="A171:H171"/>
    <mergeCell ref="A173:B173"/>
    <mergeCell ref="A174:B174"/>
    <mergeCell ref="A223:B223"/>
    <mergeCell ref="A211:B211"/>
    <mergeCell ref="A225:B225"/>
    <mergeCell ref="A200:B200"/>
    <mergeCell ref="C187:F187"/>
    <mergeCell ref="G184:H187"/>
    <mergeCell ref="G189:H195"/>
    <mergeCell ref="B260:H260"/>
    <mergeCell ref="A240:B240"/>
    <mergeCell ref="C240:F240"/>
    <mergeCell ref="A120:A121"/>
    <mergeCell ref="L178:M178"/>
    <mergeCell ref="A175:B175"/>
    <mergeCell ref="L175:M175"/>
    <mergeCell ref="A37:B37"/>
    <mergeCell ref="C37:H37"/>
    <mergeCell ref="A195:B195"/>
    <mergeCell ref="A203:B203"/>
    <mergeCell ref="A168:B168"/>
    <mergeCell ref="L168:M168"/>
    <mergeCell ref="A169:B169"/>
    <mergeCell ref="L169:M169"/>
    <mergeCell ref="L183:M183"/>
    <mergeCell ref="A179:H179"/>
    <mergeCell ref="A172:B172"/>
    <mergeCell ref="A189:B189"/>
    <mergeCell ref="G222:H225"/>
    <mergeCell ref="G227:H230"/>
    <mergeCell ref="G232:H235"/>
    <mergeCell ref="A236:H236"/>
    <mergeCell ref="A237:B237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72" max="7" man="1"/>
    <brk id="316" max="7" man="1"/>
    <brk id="360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2" zoomScale="85" zoomScaleNormal="85" workbookViewId="0">
      <selection activeCell="J39" sqref="J39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232" t="s">
        <v>104</v>
      </c>
      <c r="C3" s="232"/>
      <c r="D3" s="232"/>
      <c r="E3" s="232"/>
      <c r="F3" s="232"/>
      <c r="G3" s="232"/>
      <c r="H3" s="232"/>
    </row>
    <row r="4" spans="1:9" x14ac:dyDescent="0.25">
      <c r="A4" s="19"/>
      <c r="B4" s="20" t="s">
        <v>105</v>
      </c>
      <c r="C4" s="20" t="s">
        <v>106</v>
      </c>
      <c r="D4" s="20" t="s">
        <v>69</v>
      </c>
      <c r="E4" s="20" t="s">
        <v>107</v>
      </c>
      <c r="F4" s="20" t="s">
        <v>113</v>
      </c>
      <c r="G4" s="20" t="s">
        <v>114</v>
      </c>
      <c r="H4" s="20" t="s">
        <v>108</v>
      </c>
    </row>
    <row r="5" spans="1:9" ht="15" customHeight="1" x14ac:dyDescent="0.25">
      <c r="A5" s="19"/>
      <c r="B5" s="22" t="s">
        <v>109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109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109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109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109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110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110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111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A13" s="17"/>
      <c r="B13" s="27" t="s">
        <v>112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25">
      <c r="B14" s="17"/>
      <c r="C14" s="17"/>
      <c r="D14" s="17"/>
      <c r="E14" s="17"/>
    </row>
    <row r="15" spans="1:9" ht="15" customHeight="1" x14ac:dyDescent="0.25">
      <c r="B15" s="17"/>
      <c r="C15" s="17"/>
      <c r="D15" s="17"/>
      <c r="E15" s="17"/>
    </row>
    <row r="16" spans="1:9" ht="15" customHeight="1" x14ac:dyDescent="0.2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2025-08-18T11:53:23Z</cp:lastPrinted>
  <dcterms:created xsi:type="dcterms:W3CDTF">2019-07-16T09:29:46Z</dcterms:created>
  <dcterms:modified xsi:type="dcterms:W3CDTF">2025-08-18T11:58:27Z</dcterms:modified>
</cp:coreProperties>
</file>