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53222"/>
  <mc:AlternateContent xmlns:mc="http://schemas.openxmlformats.org/markup-compatibility/2006">
    <mc:Choice Requires="x15">
      <x15ac:absPath xmlns:x15ac="http://schemas.microsoft.com/office/spreadsheetml/2010/11/ac" url="C:\Users\VSJC-06\Downloads\APF Dump\"/>
    </mc:Choice>
  </mc:AlternateContent>
  <bookViews>
    <workbookView xWindow="0" yWindow="0" windowWidth="20490" windowHeight="7020" tabRatio="725"/>
  </bookViews>
  <sheets>
    <sheet name="Report" sheetId="1" r:id="rId1"/>
    <sheet name="valuation" sheetId="5" r:id="rId2"/>
    <sheet name="Research" sheetId="4" r:id="rId3"/>
    <sheet name="Remarks" sheetId="6" r:id="rId4"/>
  </sheets>
  <definedNames>
    <definedName name="_xlnm.Print_Area" localSheetId="0">Report!$A$1:$H$360</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88" i="1" l="1"/>
  <c r="C74" i="1"/>
  <c r="J85" i="1" l="1"/>
  <c r="J84" i="1"/>
  <c r="J83" i="1"/>
  <c r="J82" i="1"/>
  <c r="H75" i="1"/>
  <c r="D87" i="1" l="1"/>
  <c r="D83" i="1"/>
  <c r="D84" i="1"/>
  <c r="J74" i="1"/>
  <c r="J76" i="1" s="1"/>
  <c r="D86" i="1"/>
  <c r="D82" i="1"/>
  <c r="J78" i="1"/>
  <c r="D80" i="1"/>
  <c r="J79" i="1"/>
  <c r="C78" i="1" s="1"/>
  <c r="D85" i="1"/>
  <c r="D81" i="1"/>
  <c r="J80" i="1"/>
  <c r="J81" i="1" s="1"/>
  <c r="J77" i="1"/>
  <c r="J185" i="1"/>
  <c r="J186" i="1"/>
  <c r="J187" i="1"/>
  <c r="J188" i="1"/>
  <c r="J189" i="1"/>
  <c r="J190" i="1"/>
  <c r="J184" i="1"/>
  <c r="J166" i="1"/>
  <c r="J167" i="1"/>
  <c r="J168" i="1"/>
  <c r="J169" i="1"/>
  <c r="J170" i="1"/>
  <c r="J171" i="1"/>
  <c r="J165" i="1"/>
  <c r="I172" i="1"/>
  <c r="E206" i="1"/>
  <c r="E205" i="1"/>
  <c r="E204" i="1"/>
  <c r="E203" i="1"/>
  <c r="E202" i="1"/>
  <c r="E200" i="1"/>
  <c r="E198" i="1"/>
  <c r="E197" i="1"/>
  <c r="E196" i="1"/>
  <c r="E195" i="1"/>
  <c r="E194" i="1"/>
  <c r="E193" i="1"/>
  <c r="E192" i="1"/>
  <c r="E190" i="1"/>
  <c r="E189" i="1"/>
  <c r="E188" i="1"/>
  <c r="E187" i="1"/>
  <c r="E186" i="1"/>
  <c r="E185" i="1"/>
  <c r="E184" i="1"/>
  <c r="E178" i="1"/>
  <c r="E177" i="1"/>
  <c r="E176" i="1"/>
  <c r="E175" i="1"/>
  <c r="E174" i="1"/>
  <c r="E173" i="1"/>
  <c r="E171" i="1"/>
  <c r="E170" i="1"/>
  <c r="E169" i="1"/>
  <c r="E168" i="1"/>
  <c r="E167" i="1"/>
  <c r="E166" i="1"/>
  <c r="E165" i="1"/>
  <c r="E163" i="1"/>
  <c r="E162" i="1"/>
  <c r="E161" i="1"/>
  <c r="E160" i="1"/>
  <c r="E157" i="1"/>
  <c r="E159" i="1"/>
  <c r="E158" i="1"/>
  <c r="G158" i="1"/>
  <c r="G159" i="1"/>
  <c r="L158" i="1"/>
  <c r="J86" i="1" l="1"/>
  <c r="J87" i="1" s="1"/>
  <c r="C79" i="1" s="1"/>
  <c r="G78" i="1" s="1"/>
  <c r="D78" i="1"/>
  <c r="G135" i="1"/>
  <c r="J75" i="1" l="1"/>
  <c r="E78" i="1"/>
  <c r="D79" i="1"/>
  <c r="I75" i="1" s="1"/>
  <c r="G131" i="1"/>
  <c r="G132" i="1" s="1"/>
  <c r="D206" i="1"/>
  <c r="F206" i="1" s="1"/>
  <c r="D205" i="1"/>
  <c r="F205" i="1" s="1"/>
  <c r="D204" i="1"/>
  <c r="F204" i="1" s="1"/>
  <c r="D203" i="1"/>
  <c r="F203" i="1" s="1"/>
  <c r="D202" i="1"/>
  <c r="F202" i="1" s="1"/>
  <c r="D200" i="1"/>
  <c r="F200" i="1" s="1"/>
  <c r="D198" i="1"/>
  <c r="F198" i="1" s="1"/>
  <c r="D197" i="1"/>
  <c r="F197" i="1" s="1"/>
  <c r="D196" i="1"/>
  <c r="F196" i="1" s="1"/>
  <c r="D195" i="1"/>
  <c r="F195" i="1" s="1"/>
  <c r="D194" i="1"/>
  <c r="F194" i="1" s="1"/>
  <c r="D193" i="1"/>
  <c r="F193" i="1" s="1"/>
  <c r="D192" i="1"/>
  <c r="F192" i="1" s="1"/>
  <c r="D190" i="1"/>
  <c r="F190" i="1" s="1"/>
  <c r="D189" i="1"/>
  <c r="F189" i="1" s="1"/>
  <c r="G136" i="1" s="1"/>
  <c r="G137" i="1" s="1"/>
  <c r="D188" i="1"/>
  <c r="F188" i="1" s="1"/>
  <c r="D187" i="1"/>
  <c r="F187" i="1" s="1"/>
  <c r="D186" i="1"/>
  <c r="F186" i="1" s="1"/>
  <c r="D185" i="1"/>
  <c r="F185" i="1" s="1"/>
  <c r="D184" i="1"/>
  <c r="F184" i="1" s="1"/>
  <c r="D178" i="1"/>
  <c r="F178" i="1" s="1"/>
  <c r="D177" i="1"/>
  <c r="F177" i="1" s="1"/>
  <c r="D176" i="1"/>
  <c r="F176" i="1" s="1"/>
  <c r="D175" i="1"/>
  <c r="F175" i="1" s="1"/>
  <c r="D174" i="1"/>
  <c r="D173" i="1"/>
  <c r="F173" i="1" s="1"/>
  <c r="D171" i="1"/>
  <c r="F171" i="1" s="1"/>
  <c r="D170" i="1"/>
  <c r="F170" i="1" s="1"/>
  <c r="D169" i="1"/>
  <c r="F169" i="1" s="1"/>
  <c r="D168" i="1"/>
  <c r="F168" i="1" s="1"/>
  <c r="D167" i="1"/>
  <c r="D166" i="1"/>
  <c r="D165" i="1"/>
  <c r="F165" i="1" s="1"/>
  <c r="D163" i="1"/>
  <c r="D162" i="1"/>
  <c r="D161" i="1"/>
  <c r="F161" i="1" s="1"/>
  <c r="D160" i="1"/>
  <c r="D159" i="1"/>
  <c r="D158" i="1"/>
  <c r="D157" i="1"/>
  <c r="D151" i="1"/>
  <c r="F151" i="1" s="1"/>
  <c r="K151" i="1" s="1"/>
  <c r="D150" i="1"/>
  <c r="F150" i="1" s="1"/>
  <c r="K150" i="1" s="1"/>
  <c r="D149" i="1"/>
  <c r="D148" i="1"/>
  <c r="D147" i="1"/>
  <c r="D146" i="1"/>
  <c r="A206" i="1"/>
  <c r="A203" i="1"/>
  <c r="A204" i="1" s="1"/>
  <c r="A198" i="1"/>
  <c r="A193" i="1"/>
  <c r="A194" i="1" s="1"/>
  <c r="A195" i="1" s="1"/>
  <c r="A196" i="1" s="1"/>
  <c r="I188" i="1"/>
  <c r="A190" i="1"/>
  <c r="A185" i="1"/>
  <c r="A186" i="1" s="1"/>
  <c r="A187" i="1" s="1"/>
  <c r="A188" i="1" s="1"/>
  <c r="A179" i="1"/>
  <c r="A174" i="1"/>
  <c r="A175" i="1" s="1"/>
  <c r="A176" i="1" s="1"/>
  <c r="A177" i="1" s="1"/>
  <c r="A171" i="1"/>
  <c r="A166" i="1"/>
  <c r="A167" i="1" s="1"/>
  <c r="A168" i="1" s="1"/>
  <c r="A169" i="1" s="1"/>
  <c r="I158" i="1"/>
  <c r="I157" i="1"/>
  <c r="I146" i="1"/>
  <c r="E43" i="1"/>
  <c r="K171" i="1" l="1"/>
  <c r="L171" i="1"/>
  <c r="K168" i="1"/>
  <c r="L168" i="1"/>
  <c r="K169" i="1"/>
  <c r="L169" i="1"/>
  <c r="K170" i="1"/>
  <c r="L170" i="1"/>
  <c r="K165" i="1"/>
  <c r="L165" i="1"/>
  <c r="I76" i="1"/>
  <c r="I74" i="1" s="1"/>
  <c r="C76" i="1" s="1"/>
  <c r="C136" i="1"/>
  <c r="E136" i="1"/>
  <c r="F166" i="1"/>
  <c r="F167" i="1"/>
  <c r="F174" i="1"/>
  <c r="F157" i="1"/>
  <c r="K167" i="1" l="1"/>
  <c r="L167" i="1"/>
  <c r="K166" i="1"/>
  <c r="L166" i="1"/>
  <c r="K157" i="1"/>
  <c r="F147" i="1"/>
  <c r="F148" i="1"/>
  <c r="K148" i="1" s="1"/>
  <c r="F149" i="1"/>
  <c r="K149" i="1" s="1"/>
  <c r="F146" i="1"/>
  <c r="K147" i="1" l="1"/>
  <c r="J147" i="1"/>
  <c r="K146" i="1"/>
  <c r="E131" i="1"/>
  <c r="E132" i="1" s="1"/>
  <c r="C131" i="1"/>
  <c r="C132" i="1" s="1"/>
  <c r="J146" i="1"/>
  <c r="B210" i="1"/>
  <c r="G56" i="1" l="1"/>
  <c r="C56" i="1"/>
  <c r="C54" i="1"/>
  <c r="S33" i="1" l="1"/>
  <c r="F11" i="5" l="1"/>
  <c r="G11" i="5" s="1"/>
  <c r="F10" i="5"/>
  <c r="G10" i="5" s="1"/>
  <c r="F9" i="5"/>
  <c r="G9" i="5" s="1"/>
  <c r="F8" i="5"/>
  <c r="G8" i="5" s="1"/>
  <c r="F7" i="5"/>
  <c r="G7" i="5" s="1"/>
  <c r="F6" i="5"/>
  <c r="G6" i="5" s="1"/>
  <c r="F5" i="5"/>
  <c r="G5" i="5" s="1"/>
  <c r="G12" i="5" s="1"/>
  <c r="D232" i="1"/>
  <c r="B211" i="1"/>
  <c r="F163" i="1"/>
  <c r="F162" i="1"/>
  <c r="K161" i="1" s="1"/>
  <c r="A163" i="1"/>
  <c r="F160" i="1"/>
  <c r="K160" i="1" s="1"/>
  <c r="F159" i="1"/>
  <c r="K159" i="1" s="1"/>
  <c r="F158" i="1"/>
  <c r="A158" i="1"/>
  <c r="A159" i="1" s="1"/>
  <c r="A160" i="1" s="1"/>
  <c r="A161" i="1" s="1"/>
  <c r="A147" i="1"/>
  <c r="A148" i="1" s="1"/>
  <c r="A149" i="1" s="1"/>
  <c r="A150" i="1" s="1"/>
  <c r="A151" i="1" s="1"/>
  <c r="F128" i="1"/>
  <c r="C102" i="1"/>
  <c r="D68" i="1"/>
  <c r="D62" i="1"/>
  <c r="C51" i="1"/>
  <c r="E44" i="1"/>
  <c r="E45" i="1" s="1"/>
  <c r="E31" i="1"/>
  <c r="E28" i="1"/>
  <c r="E26" i="1"/>
  <c r="C16" i="1"/>
  <c r="I15" i="1"/>
  <c r="Z13" i="1"/>
  <c r="E8" i="1"/>
  <c r="E3" i="1"/>
  <c r="H103" i="1"/>
  <c r="H89" i="1"/>
  <c r="E135" i="1" l="1"/>
  <c r="E137" i="1" s="1"/>
  <c r="E138" i="1" s="1"/>
  <c r="G138" i="1"/>
  <c r="K158" i="1"/>
  <c r="C135" i="1"/>
  <c r="J88" i="1"/>
  <c r="J90" i="1" s="1"/>
  <c r="J91" i="1"/>
  <c r="J92" i="1"/>
  <c r="J93" i="1"/>
  <c r="C92" i="1" s="1"/>
  <c r="J107" i="1"/>
  <c r="D111" i="1"/>
  <c r="D113" i="1"/>
  <c r="J106" i="1"/>
  <c r="D112" i="1"/>
  <c r="J102" i="1"/>
  <c r="J104" i="1" s="1"/>
  <c r="D110" i="1"/>
  <c r="J105" i="1"/>
  <c r="D109" i="1"/>
  <c r="D115" i="1"/>
  <c r="D114" i="1"/>
  <c r="D108" i="1"/>
  <c r="D96" i="1"/>
  <c r="D98" i="1"/>
  <c r="D97" i="1"/>
  <c r="D101" i="1"/>
  <c r="D95" i="1"/>
  <c r="D100" i="1"/>
  <c r="D94" i="1"/>
  <c r="D99" i="1"/>
  <c r="B103" i="1"/>
  <c r="J94" i="1"/>
  <c r="C137" i="1" l="1"/>
  <c r="C138" i="1" s="1"/>
  <c r="C106" i="1"/>
  <c r="D106" i="1" s="1"/>
  <c r="D92" i="1"/>
  <c r="J113" i="1"/>
  <c r="J110" i="1"/>
  <c r="J112" i="1"/>
  <c r="J111" i="1"/>
  <c r="J108" i="1"/>
  <c r="J109" i="1" s="1"/>
  <c r="C107" i="1" s="1"/>
  <c r="J98" i="1"/>
  <c r="J97" i="1"/>
  <c r="J95" i="1"/>
  <c r="J99" i="1"/>
  <c r="J96" i="1" l="1"/>
  <c r="J100" i="1"/>
  <c r="E106" i="1"/>
  <c r="D107" i="1"/>
  <c r="I103" i="1" s="1"/>
  <c r="I104" i="1" s="1"/>
  <c r="G106" i="1"/>
  <c r="J114" i="1"/>
  <c r="J115" i="1" s="1"/>
  <c r="J103" i="1" s="1"/>
  <c r="J101" i="1" l="1"/>
  <c r="C93" i="1" s="1"/>
  <c r="J89" i="1" s="1"/>
  <c r="I102" i="1"/>
  <c r="C104" i="1" s="1"/>
  <c r="G92" i="1" l="1"/>
  <c r="D72" i="1" s="1"/>
  <c r="F73" i="1" s="1"/>
  <c r="D93" i="1"/>
  <c r="I89" i="1" s="1"/>
  <c r="I90" i="1" s="1"/>
  <c r="I88" i="1" s="1"/>
  <c r="C90" i="1" s="1"/>
  <c r="E92" i="1"/>
  <c r="D73" i="1" l="1"/>
</calcChain>
</file>

<file path=xl/comments1.xml><?xml version="1.0" encoding="utf-8"?>
<comments xmlns="http://schemas.openxmlformats.org/spreadsheetml/2006/main">
  <authors>
    <author>Sachin</author>
    <author>SACHIN</author>
  </authors>
  <commentList>
    <comment ref="E12" authorId="0" shapeId="0">
      <text>
        <r>
          <rPr>
            <b/>
            <sz val="9"/>
            <color indexed="81"/>
            <rFont val="Tahoma"/>
            <family val="2"/>
          </rPr>
          <t>Sachin:</t>
        </r>
        <r>
          <rPr>
            <sz val="9"/>
            <color indexed="81"/>
            <rFont val="Tahoma"/>
            <family val="2"/>
          </rPr>
          <t xml:space="preserve">
Building No. 
Tower No.
Wing 
Bunglow No., etc</t>
        </r>
      </text>
    </comment>
    <comment ref="E13" authorId="0" shapeId="0">
      <text>
        <r>
          <rPr>
            <b/>
            <sz val="9"/>
            <color indexed="81"/>
            <rFont val="Tahoma"/>
            <family val="2"/>
          </rPr>
          <t>Sachin:</t>
        </r>
        <r>
          <rPr>
            <sz val="9"/>
            <color indexed="81"/>
            <rFont val="Tahoma"/>
            <family val="2"/>
          </rPr>
          <t xml:space="preserve">
If exisiting Building is provided write it or else
NA</t>
        </r>
      </text>
    </comment>
    <comment ref="C55" authorId="1" shapeId="0">
      <text>
        <r>
          <rPr>
            <b/>
            <sz val="9"/>
            <color indexed="81"/>
            <rFont val="Tahoma"/>
            <family val="2"/>
          </rPr>
          <t>SACHIN:</t>
        </r>
        <r>
          <rPr>
            <sz val="9"/>
            <color indexed="81"/>
            <rFont val="Tahoma"/>
            <family val="2"/>
          </rPr>
          <t xml:space="preserve">
Floor with height</t>
        </r>
      </text>
    </comment>
    <comment ref="C57" authorId="1" shapeId="0">
      <text>
        <r>
          <rPr>
            <b/>
            <sz val="9"/>
            <color indexed="81"/>
            <rFont val="Tahoma"/>
            <family val="2"/>
          </rPr>
          <t>SACHIN:</t>
        </r>
        <r>
          <rPr>
            <sz val="9"/>
            <color indexed="81"/>
            <rFont val="Tahoma"/>
            <family val="2"/>
          </rPr>
          <t xml:space="preserve">
Survey Nos.</t>
        </r>
      </text>
    </comment>
    <comment ref="C59" authorId="1" shapeId="0">
      <text>
        <r>
          <rPr>
            <b/>
            <sz val="9"/>
            <color indexed="81"/>
            <rFont val="Tahoma"/>
            <family val="2"/>
          </rPr>
          <t>SACHIN:</t>
        </r>
        <r>
          <rPr>
            <sz val="9"/>
            <color indexed="81"/>
            <rFont val="Tahoma"/>
            <family val="2"/>
          </rPr>
          <t xml:space="preserve">
Height from AMSL</t>
        </r>
      </text>
    </comment>
    <comment ref="D62" authorId="0" shapeId="0">
      <text>
        <r>
          <rPr>
            <b/>
            <sz val="9"/>
            <color indexed="81"/>
            <rFont val="Tahoma"/>
            <family val="2"/>
          </rPr>
          <t>Sachin:</t>
        </r>
        <r>
          <rPr>
            <sz val="9"/>
            <color indexed="81"/>
            <rFont val="Tahoma"/>
            <family val="2"/>
          </rPr>
          <t xml:space="preserve">
If multiple building in project or complex just mention builtup of required building</t>
        </r>
      </text>
    </comment>
    <comment ref="F121" authorId="1" shapeId="0">
      <text>
        <r>
          <rPr>
            <b/>
            <sz val="9"/>
            <color indexed="81"/>
            <rFont val="Tahoma"/>
            <family val="2"/>
          </rPr>
          <t>SACHIN:</t>
        </r>
        <r>
          <rPr>
            <sz val="9"/>
            <color indexed="81"/>
            <rFont val="Tahoma"/>
            <family val="2"/>
          </rPr>
          <t xml:space="preserve">
Other charges should be given on basis of location amenties builder type n should not exceed above 12 lakhs or 8% of flat value</t>
        </r>
      </text>
    </comment>
    <comment ref="H154" authorId="1" shapeId="0">
      <text>
        <r>
          <rPr>
            <b/>
            <sz val="9"/>
            <color indexed="81"/>
            <rFont val="Tahoma"/>
            <family val="2"/>
          </rPr>
          <t>SACHIN:</t>
        </r>
        <r>
          <rPr>
            <sz val="9"/>
            <color indexed="81"/>
            <rFont val="Tahoma"/>
            <family val="2"/>
          </rPr>
          <t xml:space="preserve">
Give loading of 50% for A Category</t>
        </r>
      </text>
    </comment>
  </commentList>
</comments>
</file>

<file path=xl/comments2.xml><?xml version="1.0" encoding="utf-8"?>
<comments xmlns="http://schemas.openxmlformats.org/spreadsheetml/2006/main">
  <authors>
    <author>SACHIN</author>
  </authors>
  <commentList>
    <comment ref="C9" authorId="0" shapeId="0">
      <text>
        <r>
          <rPr>
            <b/>
            <sz val="9"/>
            <color indexed="81"/>
            <rFont val="Tahoma"/>
            <family val="2"/>
          </rPr>
          <t>SACHIN:</t>
        </r>
        <r>
          <rPr>
            <sz val="9"/>
            <color indexed="81"/>
            <rFont val="Tahoma"/>
            <family val="2"/>
          </rPr>
          <t xml:space="preserve">
If banker changes the rate</t>
        </r>
      </text>
    </comment>
    <comment ref="C10" authorId="0" shapeId="0">
      <text>
        <r>
          <rPr>
            <b/>
            <sz val="9"/>
            <color indexed="81"/>
            <rFont val="Tahoma"/>
            <family val="2"/>
          </rPr>
          <t>SACHIN:</t>
        </r>
        <r>
          <rPr>
            <sz val="9"/>
            <color indexed="81"/>
            <rFont val="Tahoma"/>
            <family val="2"/>
          </rPr>
          <t xml:space="preserve">
If we change the rate</t>
        </r>
      </text>
    </comment>
  </commentList>
</comments>
</file>

<file path=xl/sharedStrings.xml><?xml version="1.0" encoding="utf-8"?>
<sst xmlns="http://schemas.openxmlformats.org/spreadsheetml/2006/main" count="652" uniqueCount="350">
  <si>
    <t xml:space="preserve">Valuation Report </t>
  </si>
  <si>
    <t>Date:</t>
  </si>
  <si>
    <t>CPC Name:</t>
  </si>
  <si>
    <t>Date Of Property Visit</t>
  </si>
  <si>
    <t>Name of the builder group</t>
  </si>
  <si>
    <t>Name of the builder company</t>
  </si>
  <si>
    <t>Name of the Project</t>
  </si>
  <si>
    <t>Name / No of the Building</t>
  </si>
  <si>
    <t>RERA No.</t>
  </si>
  <si>
    <t xml:space="preserve">Project location details       </t>
  </si>
  <si>
    <t>Road</t>
  </si>
  <si>
    <t>District</t>
  </si>
  <si>
    <t>City</t>
  </si>
  <si>
    <t>Pin Code</t>
  </si>
  <si>
    <t xml:space="preserve">Distance from city centre: </t>
  </si>
  <si>
    <t>all available at  1 to 2 km.</t>
  </si>
  <si>
    <t>Does property have Electricity / Water / Drainage Connection</t>
  </si>
  <si>
    <t>Yes</t>
  </si>
  <si>
    <t>Class of locality</t>
  </si>
  <si>
    <t>Nature of land with topographical condtion</t>
  </si>
  <si>
    <t>Plane</t>
  </si>
  <si>
    <t xml:space="preserve">Nature of the locality </t>
  </si>
  <si>
    <t>Quality of infrastructure in vicinity</t>
  </si>
  <si>
    <t>Good</t>
  </si>
  <si>
    <t>East</t>
  </si>
  <si>
    <t>West</t>
  </si>
  <si>
    <t>South</t>
  </si>
  <si>
    <t>North</t>
  </si>
  <si>
    <t>NA</t>
  </si>
  <si>
    <t>At site</t>
  </si>
  <si>
    <t xml:space="preserve">Approved usage of the Property:                                                                                                                                             </t>
  </si>
  <si>
    <t>No</t>
  </si>
  <si>
    <t>Area Statement Details :</t>
  </si>
  <si>
    <t>Total land area of the project in Sq. Mt.</t>
  </si>
  <si>
    <t>Permissible FSI</t>
  </si>
  <si>
    <t>Permissible TDR/Paid FSI</t>
  </si>
  <si>
    <t>Total FSI availaible for the project</t>
  </si>
  <si>
    <t>Total number of Buildings</t>
  </si>
  <si>
    <t xml:space="preserve">Approval Detail : Plan approval </t>
  </si>
  <si>
    <t xml:space="preserve">Layout Approval No     </t>
  </si>
  <si>
    <t>Dated</t>
  </si>
  <si>
    <t xml:space="preserve">Approved Floor plan No.  </t>
  </si>
  <si>
    <t xml:space="preserve">O. Certificate No.: </t>
  </si>
  <si>
    <t>Expected Completion</t>
  </si>
  <si>
    <t>Building wise Construction details</t>
  </si>
  <si>
    <t>Approved no of units</t>
  </si>
  <si>
    <t>Approved no of Floors</t>
  </si>
  <si>
    <t>Type of Work</t>
  </si>
  <si>
    <t>Plinth</t>
  </si>
  <si>
    <t xml:space="preserve">Recommended rate of Parking </t>
  </si>
  <si>
    <t>Distressed valuation of the Property</t>
  </si>
  <si>
    <t>Building &amp; Wing</t>
  </si>
  <si>
    <t>Total Carpet Area</t>
  </si>
  <si>
    <t>Total Saleable Area</t>
  </si>
  <si>
    <t>Building details Floor Wise</t>
  </si>
  <si>
    <t>Description</t>
  </si>
  <si>
    <t>Gross Carpet area</t>
  </si>
  <si>
    <t>Attached Terrace area</t>
  </si>
  <si>
    <t>Undertaking :</t>
  </si>
  <si>
    <t>1) We have personally visited the property &amp; identified the same based on the documents provided.</t>
  </si>
  <si>
    <t>2) I/We have no direct or Indirect Interest in the property being valued</t>
  </si>
  <si>
    <t>3) The information furnished above is true and correct to my/our knowledge.</t>
  </si>
  <si>
    <t>4) Legal title of the property is not verified by us.</t>
  </si>
  <si>
    <t xml:space="preserve">PHOTOGRAPHS OF PROPERTY : 
</t>
  </si>
  <si>
    <t>Google Map :</t>
  </si>
  <si>
    <t xml:space="preserve">Remarks:  </t>
  </si>
  <si>
    <t>Flat</t>
  </si>
  <si>
    <t>Residential Area Details :</t>
  </si>
  <si>
    <t>Podium</t>
  </si>
  <si>
    <t>Ground</t>
  </si>
  <si>
    <t>Locality/Village</t>
  </si>
  <si>
    <t>Taluka</t>
  </si>
  <si>
    <t>Commercial Area Details :</t>
  </si>
  <si>
    <t>Accessibility to the Project from the City: (Proximity to civic amenities like school, hospital, market, etc.)</t>
  </si>
  <si>
    <t>Inspected By :</t>
  </si>
  <si>
    <t>No. of Units</t>
  </si>
  <si>
    <t>Authorized Signatory
Name &amp; Seal of the agency</t>
  </si>
  <si>
    <t>Floors</t>
  </si>
  <si>
    <t>Type of Structure</t>
  </si>
  <si>
    <t>RCC Frame Structure</t>
  </si>
  <si>
    <t>Complition %</t>
  </si>
  <si>
    <t>Disbursement %</t>
  </si>
  <si>
    <t>Progress %</t>
  </si>
  <si>
    <t xml:space="preserve">Material laying at Site: </t>
  </si>
  <si>
    <t>Projected life of the structure</t>
  </si>
  <si>
    <t xml:space="preserve">Quality of construction: </t>
  </si>
  <si>
    <t>Proposed no of Floors</t>
  </si>
  <si>
    <t xml:space="preserve">Stage of construction: </t>
  </si>
  <si>
    <t>Approved area of building (Sq.Mt)</t>
  </si>
  <si>
    <t>Total Approved Builtup area of the project (Sq.Mt)</t>
  </si>
  <si>
    <t>Restrictive Covenants in regard to Land Use</t>
  </si>
  <si>
    <t>Boundries</t>
  </si>
  <si>
    <t>Development Charges</t>
  </si>
  <si>
    <t>Club Charges</t>
  </si>
  <si>
    <t>Gas Connection Charges</t>
  </si>
  <si>
    <t>Water, Electricity, Drainages, Sewerage Connection</t>
  </si>
  <si>
    <t>Society Formation Charges</t>
  </si>
  <si>
    <t>Advance Maintenance Charges</t>
  </si>
  <si>
    <t>Excavation in process</t>
  </si>
  <si>
    <t>Excavation Completed</t>
  </si>
  <si>
    <t>Footing in Process</t>
  </si>
  <si>
    <t>Footing Completed</t>
  </si>
  <si>
    <t>Plinth completed</t>
  </si>
  <si>
    <t>NA
Approved upto : NA</t>
  </si>
  <si>
    <t>Report By :</t>
  </si>
  <si>
    <t>Market Research Data</t>
  </si>
  <si>
    <t>Source</t>
  </si>
  <si>
    <t>Distance from proposed property</t>
  </si>
  <si>
    <t>Net Carpet</t>
  </si>
  <si>
    <t>Market Value</t>
  </si>
  <si>
    <t>Magic Brick</t>
  </si>
  <si>
    <t>99 Acres</t>
  </si>
  <si>
    <t>Average</t>
  </si>
  <si>
    <t xml:space="preserve">Valuation Adopted </t>
  </si>
  <si>
    <t>Saleable Area</t>
  </si>
  <si>
    <t>Rate on Saleable</t>
  </si>
  <si>
    <t xml:space="preserve">Wheather the construction is as per approved Building plan : </t>
  </si>
  <si>
    <r>
      <t xml:space="preserve">Shop No.
</t>
    </r>
    <r>
      <rPr>
        <b/>
        <sz val="11"/>
        <color rgb="FF000000"/>
        <rFont val="Times New Roman"/>
        <family val="1"/>
      </rPr>
      <t>(Approved Plan)</t>
    </r>
  </si>
  <si>
    <r>
      <t xml:space="preserve">Flat No.
</t>
    </r>
    <r>
      <rPr>
        <b/>
        <sz val="11"/>
        <color rgb="FF000000"/>
        <rFont val="Times New Roman"/>
        <family val="1"/>
      </rPr>
      <t>(Approved Plan)</t>
    </r>
  </si>
  <si>
    <t>Nearby Landmark</t>
  </si>
  <si>
    <t>We considered Carpet area as per Approved Plan.</t>
  </si>
  <si>
    <t>We have considered rate by verifying it from market inquire.</t>
  </si>
  <si>
    <t>Car parking is subjected to authentic documentation.</t>
  </si>
  <si>
    <t>5) Gross carpet area =  Net Carpet area + Fungible area.</t>
  </si>
  <si>
    <t>6) Fungible Area= Enclosed Balcony + Flower Bed + Covered Balcony + Service Slab + Duct + Chajja + Wheather Shed area.</t>
  </si>
  <si>
    <t>Excavation</t>
  </si>
  <si>
    <t>RCC (Including podiums)</t>
  </si>
  <si>
    <t>Brickwork &amp; Internal Plaster</t>
  </si>
  <si>
    <t>Flooring &amp; Fitting</t>
  </si>
  <si>
    <t>External Plaster &amp; Plumbing</t>
  </si>
  <si>
    <t>Building Common Amenities</t>
  </si>
  <si>
    <t>Possession</t>
  </si>
  <si>
    <t>Ext. Plaster &amp; Plumbing</t>
  </si>
  <si>
    <t>Brickwork</t>
  </si>
  <si>
    <t>Internal Plaster</t>
  </si>
  <si>
    <t>Painting &amp; Wooden</t>
  </si>
  <si>
    <t>Slab/Floor</t>
  </si>
  <si>
    <t>Construction details:</t>
  </si>
  <si>
    <t>Piling Work in process</t>
  </si>
  <si>
    <t>Basement</t>
  </si>
  <si>
    <t>Basement 2</t>
  </si>
  <si>
    <t>Basement 3</t>
  </si>
  <si>
    <t>Basement 4</t>
  </si>
  <si>
    <t>Basement 1</t>
  </si>
  <si>
    <t>Plinth in process</t>
  </si>
  <si>
    <t xml:space="preserve">Violations Observed if any : </t>
  </si>
  <si>
    <t>Total</t>
  </si>
  <si>
    <t>Name of Municipal Corporation/Authority</t>
  </si>
  <si>
    <t>We have considered proposed No. of Floor for Stage Calculation.</t>
  </si>
  <si>
    <t>*</t>
  </si>
  <si>
    <t>Recommended rate should be considered as all inclusive rate if other charges are not mentioned. (Excluding GST &amp; other government Taxes)</t>
  </si>
  <si>
    <t xml:space="preserve">Commencement-CC No
Valid Up to: </t>
  </si>
  <si>
    <t>Attached Loft area</t>
  </si>
  <si>
    <t xml:space="preserve">Recommended Rates of the Property : </t>
  </si>
  <si>
    <t>Recommended rate of the Shop Per Sq. Ft.</t>
  </si>
  <si>
    <t>Recommended rate of the Flat Per Sq. Ft.</t>
  </si>
  <si>
    <t>Recommended rate of the Office Per Sq. Ft.</t>
  </si>
  <si>
    <t>On Saleable Area</t>
  </si>
  <si>
    <t>Location Link</t>
  </si>
  <si>
    <t>Locality</t>
  </si>
  <si>
    <t>Layout :</t>
  </si>
  <si>
    <t>Office No. 1031, Wing J, Akshar Business Park, Plot No. 03 Sector 25, Near APMC Market, Vashi, Navi Mumbai, Maharashtra 400703 TEL: 022-46090378/79/80                                                                       
E mail : vsjcapf@gmail.com. Web site : www.vsjadon.com</t>
  </si>
  <si>
    <t>Latitude, Longitude</t>
  </si>
  <si>
    <t>Grand Total</t>
  </si>
  <si>
    <t>Provided Contact Details (Name &amp; Contact No.)</t>
  </si>
  <si>
    <t>Site Person - Contact Details (Name &amp; Contact No.)</t>
  </si>
  <si>
    <t>Approved Plans, CC, Sale Plans, Builder Saleable Area, Cost Sheet, Airport Noc, Railway Noc, OC</t>
  </si>
  <si>
    <t>Axis Goregaon</t>
  </si>
  <si>
    <t>Name / No of the Existing Building</t>
  </si>
  <si>
    <t>Mumbai</t>
  </si>
  <si>
    <t>As per Layout</t>
  </si>
  <si>
    <t xml:space="preserve">Details of Residential &amp; Commercials in Building   </t>
  </si>
  <si>
    <t>Floor Rise Rate from    Floor</t>
  </si>
  <si>
    <t>Shop No. (Sale Plan)</t>
  </si>
  <si>
    <t>Flat No. (Sale Plan)</t>
  </si>
  <si>
    <t xml:space="preserve">As the project is redevelopement project but rehab statement or rehab flats is not mentioned approved layout plan &amp; floor plan.
</t>
  </si>
  <si>
    <t xml:space="preserve">Thane </t>
  </si>
  <si>
    <t>Thane</t>
  </si>
  <si>
    <t>Shahpur</t>
  </si>
  <si>
    <t>Kalyan</t>
  </si>
  <si>
    <t>Bhiwandi</t>
  </si>
  <si>
    <t>Ulhasnagar</t>
  </si>
  <si>
    <t>Ambernath</t>
  </si>
  <si>
    <t>Murbad</t>
  </si>
  <si>
    <t>Mokhada</t>
  </si>
  <si>
    <t>Talasari</t>
  </si>
  <si>
    <t>Palghar</t>
  </si>
  <si>
    <t>Vasai</t>
  </si>
  <si>
    <t>Vikramgad</t>
  </si>
  <si>
    <t>Dahanu</t>
  </si>
  <si>
    <t>Wada</t>
  </si>
  <si>
    <t>Raigad</t>
  </si>
  <si>
    <t>Alibag</t>
  </si>
  <si>
    <t>Panvel</t>
  </si>
  <si>
    <t>Uran</t>
  </si>
  <si>
    <t>Karjat</t>
  </si>
  <si>
    <t>Khalapur</t>
  </si>
  <si>
    <t>Pen</t>
  </si>
  <si>
    <t>Sudhagad</t>
  </si>
  <si>
    <t>Mahad</t>
  </si>
  <si>
    <t>Roha</t>
  </si>
  <si>
    <t>Mangaon</t>
  </si>
  <si>
    <t>Poladpur</t>
  </si>
  <si>
    <t>Mahasala</t>
  </si>
  <si>
    <t>Shriwardhan</t>
  </si>
  <si>
    <t>Murud</t>
  </si>
  <si>
    <t>Andheri</t>
  </si>
  <si>
    <t>Borivali</t>
  </si>
  <si>
    <t>Kurla</t>
  </si>
  <si>
    <t>Pune</t>
  </si>
  <si>
    <t>Pune City</t>
  </si>
  <si>
    <t>Khed</t>
  </si>
  <si>
    <t>Baramati</t>
  </si>
  <si>
    <t>Junnar</t>
  </si>
  <si>
    <t>Shirur</t>
  </si>
  <si>
    <t>Indapur</t>
  </si>
  <si>
    <t>Daund</t>
  </si>
  <si>
    <t>Mawal</t>
  </si>
  <si>
    <t>Ambegaon</t>
  </si>
  <si>
    <t>Purandhar</t>
  </si>
  <si>
    <t>Bhor</t>
  </si>
  <si>
    <t>Mulshi</t>
  </si>
  <si>
    <t>Velhe</t>
  </si>
  <si>
    <t>Haveli</t>
  </si>
  <si>
    <t>Approved Plans, CC</t>
  </si>
  <si>
    <t>Approved Plans, CC, Sale Plans</t>
  </si>
  <si>
    <t>Approved Plans, CC, Sale Plans, Builder Saleable Area</t>
  </si>
  <si>
    <t>Approved Plans, CC, Sale Plans, Builder Saleable Area, Cost Sheet,</t>
  </si>
  <si>
    <t>Approved Plans, CC, Builder Saleable Area,</t>
  </si>
  <si>
    <t>Carpet area</t>
  </si>
  <si>
    <t xml:space="preserve">Please check for Environment Clearance Certificate.
</t>
  </si>
  <si>
    <t>Bank Name:</t>
  </si>
  <si>
    <t>Axis Bank</t>
  </si>
  <si>
    <t>Branch</t>
  </si>
  <si>
    <t>Bank</t>
  </si>
  <si>
    <t>Cent Bank</t>
  </si>
  <si>
    <t>Indiabulls Housing Finance Ltd</t>
  </si>
  <si>
    <t>PNB Housing Finance Limited</t>
  </si>
  <si>
    <t>ABFHL</t>
  </si>
  <si>
    <t>Axis Thane</t>
  </si>
  <si>
    <t>Axis Sanpada</t>
  </si>
  <si>
    <t>Axis Badlapur</t>
  </si>
  <si>
    <t>PNB Thane</t>
  </si>
  <si>
    <t>PNB Borivali</t>
  </si>
  <si>
    <t>Cent Kalyan</t>
  </si>
  <si>
    <t>Cent Belapur</t>
  </si>
  <si>
    <t>IBHF Kalyan</t>
  </si>
  <si>
    <t>IBHF Badlapur</t>
  </si>
  <si>
    <t>IBHF Vashi</t>
  </si>
  <si>
    <t>IBHF Thane</t>
  </si>
  <si>
    <t>IBHF Andheri</t>
  </si>
  <si>
    <t>Authorites</t>
  </si>
  <si>
    <t>Slum Rehabilitation Authority (SRA)</t>
  </si>
  <si>
    <t>Municipal Corporation of Greater Mumbai (MCGM)</t>
  </si>
  <si>
    <t>Maharashtra Housing and Area Development Authority(MHADA)</t>
  </si>
  <si>
    <t>Mumbai Metropolitan Region Development Authority (MMRDA)</t>
  </si>
  <si>
    <t>Maharashtra State Road Development Corporation Limited (MSRDC)</t>
  </si>
  <si>
    <t>Navi Mumbai Municipal Corporation (NMMC)</t>
  </si>
  <si>
    <t>Thane Muncipal Cooperation (TMC)</t>
  </si>
  <si>
    <t>Kalyan Dombivli Municipal Corporation (KMDC)</t>
  </si>
  <si>
    <t>Kulgoan Badlapur Municipal Council</t>
  </si>
  <si>
    <t>Town Planning Thane</t>
  </si>
  <si>
    <t>Ambernath Municipal Council (AMC)</t>
  </si>
  <si>
    <t>Ulhasnagar Municipal Corporation</t>
  </si>
  <si>
    <t>Nagar Rachana Ani Mulya Nirdharan Vibhag Thane</t>
  </si>
  <si>
    <t>Bhiwandi Nizampur City Municipal Corporation</t>
  </si>
  <si>
    <t>City and Industrial Development Corporation (CIDCO)</t>
  </si>
  <si>
    <t>Maharashtra Industrial Development Corporation (MIDC)</t>
  </si>
  <si>
    <t>Panvel Municipal Corporation</t>
  </si>
  <si>
    <t>Navi Mumbai Airport Influence Notified Area (NAINA)</t>
  </si>
  <si>
    <t>Pen Municipal Council</t>
  </si>
  <si>
    <t>Raigad Zilha Parishad</t>
  </si>
  <si>
    <t>Roha Municipal Council</t>
  </si>
  <si>
    <t>Vasai-Virar City Municipal Corporation. (VVCMC)</t>
  </si>
  <si>
    <t>Collector Of Palghar</t>
  </si>
  <si>
    <t>Town Planner, Palghar</t>
  </si>
  <si>
    <t>Mira-Bhayandar Municipal Corporation</t>
  </si>
  <si>
    <t>Documents Provided</t>
  </si>
  <si>
    <t>Does the boundaries at site match, as mentioned in the Documentation: NA</t>
  </si>
  <si>
    <t xml:space="preserve">Fire Noc No
Valid Up to: </t>
  </si>
  <si>
    <t xml:space="preserve">Environmental Clearance Certificate (EC) No
Valid Up for: </t>
  </si>
  <si>
    <t xml:space="preserve">As per RERA, completion period of project Yashwant Height is expired on 30/06/2021 but still project is under construction.
</t>
  </si>
  <si>
    <t>Validity of CC is expired on 31/01/2021. Please provide latest CC.</t>
  </si>
  <si>
    <t>Construction work is same as last visit but work is in process at the time of visit. (Slow Speed)</t>
  </si>
  <si>
    <t>As per CRZ Norms, The said plot is coming under list of plots affected by CRZ. Ref Letter No. CIDCO/PLNG/ACP(BP)/2021/895/E-19416 Date : 09/03/2021.</t>
  </si>
  <si>
    <t>Construction work has increased from last visit but no active work was found during site visit</t>
  </si>
  <si>
    <t>As per Approved Floor plan, Wing A consist of 62 units ( Rehab = 40 units &amp; Sale = 22 Units),  but which unit no should be considered as rehab or sale is not mentioned in Approved plan.</t>
  </si>
  <si>
    <t>If stage is not identifibale due to external Visit,
1. Confirm with visitor that internal visit was possible or not, if internal visit possible ask visitor to to revisit
2. If internal visit not possible in category A Builders, if stage is not possible to increase mention below remark Since internal visit were not permitted, we were unable to determine building progress from an external visit; so, we are maintaining the same progress as in the previous report (dtd.    )
3. If Stage is identifiable increase the stage. Mention internal visit is not allowed in Remark</t>
  </si>
  <si>
    <r>
      <t xml:space="preserve">Recommended Rates / Other charges of the Property have been revised on </t>
    </r>
    <r>
      <rPr>
        <b/>
        <sz val="11"/>
        <color rgb="FF000000"/>
        <rFont val="Calibri"/>
        <family val="2"/>
      </rPr>
      <t>23/10/2023</t>
    </r>
    <r>
      <rPr>
        <sz val="11"/>
        <color rgb="FF000000"/>
        <rFont val="Calibri"/>
        <family val="2"/>
      </rPr>
      <t>.</t>
    </r>
  </si>
  <si>
    <t>Other charges/ Rate has been revised as per market inquiry (on 12/10/2023)</t>
  </si>
  <si>
    <t>Cementry of Hindu, Muslim, &amp; Christian Religion is located in 150 to 200m from project</t>
  </si>
  <si>
    <t>There is a road on the west side of the project, and a creek is next to the other side of the road.</t>
  </si>
  <si>
    <t>We have updated revised approved plans &amp; CC (on 15/12/2022).</t>
  </si>
  <si>
    <t>High Tension lines are passing through project (name)</t>
  </si>
  <si>
    <t>Collector Of Raigad</t>
  </si>
  <si>
    <t>S M Hitech Developers</t>
  </si>
  <si>
    <t>S M Elite</t>
  </si>
  <si>
    <t>Mr.Irfan Patel 9930357927/9920404094</t>
  </si>
  <si>
    <t>P52000052521</t>
  </si>
  <si>
    <t>Wing A &amp; B</t>
  </si>
  <si>
    <t>Approved Plans, CC, Sale Plans, Builder Saleable Area, Cost Sheet, Airport Noc</t>
  </si>
  <si>
    <t>Survey No</t>
  </si>
  <si>
    <t>111/2</t>
  </si>
  <si>
    <t>Taloje Majkur</t>
  </si>
  <si>
    <t>19.076325,73.105882</t>
  </si>
  <si>
    <t>https://maps.app.goo.gl/RbzxMuvZhQHvitvcA</t>
  </si>
  <si>
    <t>3.0 KM from Taloja Panchnand Railway Station</t>
  </si>
  <si>
    <t>Taloja Panchnand East</t>
  </si>
  <si>
    <t>Ghotkamp Koyana Vele</t>
  </si>
  <si>
    <t>Internal Road</t>
  </si>
  <si>
    <t>Sunil Peravi</t>
  </si>
  <si>
    <t>Open Plot</t>
  </si>
  <si>
    <t>SM Emerald</t>
  </si>
  <si>
    <t>Road Widening Area (Existing Road 164.30 Sq.Mt)</t>
  </si>
  <si>
    <t>Other Plot</t>
  </si>
  <si>
    <t>Proposed Road 15.0 M Wide Road, High Tension Lines Conductor Position</t>
  </si>
  <si>
    <t>02 Wings</t>
  </si>
  <si>
    <t xml:space="preserve">Wing A &amp; B = 1B + Gr + 1st to 12th Floor
No. of Residential Unit = 166 Nos. &amp; Commercial Unit = 06 Nos.
Total Units = 172 Nos.
</t>
  </si>
  <si>
    <t xml:space="preserve">Wing A &amp; B = 1B + Gr + 1st to 12th Floor
</t>
  </si>
  <si>
    <t>As per RERA - 31/12/2027</t>
  </si>
  <si>
    <t xml:space="preserve">Wing B = 1B + Gr + 1st to 14th Floor
</t>
  </si>
  <si>
    <r>
      <t xml:space="preserve">Proposed Amenities :                                                                                                                                                                                                                         </t>
    </r>
    <r>
      <rPr>
        <b/>
        <sz val="12"/>
        <color theme="1"/>
        <rFont val="Times New Roman"/>
        <family val="1"/>
      </rPr>
      <t xml:space="preserve">                                               </t>
    </r>
  </si>
  <si>
    <t>Wing A</t>
  </si>
  <si>
    <t>Ground Floor For Commercial, Meter Room &amp; Parking</t>
  </si>
  <si>
    <t>Shop</t>
  </si>
  <si>
    <t>1st Floor For Residential</t>
  </si>
  <si>
    <t>2BHK</t>
  </si>
  <si>
    <t>3BHK</t>
  </si>
  <si>
    <t>2nd, 3rd, 4th, 5th, 6th, 7th, 9th, 10th, 11th &amp; 12th Floor</t>
  </si>
  <si>
    <t>8th Floor (Part Refuge Area)</t>
  </si>
  <si>
    <t>Refuge Area</t>
  </si>
  <si>
    <t>Wing B</t>
  </si>
  <si>
    <t>Basement Floor For Service Space &amp; Parking</t>
  </si>
  <si>
    <t>Ground Floor For Meter Room &amp; Parking</t>
  </si>
  <si>
    <t>-</t>
  </si>
  <si>
    <t>Flats - 166, Shops - 6</t>
  </si>
  <si>
    <t>Builder Area Sheet :</t>
  </si>
  <si>
    <t>Valid upto Date</t>
  </si>
  <si>
    <t>PMP/NRV/16663/J.K.807/2023</t>
  </si>
  <si>
    <t>Airport Noc No
Site Elevation Height:
Permissible Top Elevation</t>
  </si>
  <si>
    <t>10.61M (AMSL)
109.61M (AMSL)</t>
  </si>
  <si>
    <t>NAVI/WEST/B/010923/735999</t>
  </si>
  <si>
    <t>Swimming Pool, Fitness Center, Indoore Games, Senior Sit-Outs, Elegant and well designed decorative entrance lobby, Reputed automatic high-speed eleevators with ARD, Power backup facility for Lifts, Club House, Waterpumps and lighting for common area, Underground and overhead water tank, Society office for maintenance affairs, Round the clock security etc.</t>
  </si>
  <si>
    <t>We considered Gross carpet area = Net carpet + Balcony Area+ Chajja Area.</t>
  </si>
  <si>
    <t>Balcony Area+Chajja Area</t>
  </si>
  <si>
    <t>PMC/TP/Taloje Majkur/111/2/21-23/
16663/807/2023</t>
  </si>
  <si>
    <t>Wing A = 1B + Gr + 1st to 14th Floor</t>
  </si>
  <si>
    <t>Mr.Irfan 9930357927</t>
  </si>
  <si>
    <t>Pranita Mhatre</t>
  </si>
  <si>
    <t>Wing A &amp; B = Construction work is in process at the time of Visit.
(Internal photo was not allowed).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</si>
</sst>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43" formatCode="_ * #,##0.00_ ;_ * \-#,##0.00_ ;_ * &quot;-&quot;??_ ;_ @_ "/>
    <numFmt numFmtId="164" formatCode="0.0"/>
    <numFmt numFmtId="165" formatCode="_(* #,##0.00_);_(* \(#,##0.00\);_(* &quot;-&quot;??_);_(@_)"/>
    <numFmt numFmtId="166" formatCode="_(* #,##0_);_(* \(#,##0\);_(* &quot;-&quot;??_);_(@_)"/>
    <numFmt numFmtId="167" formatCode="_ * #,##0_ ;_ * \-#,##0_ ;_ * &quot;-&quot;??_ ;_ @_ "/>
    <numFmt numFmtId="168" formatCode="0.000"/>
  </numFmts>
  <fonts count="31" x14ac:knownFonts="1">
    <font>
      <sz val="11"/>
      <color rgb="FF000000"/>
      <name val="Calibri"/>
      <family val="2"/>
    </font>
    <font>
      <sz val="11"/>
      <color theme="1"/>
      <name val="Calibri"/>
      <family val="2"/>
      <scheme val="minor"/>
    </font>
    <font>
      <sz val="11"/>
      <color theme="1"/>
      <name val="Calibri"/>
      <family val="2"/>
      <scheme val="minor"/>
    </font>
    <font>
      <sz val="11"/>
      <color theme="1"/>
      <name val="Calibri"/>
      <family val="2"/>
      <scheme val="minor"/>
    </font>
    <font>
      <b/>
      <sz val="11"/>
      <color indexed="8"/>
      <name val="Times New Roman"/>
      <family val="1"/>
    </font>
    <font>
      <sz val="11"/>
      <color indexed="8"/>
      <name val="Calibri"/>
      <family val="2"/>
    </font>
    <font>
      <sz val="12"/>
      <color indexed="8"/>
      <name val="Times New Roman"/>
      <family val="1"/>
    </font>
    <font>
      <sz val="12"/>
      <color theme="1"/>
      <name val="Times New Roman"/>
      <family val="1"/>
    </font>
    <font>
      <b/>
      <sz val="12"/>
      <color indexed="8"/>
      <name val="Times New Roman"/>
      <family val="1"/>
    </font>
    <font>
      <b/>
      <sz val="11"/>
      <color theme="1"/>
      <name val="Calibri"/>
      <family val="2"/>
      <scheme val="minor"/>
    </font>
    <font>
      <b/>
      <sz val="12"/>
      <color theme="1"/>
      <name val="Times New Roman"/>
      <family val="1"/>
    </font>
    <font>
      <b/>
      <sz val="11.5"/>
      <color indexed="8"/>
      <name val="Times New Roman"/>
      <family val="1"/>
    </font>
    <font>
      <sz val="12"/>
      <name val="Times New Roman"/>
      <family val="1"/>
    </font>
    <font>
      <b/>
      <sz val="12"/>
      <name val="Times New Roman"/>
      <family val="1"/>
    </font>
    <font>
      <sz val="11"/>
      <name val="Times New Roman"/>
      <family val="1"/>
    </font>
    <font>
      <sz val="12"/>
      <color rgb="FFFF0000"/>
      <name val="Times New Roman"/>
      <family val="1"/>
    </font>
    <font>
      <sz val="11"/>
      <color theme="1"/>
      <name val="Times New Roman"/>
      <family val="1"/>
    </font>
    <font>
      <b/>
      <sz val="12"/>
      <color rgb="FFFF0000"/>
      <name val="Times New Roman"/>
      <family val="1"/>
    </font>
    <font>
      <sz val="11"/>
      <color rgb="FF000000"/>
      <name val="Times New Roman"/>
      <family val="1"/>
    </font>
    <font>
      <sz val="11"/>
      <color rgb="FFFF0000"/>
      <name val="Calibri"/>
      <family val="2"/>
      <scheme val="minor"/>
    </font>
    <font>
      <sz val="11"/>
      <color rgb="FFFF0000"/>
      <name val="Calibri"/>
      <family val="2"/>
    </font>
    <font>
      <sz val="10"/>
      <name val="Arial"/>
      <family val="2"/>
    </font>
    <font>
      <sz val="11"/>
      <color rgb="FF000000"/>
      <name val="Calibri"/>
      <family val="2"/>
    </font>
    <font>
      <b/>
      <sz val="11"/>
      <color rgb="FF000000"/>
      <name val="Times New Roman"/>
      <family val="1"/>
    </font>
    <font>
      <sz val="10"/>
      <color theme="1"/>
      <name val="Times New Roman"/>
      <family val="1"/>
    </font>
    <font>
      <sz val="11"/>
      <name val="Calibri"/>
      <family val="2"/>
    </font>
    <font>
      <sz val="11"/>
      <color theme="0"/>
      <name val="Calibri"/>
      <family val="2"/>
    </font>
    <font>
      <u/>
      <sz val="11"/>
      <color theme="10"/>
      <name val="Calibri"/>
      <family val="2"/>
    </font>
    <font>
      <sz val="9"/>
      <color indexed="81"/>
      <name val="Tahoma"/>
      <family val="2"/>
    </font>
    <font>
      <b/>
      <sz val="9"/>
      <color indexed="81"/>
      <name val="Tahoma"/>
      <family val="2"/>
    </font>
    <font>
      <b/>
      <sz val="11"/>
      <color rgb="FF000000"/>
      <name val="Calibri"/>
      <family val="2"/>
    </font>
  </fonts>
  <fills count="3">
    <fill>
      <patternFill patternType="none"/>
    </fill>
    <fill>
      <patternFill patternType="gray125"/>
    </fill>
    <fill>
      <patternFill patternType="solid">
        <fgColor rgb="FFFFFF00"/>
        <bgColor indexed="64"/>
      </patternFill>
    </fill>
  </fills>
  <borders count="3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top style="thin">
        <color indexed="64"/>
      </top>
      <bottom/>
      <diagonal/>
    </border>
    <border>
      <left style="thin">
        <color indexed="64"/>
      </left>
      <right/>
      <top/>
      <bottom/>
      <diagonal/>
    </border>
    <border>
      <left/>
      <right style="thin">
        <color indexed="64"/>
      </right>
      <top/>
      <bottom/>
      <diagonal/>
    </border>
    <border>
      <left/>
      <right style="medium">
        <color indexed="64"/>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s>
  <cellStyleXfs count="11">
    <xf numFmtId="0" fontId="0" fillId="0" borderId="0"/>
    <xf numFmtId="0" fontId="3" fillId="0" borderId="0"/>
    <xf numFmtId="0" fontId="5" fillId="0" borderId="0"/>
    <xf numFmtId="0" fontId="2" fillId="0" borderId="0"/>
    <xf numFmtId="0" fontId="5" fillId="0" borderId="0"/>
    <xf numFmtId="0" fontId="1" fillId="0" borderId="0"/>
    <xf numFmtId="165" fontId="5" fillId="0" borderId="0" applyFont="0" applyFill="0" applyBorder="0" applyAlignment="0" applyProtection="0"/>
    <xf numFmtId="0" fontId="21" fillId="0" borderId="0"/>
    <xf numFmtId="9" fontId="22" fillId="0" borderId="0" applyFont="0" applyFill="0" applyBorder="0" applyAlignment="0" applyProtection="0"/>
    <xf numFmtId="43" fontId="22" fillId="0" borderId="0" applyFont="0" applyFill="0" applyBorder="0" applyAlignment="0" applyProtection="0"/>
    <xf numFmtId="0" fontId="27" fillId="0" borderId="0" applyNumberFormat="0" applyFill="0" applyBorder="0" applyAlignment="0" applyProtection="0"/>
  </cellStyleXfs>
  <cellXfs count="249">
    <xf numFmtId="0" fontId="0" fillId="0" borderId="0" xfId="0"/>
    <xf numFmtId="0" fontId="5" fillId="0" borderId="0" xfId="4"/>
    <xf numFmtId="0" fontId="1" fillId="0" borderId="0" xfId="5"/>
    <xf numFmtId="0" fontId="9" fillId="0" borderId="1" xfId="5" applyFont="1" applyBorder="1" applyAlignment="1">
      <alignment horizontal="center" vertical="top" wrapText="1"/>
    </xf>
    <xf numFmtId="0" fontId="20" fillId="0" borderId="0" xfId="4" applyFont="1"/>
    <xf numFmtId="0" fontId="1" fillId="0" borderId="1" xfId="5" applyBorder="1" applyAlignment="1">
      <alignment horizontal="center" vertical="center"/>
    </xf>
    <xf numFmtId="0" fontId="1" fillId="0" borderId="1" xfId="5" applyBorder="1" applyAlignment="1">
      <alignment horizontal="left" vertical="center"/>
    </xf>
    <xf numFmtId="1" fontId="1" fillId="0" borderId="1" xfId="5" applyNumberFormat="1" applyBorder="1" applyAlignment="1">
      <alignment horizontal="center" vertical="center"/>
    </xf>
    <xf numFmtId="166" fontId="1" fillId="0" borderId="1" xfId="6" applyNumberFormat="1" applyFont="1" applyBorder="1" applyAlignment="1">
      <alignment horizontal="right" vertical="center"/>
    </xf>
    <xf numFmtId="0" fontId="1" fillId="0" borderId="1" xfId="5" applyBorder="1" applyAlignment="1">
      <alignment horizontal="left" vertical="center" wrapText="1"/>
    </xf>
    <xf numFmtId="0" fontId="9" fillId="0" borderId="1" xfId="5" applyFont="1" applyBorder="1" applyAlignment="1">
      <alignment horizontal="center" vertical="center"/>
    </xf>
    <xf numFmtId="1" fontId="19" fillId="0" borderId="1" xfId="5" applyNumberFormat="1" applyFont="1" applyBorder="1" applyAlignment="1">
      <alignment horizontal="center" vertical="center"/>
    </xf>
    <xf numFmtId="0" fontId="5" fillId="0" borderId="1" xfId="4" applyBorder="1" applyAlignment="1">
      <alignment horizontal="center" vertical="center"/>
    </xf>
    <xf numFmtId="0" fontId="18" fillId="0" borderId="0" xfId="0" applyFont="1" applyProtection="1">
      <protection hidden="1"/>
    </xf>
    <xf numFmtId="0" fontId="18" fillId="0" borderId="10" xfId="0" applyFont="1" applyBorder="1" applyProtection="1">
      <protection hidden="1"/>
    </xf>
    <xf numFmtId="0" fontId="12" fillId="0" borderId="3" xfId="1" applyFont="1" applyBorder="1" applyAlignment="1" applyProtection="1">
      <alignment horizontal="center" vertical="top"/>
      <protection locked="0"/>
    </xf>
    <xf numFmtId="0" fontId="6" fillId="0" borderId="1" xfId="1" applyFont="1" applyBorder="1" applyAlignment="1" applyProtection="1">
      <alignment vertical="top" wrapText="1"/>
      <protection locked="0"/>
    </xf>
    <xf numFmtId="9" fontId="7" fillId="0" borderId="1" xfId="8" applyFont="1" applyFill="1" applyBorder="1" applyAlignment="1" applyProtection="1">
      <alignment horizontal="center" vertical="top" wrapText="1"/>
      <protection locked="0"/>
    </xf>
    <xf numFmtId="9" fontId="7" fillId="0" borderId="6" xfId="8" applyFont="1" applyFill="1" applyBorder="1" applyAlignment="1" applyProtection="1">
      <alignment horizontal="center" vertical="top" wrapText="1"/>
      <protection locked="0"/>
    </xf>
    <xf numFmtId="0" fontId="7" fillId="0" borderId="0" xfId="1" applyFont="1"/>
    <xf numFmtId="0" fontId="15" fillId="0" borderId="0" xfId="1" applyFont="1"/>
    <xf numFmtId="0" fontId="12" fillId="0" borderId="0" xfId="1" applyFont="1"/>
    <xf numFmtId="1" fontId="7" fillId="0" borderId="0" xfId="1" applyNumberFormat="1" applyFont="1"/>
    <xf numFmtId="14" fontId="7" fillId="0" borderId="0" xfId="1" applyNumberFormat="1" applyFont="1"/>
    <xf numFmtId="0" fontId="7" fillId="0" borderId="0" xfId="1" applyFont="1" applyProtection="1">
      <protection hidden="1"/>
    </xf>
    <xf numFmtId="0" fontId="24" fillId="0" borderId="0" xfId="1" applyFont="1"/>
    <xf numFmtId="0" fontId="7" fillId="0" borderId="9" xfId="1" applyFont="1" applyBorder="1"/>
    <xf numFmtId="0" fontId="18" fillId="0" borderId="9" xfId="0" applyFont="1" applyBorder="1" applyProtection="1">
      <protection hidden="1"/>
    </xf>
    <xf numFmtId="1" fontId="0" fillId="0" borderId="9" xfId="0" applyNumberFormat="1" applyBorder="1"/>
    <xf numFmtId="1" fontId="0" fillId="0" borderId="9" xfId="0" applyNumberFormat="1" applyBorder="1" applyAlignment="1">
      <alignment horizontal="right"/>
    </xf>
    <xf numFmtId="1" fontId="0" fillId="0" borderId="11" xfId="0" applyNumberFormat="1" applyBorder="1"/>
    <xf numFmtId="0" fontId="16" fillId="0" borderId="0" xfId="1" applyFont="1"/>
    <xf numFmtId="0" fontId="6" fillId="0" borderId="0" xfId="2" applyFont="1"/>
    <xf numFmtId="0" fontId="7" fillId="0" borderId="0" xfId="0" applyFont="1" applyAlignment="1">
      <alignment horizontal="center" vertical="center"/>
    </xf>
    <xf numFmtId="1" fontId="7" fillId="0" borderId="0" xfId="1" applyNumberFormat="1" applyFont="1" applyAlignment="1">
      <alignment horizontal="center" vertical="center"/>
    </xf>
    <xf numFmtId="0" fontId="7" fillId="0" borderId="0" xfId="1" applyFont="1" applyAlignment="1">
      <alignment horizontal="center" vertical="center"/>
    </xf>
    <xf numFmtId="0" fontId="8" fillId="0" borderId="0" xfId="1" applyFont="1" applyAlignment="1" applyProtection="1">
      <alignment vertical="top"/>
      <protection locked="0"/>
    </xf>
    <xf numFmtId="0" fontId="8" fillId="0" borderId="0" xfId="1" applyFont="1" applyAlignment="1" applyProtection="1">
      <alignment vertical="top" wrapText="1"/>
      <protection locked="0"/>
    </xf>
    <xf numFmtId="0" fontId="7" fillId="0" borderId="0" xfId="1" applyFont="1" applyProtection="1">
      <protection locked="0"/>
    </xf>
    <xf numFmtId="0" fontId="10" fillId="0" borderId="0" xfId="1" applyFont="1" applyProtection="1">
      <protection locked="0"/>
    </xf>
    <xf numFmtId="1" fontId="6" fillId="0" borderId="1" xfId="1" applyNumberFormat="1" applyFont="1" applyBorder="1" applyAlignment="1" applyProtection="1">
      <alignment horizontal="center" vertical="center" wrapText="1"/>
      <protection locked="0"/>
    </xf>
    <xf numFmtId="0" fontId="7" fillId="0" borderId="1" xfId="1" applyFont="1" applyBorder="1" applyAlignment="1" applyProtection="1">
      <alignment horizontal="center" vertical="top" wrapText="1"/>
      <protection locked="0"/>
    </xf>
    <xf numFmtId="0" fontId="7" fillId="0" borderId="6" xfId="1" applyFont="1" applyBorder="1" applyAlignment="1" applyProtection="1">
      <alignment horizontal="center" vertical="top" wrapText="1"/>
      <protection locked="0"/>
    </xf>
    <xf numFmtId="0" fontId="8" fillId="0" borderId="1" xfId="1" applyFont="1" applyBorder="1" applyAlignment="1" applyProtection="1">
      <alignment vertical="top"/>
      <protection locked="0"/>
    </xf>
    <xf numFmtId="1" fontId="6" fillId="0" borderId="1" xfId="0" applyNumberFormat="1" applyFont="1" applyBorder="1" applyAlignment="1" applyProtection="1">
      <alignment horizontal="center" vertical="center" wrapText="1"/>
      <protection locked="0"/>
    </xf>
    <xf numFmtId="0" fontId="25" fillId="2" borderId="29" xfId="0" applyFont="1" applyFill="1" applyBorder="1"/>
    <xf numFmtId="0" fontId="26" fillId="0" borderId="30" xfId="0" applyFont="1" applyBorder="1"/>
    <xf numFmtId="0" fontId="26" fillId="0" borderId="1" xfId="0" applyFont="1" applyBorder="1"/>
    <xf numFmtId="0" fontId="26" fillId="0" borderId="4" xfId="0" applyFont="1" applyBorder="1"/>
    <xf numFmtId="0" fontId="12" fillId="0" borderId="1" xfId="1" applyFont="1" applyBorder="1" applyAlignment="1" applyProtection="1">
      <alignment horizontal="center" vertical="top"/>
      <protection locked="0"/>
    </xf>
    <xf numFmtId="1" fontId="6" fillId="0" borderId="1" xfId="0" applyNumberFormat="1" applyFont="1" applyBorder="1" applyAlignment="1" applyProtection="1">
      <alignment horizontal="center" vertical="center" wrapText="1"/>
      <protection locked="0"/>
    </xf>
    <xf numFmtId="0" fontId="0" fillId="0" borderId="0" xfId="0" applyAlignment="1">
      <alignment horizontal="center" vertical="center"/>
    </xf>
    <xf numFmtId="0" fontId="0" fillId="0" borderId="1" xfId="0" applyBorder="1" applyAlignment="1">
      <alignment horizontal="center" vertical="center"/>
    </xf>
    <xf numFmtId="1" fontId="6" fillId="0" borderId="1" xfId="1" applyNumberFormat="1" applyFont="1" applyBorder="1" applyAlignment="1" applyProtection="1">
      <alignment horizontal="center" vertical="center" wrapText="1"/>
      <protection locked="0"/>
    </xf>
    <xf numFmtId="1" fontId="8" fillId="0" borderId="2" xfId="1" applyNumberFormat="1" applyFont="1" applyBorder="1" applyAlignment="1" applyProtection="1">
      <alignment horizontal="center" vertical="top" wrapText="1"/>
      <protection locked="0"/>
    </xf>
    <xf numFmtId="1" fontId="6" fillId="0" borderId="1" xfId="0" applyNumberFormat="1" applyFont="1" applyBorder="1" applyAlignment="1" applyProtection="1">
      <alignment horizontal="center" vertical="center" wrapText="1"/>
      <protection locked="0"/>
    </xf>
    <xf numFmtId="0" fontId="0" fillId="0" borderId="0" xfId="0" applyAlignment="1">
      <alignment horizontal="center"/>
    </xf>
    <xf numFmtId="0" fontId="0" fillId="0" borderId="1" xfId="0" applyBorder="1"/>
    <xf numFmtId="0" fontId="0" fillId="0" borderId="1" xfId="0" applyBorder="1" applyAlignment="1">
      <alignment wrapText="1"/>
    </xf>
    <xf numFmtId="0" fontId="0" fillId="0" borderId="1" xfId="0" applyBorder="1" applyAlignment="1"/>
    <xf numFmtId="0" fontId="0" fillId="0" borderId="1" xfId="0" applyBorder="1" applyAlignment="1">
      <alignment horizontal="left" vertical="top" wrapText="1"/>
    </xf>
    <xf numFmtId="0" fontId="7" fillId="0" borderId="1" xfId="1" applyFont="1" applyBorder="1" applyAlignment="1" applyProtection="1">
      <alignment horizontal="center" vertical="top" wrapText="1"/>
      <protection locked="0"/>
    </xf>
    <xf numFmtId="1" fontId="6" fillId="0" borderId="1" xfId="1" applyNumberFormat="1" applyFont="1" applyBorder="1" applyAlignment="1" applyProtection="1">
      <alignment horizontal="center" vertical="center" wrapText="1"/>
      <protection locked="0"/>
    </xf>
    <xf numFmtId="1" fontId="6" fillId="0" borderId="1" xfId="1" applyNumberFormat="1" applyFont="1" applyFill="1" applyBorder="1" applyAlignment="1" applyProtection="1">
      <alignment horizontal="center" vertical="center" wrapText="1"/>
      <protection locked="0"/>
    </xf>
    <xf numFmtId="0" fontId="7" fillId="0" borderId="1" xfId="1" applyFont="1" applyBorder="1" applyAlignment="1" applyProtection="1">
      <alignment horizontal="center" vertical="top" wrapText="1"/>
      <protection locked="0"/>
    </xf>
    <xf numFmtId="1" fontId="6" fillId="0" borderId="1" xfId="1" applyNumberFormat="1" applyFont="1" applyBorder="1" applyAlignment="1" applyProtection="1">
      <alignment horizontal="center" vertical="center" wrapText="1"/>
      <protection locked="0"/>
    </xf>
    <xf numFmtId="1" fontId="8" fillId="0" borderId="2" xfId="1" applyNumberFormat="1" applyFont="1" applyBorder="1" applyAlignment="1" applyProtection="1">
      <alignment horizontal="center" vertical="top" wrapText="1"/>
      <protection locked="0"/>
    </xf>
    <xf numFmtId="0" fontId="7" fillId="0" borderId="6" xfId="1" applyFont="1" applyBorder="1" applyAlignment="1" applyProtection="1">
      <alignment horizontal="center" vertical="top" wrapText="1"/>
      <protection locked="0"/>
    </xf>
    <xf numFmtId="0" fontId="7" fillId="0" borderId="0" xfId="1" applyFont="1" applyAlignment="1">
      <alignment horizontal="center" vertical="center"/>
    </xf>
    <xf numFmtId="0" fontId="7" fillId="0" borderId="1" xfId="1" applyFont="1" applyBorder="1" applyAlignment="1" applyProtection="1">
      <alignment vertical="top" wrapText="1"/>
      <protection locked="0"/>
    </xf>
    <xf numFmtId="1" fontId="7" fillId="0" borderId="1" xfId="1" applyNumberFormat="1" applyFont="1" applyBorder="1" applyAlignment="1" applyProtection="1">
      <alignment horizontal="center" vertical="top" wrapText="1"/>
      <protection locked="0"/>
    </xf>
    <xf numFmtId="0" fontId="7" fillId="0" borderId="1" xfId="1" applyFont="1" applyBorder="1" applyAlignment="1" applyProtection="1">
      <alignment horizontal="center" vertical="top"/>
      <protection locked="0"/>
    </xf>
    <xf numFmtId="0" fontId="7" fillId="0" borderId="4" xfId="1" applyFont="1" applyBorder="1" applyAlignment="1" applyProtection="1">
      <alignment horizontal="center" vertical="top"/>
      <protection locked="0"/>
    </xf>
    <xf numFmtId="9" fontId="10" fillId="0" borderId="15" xfId="8" applyFont="1" applyFill="1" applyBorder="1" applyAlignment="1" applyProtection="1">
      <alignment horizontal="center" vertical="top" wrapText="1"/>
      <protection locked="0"/>
    </xf>
    <xf numFmtId="1" fontId="7" fillId="0" borderId="1" xfId="1" applyNumberFormat="1" applyFont="1" applyBorder="1" applyAlignment="1">
      <alignment horizontal="center"/>
    </xf>
    <xf numFmtId="168" fontId="7" fillId="0" borderId="0" xfId="1" applyNumberFormat="1" applyFont="1" applyAlignment="1">
      <alignment horizontal="center" vertical="center"/>
    </xf>
    <xf numFmtId="0" fontId="7" fillId="0" borderId="3" xfId="1" applyFont="1" applyBorder="1" applyAlignment="1" applyProtection="1">
      <alignment horizontal="center" vertical="top"/>
      <protection locked="0"/>
    </xf>
    <xf numFmtId="0" fontId="7" fillId="0" borderId="0" xfId="1" applyFont="1" applyAlignment="1">
      <alignment horizontal="center" vertical="center"/>
    </xf>
    <xf numFmtId="0" fontId="7" fillId="0" borderId="6" xfId="1" applyFont="1" applyBorder="1" applyAlignment="1" applyProtection="1">
      <alignment horizontal="center" vertical="top" wrapText="1"/>
      <protection locked="0"/>
    </xf>
    <xf numFmtId="0" fontId="7" fillId="0" borderId="1" xfId="1" applyFont="1" applyBorder="1" applyAlignment="1" applyProtection="1">
      <alignment horizontal="center" vertical="top" wrapText="1"/>
      <protection locked="0"/>
    </xf>
    <xf numFmtId="1" fontId="7" fillId="0" borderId="1" xfId="1" applyNumberFormat="1" applyFont="1" applyBorder="1" applyAlignment="1">
      <alignment horizontal="center" vertical="center"/>
    </xf>
    <xf numFmtId="1" fontId="6" fillId="0" borderId="1" xfId="1" applyNumberFormat="1" applyFont="1" applyBorder="1" applyAlignment="1" applyProtection="1">
      <alignment horizontal="center" vertical="center" wrapText="1"/>
      <protection locked="0"/>
    </xf>
    <xf numFmtId="1" fontId="8" fillId="0" borderId="7" xfId="1" applyNumberFormat="1" applyFont="1" applyBorder="1" applyAlignment="1" applyProtection="1">
      <alignment horizontal="center" vertical="center" wrapText="1"/>
      <protection locked="0"/>
    </xf>
    <xf numFmtId="1" fontId="8" fillId="0" borderId="20" xfId="1" applyNumberFormat="1" applyFont="1" applyBorder="1" applyAlignment="1" applyProtection="1">
      <alignment horizontal="center" vertical="center" wrapText="1"/>
      <protection locked="0"/>
    </xf>
    <xf numFmtId="1" fontId="8" fillId="0" borderId="8" xfId="1" applyNumberFormat="1" applyFont="1" applyBorder="1" applyAlignment="1" applyProtection="1">
      <alignment horizontal="center" vertical="center" wrapText="1"/>
      <protection locked="0"/>
    </xf>
    <xf numFmtId="1" fontId="6" fillId="0" borderId="7" xfId="1" applyNumberFormat="1" applyFont="1" applyBorder="1" applyAlignment="1" applyProtection="1">
      <alignment horizontal="center" vertical="center" wrapText="1"/>
      <protection locked="0"/>
    </xf>
    <xf numFmtId="1" fontId="6" fillId="0" borderId="8" xfId="1" applyNumberFormat="1" applyFont="1" applyBorder="1" applyAlignment="1" applyProtection="1">
      <alignment horizontal="center" vertical="center" wrapText="1"/>
      <protection locked="0"/>
    </xf>
    <xf numFmtId="1" fontId="6" fillId="0" borderId="20" xfId="1" applyNumberFormat="1" applyFont="1" applyBorder="1" applyAlignment="1" applyProtection="1">
      <alignment horizontal="center" vertical="center" wrapText="1"/>
      <protection locked="0"/>
    </xf>
    <xf numFmtId="0" fontId="7" fillId="0" borderId="24" xfId="1" applyFont="1" applyBorder="1" applyAlignment="1">
      <alignment horizontal="center"/>
    </xf>
    <xf numFmtId="0" fontId="7" fillId="0" borderId="0" xfId="1" applyFont="1" applyAlignment="1">
      <alignment horizontal="center"/>
    </xf>
    <xf numFmtId="167" fontId="12" fillId="0" borderId="1" xfId="9" applyNumberFormat="1" applyFont="1" applyFill="1" applyBorder="1" applyAlignment="1" applyProtection="1">
      <alignment horizontal="left" vertical="top"/>
      <protection locked="0"/>
    </xf>
    <xf numFmtId="0" fontId="10" fillId="0" borderId="1" xfId="1" applyFont="1" applyBorder="1" applyAlignment="1" applyProtection="1">
      <alignment horizontal="center" vertical="top"/>
      <protection locked="0"/>
    </xf>
    <xf numFmtId="1" fontId="8" fillId="0" borderId="1" xfId="0" applyNumberFormat="1" applyFont="1" applyBorder="1" applyAlignment="1" applyProtection="1">
      <alignment horizontal="center" vertical="top" wrapText="1"/>
      <protection locked="0"/>
    </xf>
    <xf numFmtId="0" fontId="6" fillId="0" borderId="1" xfId="1" applyFont="1" applyBorder="1" applyAlignment="1" applyProtection="1">
      <alignment horizontal="left" vertical="top"/>
      <protection locked="0"/>
    </xf>
    <xf numFmtId="0" fontId="8" fillId="0" borderId="7" xfId="1" applyFont="1" applyBorder="1" applyAlignment="1" applyProtection="1">
      <alignment horizontal="left" vertical="top" wrapText="1"/>
      <protection locked="0"/>
    </xf>
    <xf numFmtId="0" fontId="8" fillId="0" borderId="8" xfId="1" applyFont="1" applyBorder="1" applyAlignment="1" applyProtection="1">
      <alignment horizontal="left" vertical="top" wrapText="1"/>
      <protection locked="0"/>
    </xf>
    <xf numFmtId="0" fontId="8" fillId="0" borderId="20" xfId="1" applyFont="1" applyBorder="1" applyAlignment="1" applyProtection="1">
      <alignment horizontal="left" vertical="top" wrapText="1"/>
      <protection locked="0"/>
    </xf>
    <xf numFmtId="0" fontId="10" fillId="0" borderId="1" xfId="0" applyFont="1" applyBorder="1" applyAlignment="1" applyProtection="1">
      <alignment horizontal="center" vertical="top" wrapText="1"/>
      <protection locked="0"/>
    </xf>
    <xf numFmtId="0" fontId="10" fillId="0" borderId="1" xfId="0" applyFont="1" applyBorder="1" applyAlignment="1" applyProtection="1">
      <alignment horizontal="center" vertical="center"/>
      <protection locked="0"/>
    </xf>
    <xf numFmtId="0" fontId="6" fillId="0" borderId="1" xfId="1" applyFont="1" applyBorder="1" applyAlignment="1" applyProtection="1">
      <alignment horizontal="left" vertical="top" wrapText="1"/>
      <protection locked="0"/>
    </xf>
    <xf numFmtId="0" fontId="6" fillId="0" borderId="2" xfId="1" applyFont="1" applyBorder="1" applyAlignment="1" applyProtection="1">
      <alignment horizontal="left" vertical="top"/>
      <protection locked="0"/>
    </xf>
    <xf numFmtId="164" fontId="6" fillId="0" borderId="1" xfId="1" applyNumberFormat="1" applyFont="1" applyBorder="1" applyAlignment="1" applyProtection="1">
      <alignment horizontal="left" vertical="top"/>
      <protection locked="0"/>
    </xf>
    <xf numFmtId="0" fontId="10" fillId="0" borderId="21" xfId="1" applyFont="1" applyBorder="1" applyAlignment="1" applyProtection="1">
      <alignment horizontal="left" vertical="top" wrapText="1"/>
      <protection locked="0"/>
    </xf>
    <xf numFmtId="0" fontId="10" fillId="0" borderId="14" xfId="1" applyFont="1" applyBorder="1" applyAlignment="1" applyProtection="1">
      <alignment horizontal="left" vertical="top" wrapText="1"/>
      <protection locked="0"/>
    </xf>
    <xf numFmtId="0" fontId="8" fillId="0" borderId="12" xfId="1" applyFont="1" applyBorder="1" applyAlignment="1" applyProtection="1">
      <alignment horizontal="left" vertical="top" wrapText="1"/>
      <protection locked="0"/>
    </xf>
    <xf numFmtId="0" fontId="8" fillId="0" borderId="13" xfId="1" applyFont="1" applyBorder="1" applyAlignment="1" applyProtection="1">
      <alignment horizontal="left" vertical="top" wrapText="1"/>
      <protection locked="0"/>
    </xf>
    <xf numFmtId="0" fontId="8" fillId="0" borderId="22" xfId="1" applyFont="1" applyBorder="1" applyAlignment="1" applyProtection="1">
      <alignment horizontal="left" vertical="top" wrapText="1"/>
      <protection locked="0"/>
    </xf>
    <xf numFmtId="0" fontId="7" fillId="0" borderId="3" xfId="1" applyFont="1" applyBorder="1" applyAlignment="1" applyProtection="1">
      <alignment horizontal="center" vertical="top" wrapText="1"/>
      <protection locked="0"/>
    </xf>
    <xf numFmtId="0" fontId="7" fillId="0" borderId="1" xfId="1" applyFont="1" applyBorder="1" applyAlignment="1" applyProtection="1">
      <alignment horizontal="center" vertical="top" wrapText="1"/>
      <protection locked="0"/>
    </xf>
    <xf numFmtId="0" fontId="6" fillId="0" borderId="7" xfId="1" applyFont="1" applyBorder="1" applyAlignment="1" applyProtection="1">
      <alignment horizontal="left" vertical="top" wrapText="1"/>
      <protection locked="0"/>
    </xf>
    <xf numFmtId="0" fontId="6" fillId="0" borderId="8" xfId="1" applyFont="1" applyBorder="1" applyAlignment="1" applyProtection="1">
      <alignment horizontal="left" vertical="top" wrapText="1"/>
      <protection locked="0"/>
    </xf>
    <xf numFmtId="0" fontId="6" fillId="0" borderId="20" xfId="1" applyFont="1" applyBorder="1" applyAlignment="1" applyProtection="1">
      <alignment horizontal="left" vertical="top" wrapText="1"/>
      <protection locked="0"/>
    </xf>
    <xf numFmtId="14" fontId="6" fillId="0" borderId="7" xfId="1" applyNumberFormat="1" applyFont="1" applyBorder="1" applyAlignment="1" applyProtection="1">
      <alignment horizontal="left" vertical="top" wrapText="1"/>
      <protection locked="0"/>
    </xf>
    <xf numFmtId="0" fontId="8" fillId="0" borderId="1" xfId="1" applyFont="1" applyBorder="1" applyAlignment="1" applyProtection="1">
      <alignment vertical="top"/>
      <protection locked="0"/>
    </xf>
    <xf numFmtId="0" fontId="12" fillId="0" borderId="1" xfId="1" applyFont="1" applyBorder="1" applyAlignment="1" applyProtection="1">
      <alignment horizontal="left" vertical="top" wrapText="1"/>
      <protection locked="0"/>
    </xf>
    <xf numFmtId="0" fontId="12" fillId="0" borderId="1" xfId="1" applyFont="1" applyBorder="1" applyAlignment="1" applyProtection="1">
      <alignment horizontal="left" vertical="top"/>
      <protection locked="0"/>
    </xf>
    <xf numFmtId="0" fontId="7" fillId="0" borderId="1" xfId="1" applyFont="1" applyBorder="1" applyAlignment="1" applyProtection="1">
      <alignment horizontal="left" vertical="top"/>
      <protection locked="0"/>
    </xf>
    <xf numFmtId="0" fontId="8" fillId="0" borderId="7" xfId="1" applyFont="1" applyBorder="1" applyAlignment="1" applyProtection="1">
      <alignment horizontal="left" vertical="top"/>
      <protection locked="0"/>
    </xf>
    <xf numFmtId="0" fontId="8" fillId="0" borderId="8" xfId="1" applyFont="1" applyBorder="1" applyAlignment="1" applyProtection="1">
      <alignment horizontal="left" vertical="top"/>
      <protection locked="0"/>
    </xf>
    <xf numFmtId="0" fontId="15" fillId="0" borderId="16" xfId="1" applyFont="1" applyBorder="1" applyAlignment="1" applyProtection="1">
      <alignment horizontal="left" vertical="top" wrapText="1"/>
      <protection locked="0"/>
    </xf>
    <xf numFmtId="0" fontId="15" fillId="0" borderId="17" xfId="1" applyFont="1" applyBorder="1" applyAlignment="1" applyProtection="1">
      <alignment horizontal="left" vertical="top" wrapText="1"/>
      <protection locked="0"/>
    </xf>
    <xf numFmtId="0" fontId="15" fillId="0" borderId="18" xfId="1" applyFont="1" applyBorder="1" applyAlignment="1" applyProtection="1">
      <alignment horizontal="left" vertical="top" wrapText="1"/>
      <protection locked="0"/>
    </xf>
    <xf numFmtId="0" fontId="15" fillId="0" borderId="19" xfId="1" applyFont="1" applyBorder="1" applyAlignment="1" applyProtection="1">
      <alignment horizontal="left" vertical="top" wrapText="1"/>
      <protection locked="0"/>
    </xf>
    <xf numFmtId="0" fontId="7" fillId="0" borderId="16" xfId="1" applyFont="1" applyBorder="1" applyAlignment="1" applyProtection="1">
      <alignment horizontal="left" vertical="top" wrapText="1"/>
      <protection locked="0"/>
    </xf>
    <xf numFmtId="0" fontId="7" fillId="0" borderId="17" xfId="1" applyFont="1" applyBorder="1" applyAlignment="1" applyProtection="1">
      <alignment horizontal="left" vertical="top" wrapText="1"/>
      <protection locked="0"/>
    </xf>
    <xf numFmtId="0" fontId="7" fillId="0" borderId="18" xfId="1" applyFont="1" applyBorder="1" applyAlignment="1" applyProtection="1">
      <alignment horizontal="left" vertical="top" wrapText="1"/>
      <protection locked="0"/>
    </xf>
    <xf numFmtId="0" fontId="7" fillId="0" borderId="19" xfId="1" applyFont="1" applyBorder="1" applyAlignment="1" applyProtection="1">
      <alignment horizontal="left" vertical="top" wrapText="1"/>
      <protection locked="0"/>
    </xf>
    <xf numFmtId="0" fontId="7" fillId="0" borderId="7" xfId="1" applyFont="1" applyBorder="1" applyAlignment="1" applyProtection="1">
      <alignment horizontal="left" vertical="top" wrapText="1"/>
      <protection locked="0"/>
    </xf>
    <xf numFmtId="0" fontId="7" fillId="0" borderId="20" xfId="1" applyFont="1" applyBorder="1" applyAlignment="1" applyProtection="1">
      <alignment horizontal="left" vertical="top" wrapText="1"/>
      <protection locked="0"/>
    </xf>
    <xf numFmtId="0" fontId="7" fillId="0" borderId="8" xfId="1" applyFont="1" applyBorder="1" applyAlignment="1" applyProtection="1">
      <alignment horizontal="left" vertical="top" wrapText="1"/>
      <protection locked="0"/>
    </xf>
    <xf numFmtId="14" fontId="7" fillId="0" borderId="7" xfId="1" applyNumberFormat="1" applyFont="1" applyBorder="1" applyAlignment="1" applyProtection="1">
      <alignment horizontal="left" vertical="top" wrapText="1"/>
      <protection locked="0"/>
    </xf>
    <xf numFmtId="0" fontId="6" fillId="0" borderId="16" xfId="1" applyFont="1" applyBorder="1" applyAlignment="1" applyProtection="1">
      <alignment horizontal="left" vertical="top" wrapText="1"/>
      <protection locked="0"/>
    </xf>
    <xf numFmtId="0" fontId="6" fillId="0" borderId="17" xfId="1" applyFont="1" applyBorder="1" applyAlignment="1" applyProtection="1">
      <alignment horizontal="left" vertical="top" wrapText="1"/>
      <protection locked="0"/>
    </xf>
    <xf numFmtId="0" fontId="6" fillId="0" borderId="18" xfId="1" applyFont="1" applyBorder="1" applyAlignment="1" applyProtection="1">
      <alignment horizontal="left" vertical="top" wrapText="1"/>
      <protection locked="0"/>
    </xf>
    <xf numFmtId="0" fontId="6" fillId="0" borderId="19" xfId="1" applyFont="1" applyBorder="1" applyAlignment="1" applyProtection="1">
      <alignment horizontal="left" vertical="top" wrapText="1"/>
      <protection locked="0"/>
    </xf>
    <xf numFmtId="0" fontId="6" fillId="0" borderId="1" xfId="1" applyFont="1" applyBorder="1" applyAlignment="1" applyProtection="1">
      <alignment vertical="top"/>
      <protection locked="0"/>
    </xf>
    <xf numFmtId="1" fontId="8" fillId="0" borderId="2" xfId="1" applyNumberFormat="1" applyFont="1" applyBorder="1" applyAlignment="1" applyProtection="1">
      <alignment horizontal="center" vertical="top" wrapText="1"/>
      <protection locked="0"/>
    </xf>
    <xf numFmtId="1" fontId="8" fillId="0" borderId="15" xfId="1" applyNumberFormat="1" applyFont="1" applyBorder="1" applyAlignment="1" applyProtection="1">
      <alignment horizontal="center" vertical="top" wrapText="1"/>
      <protection locked="0"/>
    </xf>
    <xf numFmtId="1" fontId="7" fillId="0" borderId="1" xfId="0" applyNumberFormat="1" applyFont="1" applyBorder="1" applyAlignment="1" applyProtection="1">
      <alignment horizontal="center" vertical="top" wrapText="1"/>
      <protection locked="0"/>
    </xf>
    <xf numFmtId="1" fontId="10" fillId="0" borderId="2" xfId="0" applyNumberFormat="1" applyFont="1" applyBorder="1" applyAlignment="1" applyProtection="1">
      <alignment horizontal="center" vertical="center"/>
      <protection locked="0"/>
    </xf>
    <xf numFmtId="0" fontId="10" fillId="0" borderId="2" xfId="0" applyFont="1" applyBorder="1" applyAlignment="1" applyProtection="1">
      <alignment horizontal="center" vertical="center"/>
      <protection locked="0"/>
    </xf>
    <xf numFmtId="1" fontId="8" fillId="0" borderId="7" xfId="0" applyNumberFormat="1" applyFont="1" applyBorder="1" applyAlignment="1" applyProtection="1">
      <alignment vertical="top" wrapText="1"/>
      <protection locked="0"/>
    </xf>
    <xf numFmtId="1" fontId="8" fillId="0" borderId="20" xfId="0" applyNumberFormat="1" applyFont="1" applyBorder="1" applyAlignment="1" applyProtection="1">
      <alignment vertical="top" wrapText="1"/>
      <protection locked="0"/>
    </xf>
    <xf numFmtId="1" fontId="8" fillId="0" borderId="8" xfId="0" applyNumberFormat="1" applyFont="1" applyBorder="1" applyAlignment="1" applyProtection="1">
      <alignment vertical="top" wrapText="1"/>
      <protection locked="0"/>
    </xf>
    <xf numFmtId="1" fontId="13" fillId="0" borderId="7" xfId="0" applyNumberFormat="1" applyFont="1" applyBorder="1" applyAlignment="1" applyProtection="1">
      <alignment vertical="top" wrapText="1"/>
      <protection locked="0"/>
    </xf>
    <xf numFmtId="1" fontId="13" fillId="0" borderId="20" xfId="0" applyNumberFormat="1" applyFont="1" applyBorder="1" applyAlignment="1" applyProtection="1">
      <alignment vertical="top" wrapText="1"/>
      <protection locked="0"/>
    </xf>
    <xf numFmtId="1" fontId="13" fillId="0" borderId="8" xfId="0" applyNumberFormat="1" applyFont="1" applyBorder="1" applyAlignment="1" applyProtection="1">
      <alignment vertical="top" wrapText="1"/>
      <protection locked="0"/>
    </xf>
    <xf numFmtId="1" fontId="17" fillId="0" borderId="7" xfId="0" applyNumberFormat="1" applyFont="1" applyBorder="1" applyAlignment="1" applyProtection="1">
      <alignment vertical="top" wrapText="1"/>
      <protection locked="0"/>
    </xf>
    <xf numFmtId="1" fontId="17" fillId="0" borderId="20" xfId="0" applyNumberFormat="1" applyFont="1" applyBorder="1" applyAlignment="1" applyProtection="1">
      <alignment vertical="top" wrapText="1"/>
      <protection locked="0"/>
    </xf>
    <xf numFmtId="1" fontId="17" fillId="0" borderId="8" xfId="0" applyNumberFormat="1" applyFont="1" applyBorder="1" applyAlignment="1" applyProtection="1">
      <alignment vertical="top" wrapText="1"/>
      <protection locked="0"/>
    </xf>
    <xf numFmtId="1" fontId="8" fillId="0" borderId="31" xfId="0" applyNumberFormat="1" applyFont="1" applyBorder="1" applyAlignment="1" applyProtection="1">
      <alignment horizontal="center" vertical="center" wrapText="1"/>
      <protection locked="0"/>
    </xf>
    <xf numFmtId="1" fontId="8" fillId="0" borderId="32" xfId="0" applyNumberFormat="1" applyFont="1" applyBorder="1" applyAlignment="1" applyProtection="1">
      <alignment horizontal="center" vertical="center" wrapText="1"/>
      <protection locked="0"/>
    </xf>
    <xf numFmtId="1" fontId="10" fillId="0" borderId="7" xfId="0" applyNumberFormat="1" applyFont="1" applyBorder="1" applyAlignment="1" applyProtection="1">
      <alignment vertical="top" wrapText="1"/>
      <protection locked="0"/>
    </xf>
    <xf numFmtId="1" fontId="10" fillId="0" borderId="20" xfId="0" applyNumberFormat="1" applyFont="1" applyBorder="1" applyAlignment="1" applyProtection="1">
      <alignment vertical="top" wrapText="1"/>
      <protection locked="0"/>
    </xf>
    <xf numFmtId="1" fontId="10" fillId="0" borderId="8" xfId="0" applyNumberFormat="1" applyFont="1" applyBorder="1" applyAlignment="1" applyProtection="1">
      <alignment vertical="top" wrapText="1"/>
      <protection locked="0"/>
    </xf>
    <xf numFmtId="1" fontId="8" fillId="0" borderId="1" xfId="0" applyNumberFormat="1" applyFont="1" applyBorder="1" applyAlignment="1" applyProtection="1">
      <alignment horizontal="left" vertical="top" wrapText="1"/>
      <protection locked="0"/>
    </xf>
    <xf numFmtId="0" fontId="7" fillId="0" borderId="4" xfId="1" applyFont="1" applyBorder="1" applyAlignment="1" applyProtection="1">
      <alignment horizontal="center" vertical="top" wrapText="1"/>
      <protection locked="0"/>
    </xf>
    <xf numFmtId="9" fontId="7" fillId="0" borderId="16" xfId="8" applyFont="1" applyFill="1" applyBorder="1" applyAlignment="1" applyProtection="1">
      <alignment horizontal="center" vertical="center" wrapText="1"/>
      <protection locked="0"/>
    </xf>
    <xf numFmtId="9" fontId="7" fillId="0" borderId="17" xfId="8" applyFont="1" applyFill="1" applyBorder="1" applyAlignment="1" applyProtection="1">
      <alignment horizontal="center" vertical="center" wrapText="1"/>
      <protection locked="0"/>
    </xf>
    <xf numFmtId="9" fontId="7" fillId="0" borderId="24" xfId="8" applyFont="1" applyFill="1" applyBorder="1" applyAlignment="1" applyProtection="1">
      <alignment horizontal="center" vertical="center" wrapText="1"/>
      <protection locked="0"/>
    </xf>
    <xf numFmtId="9" fontId="7" fillId="0" borderId="25" xfId="8" applyFont="1" applyFill="1" applyBorder="1" applyAlignment="1" applyProtection="1">
      <alignment horizontal="center" vertical="center" wrapText="1"/>
      <protection locked="0"/>
    </xf>
    <xf numFmtId="9" fontId="7" fillId="0" borderId="27" xfId="8" applyFont="1" applyFill="1" applyBorder="1" applyAlignment="1" applyProtection="1">
      <alignment horizontal="center" vertical="center" wrapText="1"/>
      <protection locked="0"/>
    </xf>
    <xf numFmtId="9" fontId="7" fillId="0" borderId="28" xfId="8" applyFont="1" applyFill="1" applyBorder="1" applyAlignment="1" applyProtection="1">
      <alignment horizontal="center" vertical="center" wrapText="1"/>
      <protection locked="0"/>
    </xf>
    <xf numFmtId="9" fontId="7" fillId="0" borderId="26" xfId="8" applyFont="1" applyFill="1" applyBorder="1" applyAlignment="1" applyProtection="1">
      <alignment horizontal="center" vertical="center" wrapText="1"/>
      <protection locked="0"/>
    </xf>
    <xf numFmtId="9" fontId="7" fillId="0" borderId="9" xfId="8" applyFont="1" applyFill="1" applyBorder="1" applyAlignment="1" applyProtection="1">
      <alignment horizontal="center" vertical="center" wrapText="1"/>
      <protection locked="0"/>
    </xf>
    <xf numFmtId="9" fontId="7" fillId="0" borderId="11" xfId="8" applyFont="1" applyFill="1" applyBorder="1" applyAlignment="1" applyProtection="1">
      <alignment horizontal="center" vertical="center" wrapText="1"/>
      <protection locked="0"/>
    </xf>
    <xf numFmtId="0" fontId="13" fillId="0" borderId="1" xfId="1" applyFont="1" applyBorder="1" applyAlignment="1" applyProtection="1">
      <alignment horizontal="center" vertical="top" wrapText="1"/>
      <protection locked="0"/>
    </xf>
    <xf numFmtId="0" fontId="14" fillId="0" borderId="1" xfId="1" applyFont="1" applyBorder="1" applyAlignment="1" applyProtection="1">
      <alignment horizontal="center" vertical="top" wrapText="1"/>
      <protection locked="0"/>
    </xf>
    <xf numFmtId="1" fontId="8" fillId="0" borderId="1" xfId="0" applyNumberFormat="1" applyFont="1" applyBorder="1" applyAlignment="1" applyProtection="1">
      <alignment horizontal="center" vertical="center" wrapText="1"/>
      <protection locked="0"/>
    </xf>
    <xf numFmtId="167" fontId="7" fillId="0" borderId="1" xfId="9" applyNumberFormat="1" applyFont="1" applyFill="1" applyBorder="1" applyAlignment="1" applyProtection="1">
      <alignment horizontal="left" vertical="top"/>
      <protection locked="0"/>
    </xf>
    <xf numFmtId="0" fontId="8" fillId="0" borderId="1" xfId="1" applyFont="1" applyBorder="1" applyAlignment="1" applyProtection="1">
      <alignment horizontal="left" vertical="top"/>
      <protection locked="0"/>
    </xf>
    <xf numFmtId="1" fontId="6" fillId="0" borderId="1" xfId="0" applyNumberFormat="1" applyFont="1" applyBorder="1" applyAlignment="1" applyProtection="1">
      <alignment horizontal="center" vertical="center" wrapText="1"/>
      <protection locked="0"/>
    </xf>
    <xf numFmtId="0" fontId="10" fillId="0" borderId="3" xfId="1" applyFont="1" applyBorder="1" applyAlignment="1" applyProtection="1">
      <alignment horizontal="left" vertical="top"/>
      <protection locked="0"/>
    </xf>
    <xf numFmtId="0" fontId="10" fillId="0" borderId="1" xfId="1" applyFont="1" applyBorder="1" applyAlignment="1" applyProtection="1">
      <alignment horizontal="left" vertical="top"/>
      <protection locked="0"/>
    </xf>
    <xf numFmtId="0" fontId="10" fillId="0" borderId="12" xfId="1" applyFont="1" applyBorder="1" applyAlignment="1" applyProtection="1">
      <alignment horizontal="left" vertical="top" wrapText="1"/>
      <protection locked="0"/>
    </xf>
    <xf numFmtId="0" fontId="10" fillId="0" borderId="13" xfId="1" applyFont="1" applyBorder="1" applyAlignment="1" applyProtection="1">
      <alignment horizontal="left" vertical="top" wrapText="1"/>
      <protection locked="0"/>
    </xf>
    <xf numFmtId="0" fontId="10" fillId="0" borderId="22" xfId="1" applyFont="1" applyBorder="1" applyAlignment="1" applyProtection="1">
      <alignment horizontal="left" vertical="top" wrapText="1"/>
      <protection locked="0"/>
    </xf>
    <xf numFmtId="0" fontId="13" fillId="0" borderId="1" xfId="1" applyFont="1" applyBorder="1" applyAlignment="1" applyProtection="1">
      <alignment horizontal="left" vertical="top" wrapText="1"/>
      <protection locked="0"/>
    </xf>
    <xf numFmtId="0" fontId="13" fillId="0" borderId="4" xfId="1" applyFont="1" applyBorder="1" applyAlignment="1" applyProtection="1">
      <alignment horizontal="left" vertical="top" wrapText="1"/>
      <protection locked="0"/>
    </xf>
    <xf numFmtId="0" fontId="7" fillId="0" borderId="1" xfId="1" applyFont="1" applyBorder="1" applyAlignment="1" applyProtection="1">
      <alignment horizontal="left" vertical="top" wrapText="1"/>
      <protection locked="0"/>
    </xf>
    <xf numFmtId="0" fontId="6" fillId="0" borderId="2" xfId="1" applyFont="1" applyBorder="1" applyAlignment="1" applyProtection="1">
      <alignment horizontal="left" vertical="top" wrapText="1"/>
      <protection locked="0"/>
    </xf>
    <xf numFmtId="0" fontId="12" fillId="0" borderId="2" xfId="1" applyFont="1" applyBorder="1" applyAlignment="1" applyProtection="1">
      <alignment horizontal="left" vertical="top" wrapText="1"/>
      <protection locked="0"/>
    </xf>
    <xf numFmtId="0" fontId="7" fillId="0" borderId="5" xfId="1" applyFont="1" applyBorder="1" applyAlignment="1" applyProtection="1">
      <alignment horizontal="center" vertical="top" wrapText="1"/>
      <protection locked="0"/>
    </xf>
    <xf numFmtId="0" fontId="7" fillId="0" borderId="6" xfId="1" applyFont="1" applyBorder="1" applyAlignment="1" applyProtection="1">
      <alignment horizontal="center" vertical="top" wrapText="1"/>
      <protection locked="0"/>
    </xf>
    <xf numFmtId="0" fontId="11" fillId="0" borderId="1" xfId="1" applyFont="1" applyBorder="1" applyAlignment="1" applyProtection="1">
      <alignment horizontal="center" vertical="top" wrapText="1"/>
      <protection locked="0"/>
    </xf>
    <xf numFmtId="0" fontId="8" fillId="0" borderId="1" xfId="1" applyFont="1" applyBorder="1" applyAlignment="1" applyProtection="1">
      <alignment horizontal="center" vertical="top"/>
      <protection locked="0"/>
    </xf>
    <xf numFmtId="0" fontId="13" fillId="0" borderId="1" xfId="1" applyFont="1" applyBorder="1" applyAlignment="1" applyProtection="1">
      <alignment horizontal="left" vertical="top"/>
      <protection locked="0"/>
    </xf>
    <xf numFmtId="14" fontId="12" fillId="0" borderId="1" xfId="1" applyNumberFormat="1" applyFont="1" applyBorder="1" applyAlignment="1" applyProtection="1">
      <alignment horizontal="left" vertical="top"/>
      <protection locked="0"/>
    </xf>
    <xf numFmtId="0" fontId="7" fillId="0" borderId="1" xfId="1" applyFont="1" applyBorder="1" applyAlignment="1" applyProtection="1">
      <alignment horizontal="left"/>
      <protection locked="0"/>
    </xf>
    <xf numFmtId="0" fontId="12" fillId="0" borderId="1" xfId="1" applyFont="1" applyBorder="1" applyAlignment="1" applyProtection="1">
      <alignment horizontal="center" vertical="center"/>
      <protection locked="0"/>
    </xf>
    <xf numFmtId="0" fontId="12" fillId="0" borderId="7" xfId="1" applyFont="1" applyBorder="1" applyAlignment="1" applyProtection="1">
      <alignment horizontal="center" vertical="center" wrapText="1"/>
      <protection locked="0"/>
    </xf>
    <xf numFmtId="0" fontId="12" fillId="0" borderId="20" xfId="1" applyFont="1" applyBorder="1" applyAlignment="1" applyProtection="1">
      <alignment horizontal="center" vertical="center" wrapText="1"/>
      <protection locked="0"/>
    </xf>
    <xf numFmtId="0" fontId="12" fillId="0" borderId="8" xfId="1" applyFont="1" applyBorder="1" applyAlignment="1" applyProtection="1">
      <alignment horizontal="center" vertical="center" wrapText="1"/>
      <protection locked="0"/>
    </xf>
    <xf numFmtId="0" fontId="13" fillId="0" borderId="7" xfId="1" applyFont="1" applyBorder="1" applyAlignment="1" applyProtection="1">
      <alignment horizontal="center" vertical="top"/>
      <protection locked="0"/>
    </xf>
    <xf numFmtId="0" fontId="13" fillId="0" borderId="20" xfId="1" applyFont="1" applyBorder="1" applyAlignment="1" applyProtection="1">
      <alignment horizontal="center" vertical="top"/>
      <protection locked="0"/>
    </xf>
    <xf numFmtId="0" fontId="13" fillId="0" borderId="8" xfId="1" applyFont="1" applyBorder="1" applyAlignment="1" applyProtection="1">
      <alignment horizontal="center" vertical="top"/>
      <protection locked="0"/>
    </xf>
    <xf numFmtId="0" fontId="12" fillId="0" borderId="7" xfId="1" applyFont="1" applyBorder="1" applyAlignment="1" applyProtection="1">
      <alignment horizontal="center" vertical="center"/>
      <protection locked="0"/>
    </xf>
    <xf numFmtId="0" fontId="12" fillId="0" borderId="20" xfId="1" applyFont="1" applyBorder="1" applyAlignment="1" applyProtection="1">
      <alignment horizontal="center" vertical="center"/>
      <protection locked="0"/>
    </xf>
    <xf numFmtId="0" fontId="12" fillId="0" borderId="8" xfId="1" applyFont="1" applyBorder="1" applyAlignment="1" applyProtection="1">
      <alignment horizontal="center" vertical="center"/>
      <protection locked="0"/>
    </xf>
    <xf numFmtId="0" fontId="12" fillId="0" borderId="1" xfId="1" applyFont="1" applyBorder="1" applyAlignment="1" applyProtection="1">
      <alignment horizontal="center"/>
      <protection locked="0"/>
    </xf>
    <xf numFmtId="0" fontId="13" fillId="0" borderId="1" xfId="1" applyFont="1" applyBorder="1" applyAlignment="1" applyProtection="1">
      <alignment horizontal="center"/>
      <protection locked="0"/>
    </xf>
    <xf numFmtId="0" fontId="12" fillId="0" borderId="7" xfId="1" applyFont="1" applyBorder="1" applyAlignment="1" applyProtection="1">
      <alignment horizontal="center" vertical="top"/>
      <protection locked="0"/>
    </xf>
    <xf numFmtId="0" fontId="12" fillId="0" borderId="20" xfId="1" applyFont="1" applyBorder="1" applyAlignment="1" applyProtection="1">
      <alignment horizontal="center" vertical="top"/>
      <protection locked="0"/>
    </xf>
    <xf numFmtId="0" fontId="12" fillId="0" borderId="8" xfId="1" applyFont="1" applyBorder="1" applyAlignment="1" applyProtection="1">
      <alignment horizontal="center" vertical="top"/>
      <protection locked="0"/>
    </xf>
    <xf numFmtId="2" fontId="6" fillId="0" borderId="1" xfId="1" applyNumberFormat="1" applyFont="1" applyBorder="1" applyAlignment="1" applyProtection="1">
      <alignment horizontal="left" vertical="top" wrapText="1"/>
      <protection locked="0"/>
    </xf>
    <xf numFmtId="1" fontId="6" fillId="0" borderId="1" xfId="1" applyNumberFormat="1" applyFont="1" applyBorder="1" applyAlignment="1" applyProtection="1">
      <alignment horizontal="left" vertical="top" wrapText="1"/>
      <protection locked="0"/>
    </xf>
    <xf numFmtId="2" fontId="6" fillId="0" borderId="1" xfId="1" applyNumberFormat="1" applyFont="1" applyBorder="1" applyAlignment="1" applyProtection="1">
      <alignment horizontal="left" vertical="top"/>
      <protection locked="0"/>
    </xf>
    <xf numFmtId="0" fontId="12" fillId="0" borderId="16" xfId="1" applyFont="1" applyBorder="1" applyAlignment="1" applyProtection="1">
      <alignment horizontal="left" vertical="top" wrapText="1"/>
      <protection locked="0"/>
    </xf>
    <xf numFmtId="0" fontId="12" fillId="0" borderId="23" xfId="1" applyFont="1" applyBorder="1" applyAlignment="1" applyProtection="1">
      <alignment horizontal="left" vertical="top" wrapText="1"/>
      <protection locked="0"/>
    </xf>
    <xf numFmtId="0" fontId="12" fillId="0" borderId="24" xfId="1" applyFont="1" applyBorder="1" applyAlignment="1" applyProtection="1">
      <alignment horizontal="left" vertical="top" wrapText="1"/>
      <protection locked="0"/>
    </xf>
    <xf numFmtId="0" fontId="12" fillId="0" borderId="0" xfId="1" applyFont="1" applyAlignment="1" applyProtection="1">
      <alignment horizontal="left" vertical="top" wrapText="1"/>
      <protection locked="0"/>
    </xf>
    <xf numFmtId="0" fontId="7" fillId="0" borderId="23" xfId="1" applyFont="1" applyBorder="1" applyAlignment="1" applyProtection="1">
      <alignment horizontal="left" vertical="top"/>
      <protection locked="0"/>
    </xf>
    <xf numFmtId="0" fontId="7" fillId="0" borderId="17" xfId="1" applyFont="1" applyBorder="1" applyAlignment="1" applyProtection="1">
      <alignment horizontal="left" vertical="top"/>
      <protection locked="0"/>
    </xf>
    <xf numFmtId="0" fontId="13" fillId="0" borderId="3" xfId="1" applyFont="1" applyBorder="1" applyAlignment="1" applyProtection="1">
      <alignment horizontal="left" vertical="top"/>
      <protection locked="0"/>
    </xf>
    <xf numFmtId="0" fontId="7" fillId="0" borderId="0" xfId="1" applyFont="1" applyAlignment="1">
      <alignment horizontal="center" vertical="center"/>
    </xf>
    <xf numFmtId="1" fontId="7" fillId="0" borderId="1" xfId="0" applyNumberFormat="1" applyFont="1" applyBorder="1" applyAlignment="1" applyProtection="1">
      <alignment horizontal="center" vertical="center"/>
      <protection locked="0"/>
    </xf>
    <xf numFmtId="1" fontId="4" fillId="0" borderId="2" xfId="1" applyNumberFormat="1" applyFont="1" applyBorder="1" applyAlignment="1" applyProtection="1">
      <alignment horizontal="center" vertical="top" wrapText="1"/>
      <protection locked="0"/>
    </xf>
    <xf numFmtId="1" fontId="4" fillId="0" borderId="15" xfId="1" applyNumberFormat="1" applyFont="1" applyBorder="1" applyAlignment="1" applyProtection="1">
      <alignment horizontal="center" vertical="top" wrapText="1"/>
      <protection locked="0"/>
    </xf>
    <xf numFmtId="0" fontId="7" fillId="0" borderId="2" xfId="1" applyFont="1" applyBorder="1" applyAlignment="1" applyProtection="1">
      <alignment horizontal="left" vertical="top" wrapText="1"/>
      <protection locked="0"/>
    </xf>
    <xf numFmtId="0" fontId="7" fillId="0" borderId="2" xfId="1" applyFont="1" applyBorder="1" applyAlignment="1" applyProtection="1">
      <alignment horizontal="left" vertical="top"/>
      <protection locked="0"/>
    </xf>
    <xf numFmtId="0" fontId="12" fillId="0" borderId="17" xfId="1" applyFont="1" applyBorder="1" applyAlignment="1" applyProtection="1">
      <alignment horizontal="left" vertical="top" wrapText="1"/>
      <protection locked="0"/>
    </xf>
    <xf numFmtId="0" fontId="10" fillId="0" borderId="1" xfId="1" applyFont="1" applyBorder="1" applyAlignment="1" applyProtection="1">
      <alignment horizontal="left" vertical="top" wrapText="1"/>
      <protection locked="0"/>
    </xf>
    <xf numFmtId="0" fontId="10" fillId="0" borderId="4" xfId="1" applyFont="1" applyBorder="1" applyAlignment="1" applyProtection="1">
      <alignment horizontal="left" vertical="top" wrapText="1"/>
      <protection locked="0"/>
    </xf>
    <xf numFmtId="0" fontId="10" fillId="0" borderId="7" xfId="1" applyFont="1" applyBorder="1" applyAlignment="1" applyProtection="1">
      <alignment horizontal="left" vertical="top"/>
      <protection locked="0"/>
    </xf>
    <xf numFmtId="0" fontId="10" fillId="0" borderId="20" xfId="1" applyFont="1" applyBorder="1" applyAlignment="1" applyProtection="1">
      <alignment horizontal="left" vertical="top"/>
      <protection locked="0"/>
    </xf>
    <xf numFmtId="0" fontId="10" fillId="0" borderId="8" xfId="1" applyFont="1" applyBorder="1" applyAlignment="1" applyProtection="1">
      <alignment horizontal="left" vertical="top"/>
      <protection locked="0"/>
    </xf>
    <xf numFmtId="0" fontId="27" fillId="0" borderId="1" xfId="10" applyFill="1" applyBorder="1" applyAlignment="1" applyProtection="1">
      <alignment horizontal="left" vertical="top" wrapText="1"/>
      <protection locked="0"/>
    </xf>
    <xf numFmtId="0" fontId="7" fillId="0" borderId="1" xfId="0" applyFont="1" applyBorder="1" applyAlignment="1" applyProtection="1">
      <alignment horizontal="center" vertical="center"/>
      <protection locked="0"/>
    </xf>
    <xf numFmtId="1" fontId="8" fillId="0" borderId="32" xfId="0" applyNumberFormat="1" applyFont="1" applyBorder="1" applyAlignment="1" applyProtection="1">
      <alignment horizontal="center" vertical="top" wrapText="1"/>
      <protection locked="0"/>
    </xf>
    <xf numFmtId="1" fontId="8" fillId="0" borderId="33" xfId="0" applyNumberFormat="1" applyFont="1" applyBorder="1" applyAlignment="1" applyProtection="1">
      <alignment horizontal="center" vertical="top" wrapText="1"/>
      <protection locked="0"/>
    </xf>
    <xf numFmtId="0" fontId="6" fillId="0" borderId="7" xfId="1" applyFont="1" applyBorder="1" applyAlignment="1" applyProtection="1">
      <alignment vertical="top" wrapText="1"/>
      <protection locked="0"/>
    </xf>
    <xf numFmtId="0" fontId="6" fillId="0" borderId="20" xfId="1" applyFont="1" applyBorder="1" applyAlignment="1" applyProtection="1">
      <alignment vertical="top" wrapText="1"/>
      <protection locked="0"/>
    </xf>
    <xf numFmtId="0" fontId="6" fillId="0" borderId="8" xfId="1" applyFont="1" applyBorder="1" applyAlignment="1" applyProtection="1">
      <alignment vertical="top" wrapText="1"/>
      <protection locked="0"/>
    </xf>
    <xf numFmtId="0" fontId="8" fillId="0" borderId="15" xfId="1" applyFont="1" applyBorder="1" applyAlignment="1" applyProtection="1">
      <alignment horizontal="left" vertical="top"/>
      <protection locked="0"/>
    </xf>
    <xf numFmtId="0" fontId="8" fillId="0" borderId="15" xfId="1" applyFont="1" applyBorder="1" applyAlignment="1" applyProtection="1">
      <alignment horizontal="center" vertical="top"/>
      <protection locked="0"/>
    </xf>
    <xf numFmtId="0" fontId="10" fillId="0" borderId="32" xfId="0" applyFont="1" applyBorder="1" applyAlignment="1" applyProtection="1">
      <alignment horizontal="center" vertical="center"/>
      <protection locked="0"/>
    </xf>
    <xf numFmtId="1" fontId="10" fillId="0" borderId="32" xfId="0" applyNumberFormat="1" applyFont="1" applyBorder="1" applyAlignment="1" applyProtection="1">
      <alignment horizontal="center" vertical="top" wrapText="1"/>
      <protection locked="0"/>
    </xf>
    <xf numFmtId="1" fontId="8" fillId="0" borderId="2" xfId="0" applyNumberFormat="1" applyFont="1" applyBorder="1" applyAlignment="1" applyProtection="1">
      <alignment horizontal="center" vertical="center" wrapText="1"/>
      <protection locked="0"/>
    </xf>
    <xf numFmtId="1" fontId="10" fillId="0" borderId="2" xfId="0" applyNumberFormat="1" applyFont="1" applyBorder="1" applyAlignment="1" applyProtection="1">
      <alignment horizontal="center" vertical="top" wrapText="1"/>
      <protection locked="0"/>
    </xf>
    <xf numFmtId="0" fontId="10" fillId="0" borderId="2" xfId="0" applyFont="1" applyBorder="1" applyAlignment="1" applyProtection="1">
      <alignment horizontal="center" vertical="top" wrapText="1"/>
      <protection locked="0"/>
    </xf>
    <xf numFmtId="1" fontId="8" fillId="0" borderId="2" xfId="0" applyNumberFormat="1" applyFont="1" applyBorder="1" applyAlignment="1" applyProtection="1">
      <alignment horizontal="center" vertical="top" wrapText="1"/>
      <protection locked="0"/>
    </xf>
    <xf numFmtId="1" fontId="10" fillId="0" borderId="1" xfId="0" applyNumberFormat="1" applyFont="1" applyBorder="1" applyAlignment="1" applyProtection="1">
      <alignment horizontal="center" vertical="top" wrapText="1"/>
      <protection locked="0"/>
    </xf>
    <xf numFmtId="1" fontId="8" fillId="0" borderId="16" xfId="1" applyNumberFormat="1" applyFont="1" applyBorder="1" applyAlignment="1" applyProtection="1">
      <alignment horizontal="center" vertical="top" wrapText="1"/>
      <protection locked="0"/>
    </xf>
    <xf numFmtId="1" fontId="8" fillId="0" borderId="18" xfId="1" applyNumberFormat="1" applyFont="1" applyBorder="1" applyAlignment="1" applyProtection="1">
      <alignment horizontal="center" vertical="top" wrapText="1"/>
      <protection locked="0"/>
    </xf>
    <xf numFmtId="0" fontId="9" fillId="0" borderId="1" xfId="5" applyFont="1" applyBorder="1" applyAlignment="1">
      <alignment horizontal="left"/>
    </xf>
    <xf numFmtId="0" fontId="7" fillId="0" borderId="3" xfId="1" applyFont="1" applyBorder="1" applyAlignment="1" applyProtection="1">
      <alignment horizontal="center" vertical="top"/>
      <protection locked="0"/>
    </xf>
    <xf numFmtId="0" fontId="7" fillId="0" borderId="1" xfId="1" applyFont="1" applyBorder="1" applyAlignment="1" applyProtection="1">
      <alignment horizontal="center" vertical="top"/>
      <protection locked="0"/>
    </xf>
    <xf numFmtId="0" fontId="7" fillId="0" borderId="5" xfId="1" applyFont="1" applyBorder="1" applyAlignment="1" applyProtection="1">
      <alignment horizontal="center" vertical="top"/>
      <protection locked="0"/>
    </xf>
    <xf numFmtId="0" fontId="7" fillId="0" borderId="6" xfId="1" applyFont="1" applyBorder="1" applyAlignment="1" applyProtection="1">
      <alignment horizontal="center" vertical="top"/>
      <protection locked="0"/>
    </xf>
  </cellXfs>
  <cellStyles count="11">
    <cellStyle name="Comma" xfId="9" builtinId="3"/>
    <cellStyle name="Comma 2" xfId="6"/>
    <cellStyle name="Excel Built-in Normal" xfId="2"/>
    <cellStyle name="Excel Built-in Normal 2" xfId="4"/>
    <cellStyle name="Hyperlink" xfId="10" builtinId="8"/>
    <cellStyle name="Normal" xfId="0" builtinId="0"/>
    <cellStyle name="Normal 2" xfId="3"/>
    <cellStyle name="Normal 3" xfId="1"/>
    <cellStyle name="Normal 3 3" xfId="7"/>
    <cellStyle name="Normal 4" xfId="5"/>
    <cellStyle name="Percent" xfId="8"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jpeg"/><Relationship Id="rId18" Type="http://schemas.openxmlformats.org/officeDocument/2006/relationships/image" Target="../media/image18.jpeg"/><Relationship Id="rId3" Type="http://schemas.openxmlformats.org/officeDocument/2006/relationships/image" Target="../media/image3.png"/><Relationship Id="rId21" Type="http://schemas.openxmlformats.org/officeDocument/2006/relationships/image" Target="../media/image21.jpeg"/><Relationship Id="rId7" Type="http://schemas.openxmlformats.org/officeDocument/2006/relationships/image" Target="../media/image7.png"/><Relationship Id="rId12" Type="http://schemas.openxmlformats.org/officeDocument/2006/relationships/image" Target="../media/image12.jpeg"/><Relationship Id="rId17" Type="http://schemas.openxmlformats.org/officeDocument/2006/relationships/image" Target="../media/image17.jpeg"/><Relationship Id="rId2" Type="http://schemas.openxmlformats.org/officeDocument/2006/relationships/image" Target="../media/image2.png"/><Relationship Id="rId16" Type="http://schemas.openxmlformats.org/officeDocument/2006/relationships/image" Target="../media/image16.jpeg"/><Relationship Id="rId20" Type="http://schemas.openxmlformats.org/officeDocument/2006/relationships/image" Target="../media/image20.jpe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jpeg"/><Relationship Id="rId5" Type="http://schemas.openxmlformats.org/officeDocument/2006/relationships/image" Target="../media/image5.png"/><Relationship Id="rId15" Type="http://schemas.openxmlformats.org/officeDocument/2006/relationships/image" Target="../media/image15.jpeg"/><Relationship Id="rId10" Type="http://schemas.openxmlformats.org/officeDocument/2006/relationships/image" Target="../media/image10.jpeg"/><Relationship Id="rId19" Type="http://schemas.openxmlformats.org/officeDocument/2006/relationships/image" Target="../media/image19.jpeg"/><Relationship Id="rId4" Type="http://schemas.openxmlformats.org/officeDocument/2006/relationships/image" Target="../media/image4.png"/><Relationship Id="rId9" Type="http://schemas.openxmlformats.org/officeDocument/2006/relationships/image" Target="../media/image9.jpeg"/><Relationship Id="rId14" Type="http://schemas.openxmlformats.org/officeDocument/2006/relationships/image" Target="../media/image14.jpeg"/><Relationship Id="rId22" Type="http://schemas.openxmlformats.org/officeDocument/2006/relationships/image" Target="../media/image22.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5.jpeg"/></Relationships>
</file>

<file path=xl/drawings/_rels/vmlDrawing2.vml.rels><?xml version="1.0" encoding="UTF-8" standalone="yes"?>
<Relationships xmlns="http://schemas.openxmlformats.org/package/2006/relationships"><Relationship Id="rId2" Type="http://schemas.openxmlformats.org/officeDocument/2006/relationships/image" Target="../media/image24.png"/><Relationship Id="rId1" Type="http://schemas.openxmlformats.org/officeDocument/2006/relationships/image" Target="../media/image23.png"/></Relationships>
</file>

<file path=xl/drawings/drawing1.xml><?xml version="1.0" encoding="utf-8"?>
<xdr:wsDr xmlns:xdr="http://schemas.openxmlformats.org/drawingml/2006/spreadsheetDrawing" xmlns:a="http://schemas.openxmlformats.org/drawingml/2006/main">
  <xdr:twoCellAnchor editAs="oneCell">
    <xdr:from>
      <xdr:col>1</xdr:col>
      <xdr:colOff>585107</xdr:colOff>
      <xdr:row>275</xdr:row>
      <xdr:rowOff>13607</xdr:rowOff>
    </xdr:from>
    <xdr:to>
      <xdr:col>5</xdr:col>
      <xdr:colOff>563068</xdr:colOff>
      <xdr:row>289</xdr:row>
      <xdr:rowOff>13608</xdr:rowOff>
    </xdr:to>
    <xdr:pic>
      <xdr:nvPicPr>
        <xdr:cNvPr id="6" name="Picture 5"/>
        <xdr:cNvPicPr>
          <a:picLocks noChangeAspect="1"/>
        </xdr:cNvPicPr>
      </xdr:nvPicPr>
      <xdr:blipFill>
        <a:blip xmlns:r="http://schemas.openxmlformats.org/officeDocument/2006/relationships" r:embed="rId1"/>
        <a:stretch>
          <a:fillRect/>
        </a:stretch>
      </xdr:blipFill>
      <xdr:spPr>
        <a:xfrm>
          <a:off x="1347107" y="57626250"/>
          <a:ext cx="3311711" cy="2857501"/>
        </a:xfrm>
        <a:prstGeom prst="rect">
          <a:avLst/>
        </a:prstGeom>
        <a:ln w="9525">
          <a:solidFill>
            <a:schemeClr val="tx1"/>
          </a:solidFill>
        </a:ln>
      </xdr:spPr>
    </xdr:pic>
    <xdr:clientData/>
  </xdr:twoCellAnchor>
  <xdr:twoCellAnchor editAs="oneCell">
    <xdr:from>
      <xdr:col>2</xdr:col>
      <xdr:colOff>112803</xdr:colOff>
      <xdr:row>289</xdr:row>
      <xdr:rowOff>136072</xdr:rowOff>
    </xdr:from>
    <xdr:to>
      <xdr:col>5</xdr:col>
      <xdr:colOff>186782</xdr:colOff>
      <xdr:row>315</xdr:row>
      <xdr:rowOff>68036</xdr:rowOff>
    </xdr:to>
    <xdr:pic>
      <xdr:nvPicPr>
        <xdr:cNvPr id="7" name="Picture 6"/>
        <xdr:cNvPicPr>
          <a:picLocks noChangeAspect="1"/>
        </xdr:cNvPicPr>
      </xdr:nvPicPr>
      <xdr:blipFill>
        <a:blip xmlns:r="http://schemas.openxmlformats.org/officeDocument/2006/relationships" r:embed="rId2"/>
        <a:stretch>
          <a:fillRect/>
        </a:stretch>
      </xdr:blipFill>
      <xdr:spPr>
        <a:xfrm>
          <a:off x="1677624" y="60606215"/>
          <a:ext cx="2604908" cy="5238750"/>
        </a:xfrm>
        <a:prstGeom prst="rect">
          <a:avLst/>
        </a:prstGeom>
        <a:ln w="9525">
          <a:solidFill>
            <a:schemeClr val="tx1"/>
          </a:solidFill>
        </a:ln>
      </xdr:spPr>
    </xdr:pic>
    <xdr:clientData/>
  </xdr:twoCellAnchor>
  <xdr:twoCellAnchor>
    <xdr:from>
      <xdr:col>2</xdr:col>
      <xdr:colOff>675463</xdr:colOff>
      <xdr:row>295</xdr:row>
      <xdr:rowOff>59872</xdr:rowOff>
    </xdr:from>
    <xdr:to>
      <xdr:col>3</xdr:col>
      <xdr:colOff>671606</xdr:colOff>
      <xdr:row>304</xdr:row>
      <xdr:rowOff>185058</xdr:rowOff>
    </xdr:to>
    <xdr:sp macro="" textlink="">
      <xdr:nvSpPr>
        <xdr:cNvPr id="8" name="Freeform 7"/>
        <xdr:cNvSpPr/>
      </xdr:nvSpPr>
      <xdr:spPr>
        <a:xfrm>
          <a:off x="2240284" y="61754658"/>
          <a:ext cx="839786" cy="1962150"/>
        </a:xfrm>
        <a:custGeom>
          <a:avLst/>
          <a:gdLst>
            <a:gd name="connsiteX0" fmla="*/ 542925 w 833437"/>
            <a:gd name="connsiteY0" fmla="*/ 1995487 h 1995487"/>
            <a:gd name="connsiteX1" fmla="*/ 542925 w 833437"/>
            <a:gd name="connsiteY1" fmla="*/ 1843087 h 1995487"/>
            <a:gd name="connsiteX2" fmla="*/ 0 w 833437"/>
            <a:gd name="connsiteY2" fmla="*/ 1847850 h 1995487"/>
            <a:gd name="connsiteX3" fmla="*/ 0 w 833437"/>
            <a:gd name="connsiteY3" fmla="*/ 9525 h 1995487"/>
            <a:gd name="connsiteX4" fmla="*/ 833437 w 833437"/>
            <a:gd name="connsiteY4" fmla="*/ 0 h 1995487"/>
            <a:gd name="connsiteX5" fmla="*/ 828675 w 833437"/>
            <a:gd name="connsiteY5" fmla="*/ 1990725 h 1995487"/>
            <a:gd name="connsiteX6" fmla="*/ 542925 w 833437"/>
            <a:gd name="connsiteY6" fmla="*/ 1995487 h 199548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833437" h="1995487">
              <a:moveTo>
                <a:pt x="542925" y="1995487"/>
              </a:moveTo>
              <a:lnTo>
                <a:pt x="542925" y="1843087"/>
              </a:lnTo>
              <a:lnTo>
                <a:pt x="0" y="1847850"/>
              </a:lnTo>
              <a:lnTo>
                <a:pt x="0" y="9525"/>
              </a:lnTo>
              <a:lnTo>
                <a:pt x="833437" y="0"/>
              </a:lnTo>
              <a:cubicBezTo>
                <a:pt x="831850" y="663575"/>
                <a:pt x="830262" y="1327150"/>
                <a:pt x="828675" y="1990725"/>
              </a:cubicBezTo>
              <a:lnTo>
                <a:pt x="542925" y="1995487"/>
              </a:lnTo>
              <a:close/>
            </a:path>
          </a:pathLst>
        </a:custGeom>
        <a:noFill/>
        <a:ln w="19050">
          <a:solidFill>
            <a:srgbClr val="CC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a:p>
      </xdr:txBody>
    </xdr:sp>
    <xdr:clientData/>
  </xdr:twoCellAnchor>
  <xdr:twoCellAnchor>
    <xdr:from>
      <xdr:col>2</xdr:col>
      <xdr:colOff>662781</xdr:colOff>
      <xdr:row>304</xdr:row>
      <xdr:rowOff>51708</xdr:rowOff>
    </xdr:from>
    <xdr:to>
      <xdr:col>3</xdr:col>
      <xdr:colOff>671606</xdr:colOff>
      <xdr:row>312</xdr:row>
      <xdr:rowOff>31751</xdr:rowOff>
    </xdr:to>
    <xdr:sp macro="" textlink="">
      <xdr:nvSpPr>
        <xdr:cNvPr id="9" name="Freeform 8"/>
        <xdr:cNvSpPr/>
      </xdr:nvSpPr>
      <xdr:spPr>
        <a:xfrm flipH="1" flipV="1">
          <a:off x="2227602" y="63583458"/>
          <a:ext cx="852468" cy="1612900"/>
        </a:xfrm>
        <a:custGeom>
          <a:avLst/>
          <a:gdLst>
            <a:gd name="connsiteX0" fmla="*/ 542925 w 833437"/>
            <a:gd name="connsiteY0" fmla="*/ 1995487 h 1995487"/>
            <a:gd name="connsiteX1" fmla="*/ 542925 w 833437"/>
            <a:gd name="connsiteY1" fmla="*/ 1843087 h 1995487"/>
            <a:gd name="connsiteX2" fmla="*/ 0 w 833437"/>
            <a:gd name="connsiteY2" fmla="*/ 1847850 h 1995487"/>
            <a:gd name="connsiteX3" fmla="*/ 0 w 833437"/>
            <a:gd name="connsiteY3" fmla="*/ 9525 h 1995487"/>
            <a:gd name="connsiteX4" fmla="*/ 833437 w 833437"/>
            <a:gd name="connsiteY4" fmla="*/ 0 h 1995487"/>
            <a:gd name="connsiteX5" fmla="*/ 828675 w 833437"/>
            <a:gd name="connsiteY5" fmla="*/ 1990725 h 1995487"/>
            <a:gd name="connsiteX6" fmla="*/ 542925 w 833437"/>
            <a:gd name="connsiteY6" fmla="*/ 1995487 h 199548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833437" h="1995487">
              <a:moveTo>
                <a:pt x="542925" y="1995487"/>
              </a:moveTo>
              <a:lnTo>
                <a:pt x="542925" y="1843087"/>
              </a:lnTo>
              <a:lnTo>
                <a:pt x="0" y="1847850"/>
              </a:lnTo>
              <a:lnTo>
                <a:pt x="0" y="9525"/>
              </a:lnTo>
              <a:lnTo>
                <a:pt x="833437" y="0"/>
              </a:lnTo>
              <a:cubicBezTo>
                <a:pt x="831850" y="663575"/>
                <a:pt x="830262" y="1327150"/>
                <a:pt x="828675" y="1990725"/>
              </a:cubicBezTo>
              <a:lnTo>
                <a:pt x="542925" y="1995487"/>
              </a:lnTo>
              <a:close/>
            </a:path>
          </a:pathLst>
        </a:custGeom>
        <a:noFill/>
        <a:ln w="19050">
          <a:solidFill>
            <a:srgbClr val="0066FF"/>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a:p>
      </xdr:txBody>
    </xdr:sp>
    <xdr:clientData/>
  </xdr:twoCellAnchor>
  <xdr:twoCellAnchor>
    <xdr:from>
      <xdr:col>2</xdr:col>
      <xdr:colOff>740548</xdr:colOff>
      <xdr:row>293</xdr:row>
      <xdr:rowOff>160310</xdr:rowOff>
    </xdr:from>
    <xdr:to>
      <xdr:col>4</xdr:col>
      <xdr:colOff>407626</xdr:colOff>
      <xdr:row>295</xdr:row>
      <xdr:rowOff>59872</xdr:rowOff>
    </xdr:to>
    <xdr:sp macro="" textlink="">
      <xdr:nvSpPr>
        <xdr:cNvPr id="10" name="TextBox 16"/>
        <xdr:cNvSpPr txBox="1"/>
      </xdr:nvSpPr>
      <xdr:spPr>
        <a:xfrm>
          <a:off x="2305369" y="61446881"/>
          <a:ext cx="1422400" cy="307777"/>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400" b="1">
              <a:solidFill>
                <a:srgbClr val="C00000"/>
              </a:solidFill>
            </a:rPr>
            <a:t>Wing B</a:t>
          </a:r>
          <a:endParaRPr lang="en-IN" sz="1400" b="1">
            <a:solidFill>
              <a:srgbClr val="C00000"/>
            </a:solidFill>
          </a:endParaRPr>
        </a:p>
      </xdr:txBody>
    </xdr:sp>
    <xdr:clientData/>
  </xdr:twoCellAnchor>
  <xdr:twoCellAnchor>
    <xdr:from>
      <xdr:col>2</xdr:col>
      <xdr:colOff>740548</xdr:colOff>
      <xdr:row>311</xdr:row>
      <xdr:rowOff>147936</xdr:rowOff>
    </xdr:from>
    <xdr:to>
      <xdr:col>3</xdr:col>
      <xdr:colOff>862106</xdr:colOff>
      <xdr:row>313</xdr:row>
      <xdr:rowOff>47499</xdr:rowOff>
    </xdr:to>
    <xdr:sp macro="" textlink="">
      <xdr:nvSpPr>
        <xdr:cNvPr id="11" name="TextBox 17"/>
        <xdr:cNvSpPr txBox="1"/>
      </xdr:nvSpPr>
      <xdr:spPr>
        <a:xfrm>
          <a:off x="2305369" y="65108436"/>
          <a:ext cx="965201" cy="307777"/>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400" b="1">
              <a:solidFill>
                <a:srgbClr val="0066FF"/>
              </a:solidFill>
            </a:rPr>
            <a:t>Wing A</a:t>
          </a:r>
        </a:p>
      </xdr:txBody>
    </xdr:sp>
    <xdr:clientData/>
  </xdr:twoCellAnchor>
  <xdr:twoCellAnchor editAs="oneCell">
    <xdr:from>
      <xdr:col>0</xdr:col>
      <xdr:colOff>489856</xdr:colOff>
      <xdr:row>335</xdr:row>
      <xdr:rowOff>198665</xdr:rowOff>
    </xdr:from>
    <xdr:to>
      <xdr:col>7</xdr:col>
      <xdr:colOff>310927</xdr:colOff>
      <xdr:row>356</xdr:row>
      <xdr:rowOff>158096</xdr:rowOff>
    </xdr:to>
    <xdr:pic>
      <xdr:nvPicPr>
        <xdr:cNvPr id="12" name="Picture 11"/>
        <xdr:cNvPicPr>
          <a:picLocks noChangeAspect="1"/>
        </xdr:cNvPicPr>
      </xdr:nvPicPr>
      <xdr:blipFill>
        <a:blip xmlns:r="http://schemas.openxmlformats.org/officeDocument/2006/relationships" r:embed="rId3"/>
        <a:stretch>
          <a:fillRect/>
        </a:stretch>
      </xdr:blipFill>
      <xdr:spPr>
        <a:xfrm>
          <a:off x="489856" y="70261844"/>
          <a:ext cx="5400000" cy="4245681"/>
        </a:xfrm>
        <a:prstGeom prst="rect">
          <a:avLst/>
        </a:prstGeom>
        <a:ln w="9525">
          <a:solidFill>
            <a:schemeClr val="tx1"/>
          </a:solidFill>
        </a:ln>
      </xdr:spPr>
    </xdr:pic>
    <xdr:clientData/>
  </xdr:twoCellAnchor>
  <xdr:twoCellAnchor editAs="oneCell">
    <xdr:from>
      <xdr:col>1</xdr:col>
      <xdr:colOff>87856</xdr:colOff>
      <xdr:row>318</xdr:row>
      <xdr:rowOff>81642</xdr:rowOff>
    </xdr:from>
    <xdr:to>
      <xdr:col>6</xdr:col>
      <xdr:colOff>685713</xdr:colOff>
      <xdr:row>335</xdr:row>
      <xdr:rowOff>36031</xdr:rowOff>
    </xdr:to>
    <xdr:pic>
      <xdr:nvPicPr>
        <xdr:cNvPr id="13" name="Picture 12"/>
        <xdr:cNvPicPr>
          <a:picLocks noChangeAspect="1"/>
        </xdr:cNvPicPr>
      </xdr:nvPicPr>
      <xdr:blipFill rotWithShape="1">
        <a:blip xmlns:r="http://schemas.openxmlformats.org/officeDocument/2006/relationships" r:embed="rId4"/>
        <a:srcRect t="7431" r="4718"/>
        <a:stretch/>
      </xdr:blipFill>
      <xdr:spPr>
        <a:xfrm>
          <a:off x="849856" y="66674999"/>
          <a:ext cx="4680000" cy="3424211"/>
        </a:xfrm>
        <a:prstGeom prst="rect">
          <a:avLst/>
        </a:prstGeom>
        <a:ln w="9525">
          <a:solidFill>
            <a:schemeClr val="tx1"/>
          </a:solidFill>
        </a:ln>
      </xdr:spPr>
    </xdr:pic>
    <xdr:clientData/>
  </xdr:twoCellAnchor>
  <xdr:twoCellAnchor>
    <xdr:from>
      <xdr:col>3</xdr:col>
      <xdr:colOff>665800</xdr:colOff>
      <xdr:row>345</xdr:row>
      <xdr:rowOff>134548</xdr:rowOff>
    </xdr:from>
    <xdr:to>
      <xdr:col>4</xdr:col>
      <xdr:colOff>51301</xdr:colOff>
      <xdr:row>349</xdr:row>
      <xdr:rowOff>174099</xdr:rowOff>
    </xdr:to>
    <xdr:sp macro="" textlink="">
      <xdr:nvSpPr>
        <xdr:cNvPr id="14" name="Freeform 13"/>
        <xdr:cNvSpPr/>
      </xdr:nvSpPr>
      <xdr:spPr>
        <a:xfrm>
          <a:off x="3074264" y="72238798"/>
          <a:ext cx="297180" cy="855980"/>
        </a:xfrm>
        <a:custGeom>
          <a:avLst/>
          <a:gdLst>
            <a:gd name="connsiteX0" fmla="*/ 69850 w 273050"/>
            <a:gd name="connsiteY0" fmla="*/ 787400 h 806450"/>
            <a:gd name="connsiteX1" fmla="*/ 0 w 273050"/>
            <a:gd name="connsiteY1" fmla="*/ 88900 h 806450"/>
            <a:gd name="connsiteX2" fmla="*/ 273050 w 273050"/>
            <a:gd name="connsiteY2" fmla="*/ 0 h 806450"/>
            <a:gd name="connsiteX3" fmla="*/ 228600 w 273050"/>
            <a:gd name="connsiteY3" fmla="*/ 806450 h 806450"/>
            <a:gd name="connsiteX4" fmla="*/ 69850 w 273050"/>
            <a:gd name="connsiteY4" fmla="*/ 787400 h 806450"/>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273050" h="806450">
              <a:moveTo>
                <a:pt x="69850" y="787400"/>
              </a:moveTo>
              <a:lnTo>
                <a:pt x="0" y="88900"/>
              </a:lnTo>
              <a:lnTo>
                <a:pt x="273050" y="0"/>
              </a:lnTo>
              <a:lnTo>
                <a:pt x="228600" y="806450"/>
              </a:lnTo>
              <a:lnTo>
                <a:pt x="69850" y="787400"/>
              </a:lnTo>
              <a:close/>
            </a:path>
          </a:pathLst>
        </a:custGeom>
        <a:noFill/>
        <a:ln>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a:p>
      </xdr:txBody>
    </xdr:sp>
    <xdr:clientData/>
  </xdr:twoCellAnchor>
  <xdr:twoCellAnchor editAs="oneCell">
    <xdr:from>
      <xdr:col>11</xdr:col>
      <xdr:colOff>504825</xdr:colOff>
      <xdr:row>140</xdr:row>
      <xdr:rowOff>371475</xdr:rowOff>
    </xdr:from>
    <xdr:to>
      <xdr:col>21</xdr:col>
      <xdr:colOff>515386</xdr:colOff>
      <xdr:row>150</xdr:row>
      <xdr:rowOff>57413</xdr:rowOff>
    </xdr:to>
    <xdr:pic>
      <xdr:nvPicPr>
        <xdr:cNvPr id="31" name="Picture 30"/>
        <xdr:cNvPicPr>
          <a:picLocks noChangeAspect="1"/>
        </xdr:cNvPicPr>
      </xdr:nvPicPr>
      <xdr:blipFill>
        <a:blip xmlns:r="http://schemas.openxmlformats.org/officeDocument/2006/relationships" r:embed="rId5"/>
        <a:stretch>
          <a:fillRect/>
        </a:stretch>
      </xdr:blipFill>
      <xdr:spPr>
        <a:xfrm>
          <a:off x="9448800" y="29117925"/>
          <a:ext cx="7421011" cy="1886213"/>
        </a:xfrm>
        <a:prstGeom prst="rect">
          <a:avLst/>
        </a:prstGeom>
      </xdr:spPr>
    </xdr:pic>
    <xdr:clientData/>
  </xdr:twoCellAnchor>
  <xdr:twoCellAnchor editAs="oneCell">
    <xdr:from>
      <xdr:col>12</xdr:col>
      <xdr:colOff>238125</xdr:colOff>
      <xdr:row>157</xdr:row>
      <xdr:rowOff>57150</xdr:rowOff>
    </xdr:from>
    <xdr:to>
      <xdr:col>20</xdr:col>
      <xdr:colOff>38892</xdr:colOff>
      <xdr:row>166</xdr:row>
      <xdr:rowOff>114559</xdr:rowOff>
    </xdr:to>
    <xdr:pic>
      <xdr:nvPicPr>
        <xdr:cNvPr id="32" name="Picture 31"/>
        <xdr:cNvPicPr>
          <a:picLocks noChangeAspect="1"/>
        </xdr:cNvPicPr>
      </xdr:nvPicPr>
      <xdr:blipFill>
        <a:blip xmlns:r="http://schemas.openxmlformats.org/officeDocument/2006/relationships" r:embed="rId6"/>
        <a:stretch>
          <a:fillRect/>
        </a:stretch>
      </xdr:blipFill>
      <xdr:spPr>
        <a:xfrm>
          <a:off x="10106025" y="33004125"/>
          <a:ext cx="5677692" cy="1857634"/>
        </a:xfrm>
        <a:prstGeom prst="rect">
          <a:avLst/>
        </a:prstGeom>
      </xdr:spPr>
    </xdr:pic>
    <xdr:clientData/>
  </xdr:twoCellAnchor>
  <xdr:twoCellAnchor editAs="oneCell">
    <xdr:from>
      <xdr:col>8</xdr:col>
      <xdr:colOff>247650</xdr:colOff>
      <xdr:row>192</xdr:row>
      <xdr:rowOff>95250</xdr:rowOff>
    </xdr:from>
    <xdr:to>
      <xdr:col>15</xdr:col>
      <xdr:colOff>581908</xdr:colOff>
      <xdr:row>204</xdr:row>
      <xdr:rowOff>190848</xdr:rowOff>
    </xdr:to>
    <xdr:pic>
      <xdr:nvPicPr>
        <xdr:cNvPr id="33" name="Picture 32"/>
        <xdr:cNvPicPr>
          <a:picLocks noChangeAspect="1"/>
        </xdr:cNvPicPr>
      </xdr:nvPicPr>
      <xdr:blipFill>
        <a:blip xmlns:r="http://schemas.openxmlformats.org/officeDocument/2006/relationships" r:embed="rId7"/>
        <a:stretch>
          <a:fillRect/>
        </a:stretch>
      </xdr:blipFill>
      <xdr:spPr>
        <a:xfrm>
          <a:off x="6562725" y="40243125"/>
          <a:ext cx="6325483" cy="2495898"/>
        </a:xfrm>
        <a:prstGeom prst="rect">
          <a:avLst/>
        </a:prstGeom>
      </xdr:spPr>
    </xdr:pic>
    <xdr:clientData/>
  </xdr:twoCellAnchor>
  <xdr:twoCellAnchor>
    <xdr:from>
      <xdr:col>8</xdr:col>
      <xdr:colOff>457201</xdr:colOff>
      <xdr:row>232</xdr:row>
      <xdr:rowOff>35380</xdr:rowOff>
    </xdr:from>
    <xdr:to>
      <xdr:col>15</xdr:col>
      <xdr:colOff>389159</xdr:colOff>
      <xdr:row>273</xdr:row>
      <xdr:rowOff>18923</xdr:rowOff>
    </xdr:to>
    <xdr:grpSp>
      <xdr:nvGrpSpPr>
        <xdr:cNvPr id="18" name="Group 17"/>
        <xdr:cNvGrpSpPr/>
      </xdr:nvGrpSpPr>
      <xdr:grpSpPr>
        <a:xfrm>
          <a:off x="6766113" y="46909586"/>
          <a:ext cx="5927105" cy="8242278"/>
          <a:chOff x="152400" y="47203180"/>
          <a:chExt cx="5927265" cy="8338328"/>
        </a:xfrm>
      </xdr:grpSpPr>
      <xdr:pic>
        <xdr:nvPicPr>
          <xdr:cNvPr id="41" name="Picture 40" descr="http://vsjcllp.vsjadon.com/upload/insp-233910-931.jpg"/>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a:ext>
            </a:extLst>
          </a:blip>
          <a:srcRect/>
          <a:stretch>
            <a:fillRect/>
          </a:stretch>
        </xdr:blipFill>
        <xdr:spPr bwMode="auto">
          <a:xfrm>
            <a:off x="2962148" y="53690468"/>
            <a:ext cx="1340430" cy="1836739"/>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43" name="Picture 42" descr="http://vsjcllp.vsjadon.com/upload/insp-233910-1525.jpg"/>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a:ext>
            </a:extLst>
          </a:blip>
          <a:srcRect/>
          <a:stretch>
            <a:fillRect/>
          </a:stretch>
        </xdr:blipFill>
        <xdr:spPr bwMode="auto">
          <a:xfrm>
            <a:off x="4391486" y="53699993"/>
            <a:ext cx="1355398" cy="1836739"/>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46" name="Picture 45" descr="http://vsjcllp.vsjadon.com/upload/insp-233910-874.jpg"/>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466726" y="53704769"/>
            <a:ext cx="2396416" cy="1836739"/>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grpSp>
        <xdr:nvGrpSpPr>
          <xdr:cNvPr id="5" name="Group 4"/>
          <xdr:cNvGrpSpPr/>
        </xdr:nvGrpSpPr>
        <xdr:grpSpPr>
          <a:xfrm>
            <a:off x="361950" y="47203180"/>
            <a:ext cx="2725419" cy="3692527"/>
            <a:chOff x="361950" y="46129576"/>
            <a:chExt cx="2726780" cy="3619049"/>
          </a:xfrm>
        </xdr:grpSpPr>
        <xdr:pic>
          <xdr:nvPicPr>
            <xdr:cNvPr id="45" name="Picture 44" descr="http://vsjcllp.vsjadon.com/upload/insp-233910-843.jpg"/>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a:ext>
              </a:extLst>
            </a:blip>
            <a:srcRect/>
            <a:stretch>
              <a:fillRect/>
            </a:stretch>
          </xdr:blipFill>
          <xdr:spPr bwMode="auto">
            <a:xfrm>
              <a:off x="391543" y="46148625"/>
              <a:ext cx="2697187" cy="36000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sp macro="" textlink="">
          <xdr:nvSpPr>
            <xdr:cNvPr id="3" name="TextBox 2"/>
            <xdr:cNvSpPr txBox="1"/>
          </xdr:nvSpPr>
          <xdr:spPr>
            <a:xfrm>
              <a:off x="361950" y="46129576"/>
              <a:ext cx="809625" cy="276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400" b="1">
                  <a:solidFill>
                    <a:srgbClr val="FF0000"/>
                  </a:solidFill>
                  <a:latin typeface="Times New Roman" panose="02020603050405020304" pitchFamily="18" charset="0"/>
                  <a:cs typeface="Times New Roman" panose="02020603050405020304" pitchFamily="18" charset="0"/>
                </a:rPr>
                <a:t>Wing A</a:t>
              </a:r>
            </a:p>
          </xdr:txBody>
        </xdr:sp>
      </xdr:grpSp>
      <xdr:grpSp>
        <xdr:nvGrpSpPr>
          <xdr:cNvPr id="16" name="Group 15"/>
          <xdr:cNvGrpSpPr/>
        </xdr:nvGrpSpPr>
        <xdr:grpSpPr>
          <a:xfrm>
            <a:off x="2174421" y="50972358"/>
            <a:ext cx="1905640" cy="2610542"/>
            <a:chOff x="2171700" y="49825276"/>
            <a:chExt cx="1912443" cy="2557474"/>
          </a:xfrm>
        </xdr:grpSpPr>
        <xdr:pic>
          <xdr:nvPicPr>
            <xdr:cNvPr id="47" name="Picture 46" descr="http://vsjcllp.vsjadon.com/upload/insp-233910-871.jpg"/>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a:ext>
              </a:extLst>
            </a:blip>
            <a:srcRect/>
            <a:stretch>
              <a:fillRect/>
            </a:stretch>
          </xdr:blipFill>
          <xdr:spPr bwMode="auto">
            <a:xfrm>
              <a:off x="2188720" y="49852884"/>
              <a:ext cx="1895423" cy="2529866"/>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sp macro="" textlink="">
          <xdr:nvSpPr>
            <xdr:cNvPr id="57" name="TextBox 56"/>
            <xdr:cNvSpPr txBox="1"/>
          </xdr:nvSpPr>
          <xdr:spPr>
            <a:xfrm>
              <a:off x="2171700" y="49825276"/>
              <a:ext cx="809625" cy="276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400" b="1">
                  <a:solidFill>
                    <a:srgbClr val="FF0000"/>
                  </a:solidFill>
                  <a:latin typeface="Times New Roman" panose="02020603050405020304" pitchFamily="18" charset="0"/>
                  <a:cs typeface="Times New Roman" panose="02020603050405020304" pitchFamily="18" charset="0"/>
                </a:rPr>
                <a:t>Wing A</a:t>
              </a:r>
            </a:p>
          </xdr:txBody>
        </xdr:sp>
      </xdr:grpSp>
      <xdr:grpSp>
        <xdr:nvGrpSpPr>
          <xdr:cNvPr id="15" name="Group 14"/>
          <xdr:cNvGrpSpPr/>
        </xdr:nvGrpSpPr>
        <xdr:grpSpPr>
          <a:xfrm>
            <a:off x="152400" y="50962833"/>
            <a:ext cx="1955271" cy="2620067"/>
            <a:chOff x="152400" y="49815751"/>
            <a:chExt cx="1952550" cy="2566999"/>
          </a:xfrm>
        </xdr:grpSpPr>
        <xdr:pic>
          <xdr:nvPicPr>
            <xdr:cNvPr id="44" name="Picture 43" descr="http://vsjcllp.vsjadon.com/upload/insp-233910-847.jpg"/>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a:ext>
              </a:extLst>
            </a:blip>
            <a:srcRect/>
            <a:stretch>
              <a:fillRect/>
            </a:stretch>
          </xdr:blipFill>
          <xdr:spPr bwMode="auto">
            <a:xfrm>
              <a:off x="209527" y="49852884"/>
              <a:ext cx="1895423" cy="2529866"/>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sp macro="" textlink="">
          <xdr:nvSpPr>
            <xdr:cNvPr id="58" name="TextBox 57"/>
            <xdr:cNvSpPr txBox="1"/>
          </xdr:nvSpPr>
          <xdr:spPr>
            <a:xfrm>
              <a:off x="152400" y="49815751"/>
              <a:ext cx="809625" cy="276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400" b="1">
                  <a:solidFill>
                    <a:srgbClr val="FF0000"/>
                  </a:solidFill>
                  <a:latin typeface="Times New Roman" panose="02020603050405020304" pitchFamily="18" charset="0"/>
                  <a:cs typeface="Times New Roman" panose="02020603050405020304" pitchFamily="18" charset="0"/>
                </a:rPr>
                <a:t>Wing A</a:t>
              </a:r>
            </a:p>
          </xdr:txBody>
        </xdr:sp>
      </xdr:grpSp>
      <xdr:grpSp>
        <xdr:nvGrpSpPr>
          <xdr:cNvPr id="4" name="Group 3"/>
          <xdr:cNvGrpSpPr/>
        </xdr:nvGrpSpPr>
        <xdr:grpSpPr>
          <a:xfrm>
            <a:off x="3160939" y="47203180"/>
            <a:ext cx="2704363" cy="3692527"/>
            <a:chOff x="3162300" y="46129576"/>
            <a:chExt cx="2705723" cy="3619049"/>
          </a:xfrm>
        </xdr:grpSpPr>
        <xdr:pic>
          <xdr:nvPicPr>
            <xdr:cNvPr id="42" name="Picture 41" descr="http://vsjcllp.vsjadon.com/upload/insp-233910-860.jpg"/>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a:ext>
              </a:extLst>
            </a:blip>
            <a:srcRect/>
            <a:stretch>
              <a:fillRect/>
            </a:stretch>
          </xdr:blipFill>
          <xdr:spPr bwMode="auto">
            <a:xfrm>
              <a:off x="3170836" y="46148625"/>
              <a:ext cx="2697187" cy="36000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sp macro="" textlink="">
          <xdr:nvSpPr>
            <xdr:cNvPr id="59" name="TextBox 58"/>
            <xdr:cNvSpPr txBox="1"/>
          </xdr:nvSpPr>
          <xdr:spPr>
            <a:xfrm>
              <a:off x="3162300" y="46129576"/>
              <a:ext cx="809625" cy="276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400" b="1">
                  <a:solidFill>
                    <a:srgbClr val="FF0000"/>
                  </a:solidFill>
                  <a:latin typeface="Times New Roman" panose="02020603050405020304" pitchFamily="18" charset="0"/>
                  <a:cs typeface="Times New Roman" panose="02020603050405020304" pitchFamily="18" charset="0"/>
                </a:rPr>
                <a:t>Wing B</a:t>
              </a:r>
            </a:p>
          </xdr:txBody>
        </xdr:sp>
      </xdr:grpSp>
      <xdr:grpSp>
        <xdr:nvGrpSpPr>
          <xdr:cNvPr id="17" name="Group 16"/>
          <xdr:cNvGrpSpPr/>
        </xdr:nvGrpSpPr>
        <xdr:grpSpPr>
          <a:xfrm>
            <a:off x="4133850" y="50943783"/>
            <a:ext cx="1945815" cy="2634342"/>
            <a:chOff x="4143375" y="49796701"/>
            <a:chExt cx="1939011" cy="2581274"/>
          </a:xfrm>
        </xdr:grpSpPr>
        <xdr:pic>
          <xdr:nvPicPr>
            <xdr:cNvPr id="48" name="Picture 47" descr="http://vsjcllp.vsjadon.com/upload/insp-233910-862.jpg"/>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a:ext>
              </a:extLst>
            </a:blip>
            <a:srcRect/>
            <a:stretch>
              <a:fillRect/>
            </a:stretch>
          </xdr:blipFill>
          <xdr:spPr bwMode="auto">
            <a:xfrm>
              <a:off x="4186963" y="49848109"/>
              <a:ext cx="1895423" cy="2529866"/>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sp macro="" textlink="">
          <xdr:nvSpPr>
            <xdr:cNvPr id="60" name="TextBox 59"/>
            <xdr:cNvSpPr txBox="1"/>
          </xdr:nvSpPr>
          <xdr:spPr>
            <a:xfrm>
              <a:off x="4143375" y="49796701"/>
              <a:ext cx="809625" cy="276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400" b="1">
                  <a:solidFill>
                    <a:srgbClr val="FF0000"/>
                  </a:solidFill>
                  <a:latin typeface="Times New Roman" panose="02020603050405020304" pitchFamily="18" charset="0"/>
                  <a:cs typeface="Times New Roman" panose="02020603050405020304" pitchFamily="18" charset="0"/>
                </a:rPr>
                <a:t>Wing B</a:t>
              </a:r>
            </a:p>
          </xdr:txBody>
        </xdr:sp>
      </xdr:grpSp>
    </xdr:grpSp>
    <xdr:clientData/>
  </xdr:twoCellAnchor>
  <xdr:twoCellAnchor>
    <xdr:from>
      <xdr:col>0</xdr:col>
      <xdr:colOff>300462</xdr:colOff>
      <xdr:row>232</xdr:row>
      <xdr:rowOff>81641</xdr:rowOff>
    </xdr:from>
    <xdr:to>
      <xdr:col>7</xdr:col>
      <xdr:colOff>394606</xdr:colOff>
      <xdr:row>272</xdr:row>
      <xdr:rowOff>149677</xdr:rowOff>
    </xdr:to>
    <xdr:grpSp>
      <xdr:nvGrpSpPr>
        <xdr:cNvPr id="49" name="Group 48"/>
        <xdr:cNvGrpSpPr/>
      </xdr:nvGrpSpPr>
      <xdr:grpSpPr>
        <a:xfrm>
          <a:off x="300462" y="46955847"/>
          <a:ext cx="5674673" cy="8125065"/>
          <a:chOff x="985154" y="1368835"/>
          <a:chExt cx="5000799" cy="6913373"/>
        </a:xfrm>
      </xdr:grpSpPr>
      <xdr:pic>
        <xdr:nvPicPr>
          <xdr:cNvPr id="50" name="Picture 49" descr="https://vsjcllp.vsjadon.com/upload/insp-243776-1525.jpg"/>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3436774" y="6794064"/>
            <a:ext cx="1114946" cy="1488144"/>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51" name="Picture 50" descr="https://vsjcllp.vsjadon.com/upload/insp-243776-843.jpg"/>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2683889" y="4509792"/>
            <a:ext cx="1619535" cy="2161632"/>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52" name="Picture 51" descr="https://vsjcllp.vsjadon.com/upload/insp-243776-845.jpg"/>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985154" y="4494560"/>
            <a:ext cx="1618313" cy="21600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53" name="Picture 52" descr="https://vsjcllp.vsjadon.com/upload/insp-243776-847.jpg"/>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3457492" y="1373444"/>
            <a:ext cx="2248842" cy="3001581"/>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54" name="Picture 53" descr="https://vsjcllp.vsjadon.com/upload/insp-243776-851.jpg"/>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1106030" y="1368835"/>
            <a:ext cx="2249577" cy="3002563"/>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55" name="Picture 54" descr="https://vsjcllp.vsjadon.com/upload/insp-243776-861.jpg"/>
          <xdr:cNvPicPr>
            <a:picLocks noChangeAspect="1" noChangeArrowheads="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bwMode="auto">
          <a:xfrm>
            <a:off x="4367640" y="4502731"/>
            <a:ext cx="1618313" cy="21600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56" name="Picture 55" descr="https://vsjcllp.vsjadon.com/upload/insp-243776-931.jpg"/>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2219436" y="6794064"/>
            <a:ext cx="1114946" cy="1488144"/>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493058</xdr:colOff>
      <xdr:row>1</xdr:row>
      <xdr:rowOff>168088</xdr:rowOff>
    </xdr:from>
    <xdr:to>
      <xdr:col>14</xdr:col>
      <xdr:colOff>253521</xdr:colOff>
      <xdr:row>24</xdr:row>
      <xdr:rowOff>95382</xdr:rowOff>
    </xdr:to>
    <xdr:pic>
      <xdr:nvPicPr>
        <xdr:cNvPr id="2" name="Picture 1"/>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36269"/>
        <a:stretch/>
      </xdr:blipFill>
      <xdr:spPr>
        <a:xfrm>
          <a:off x="9905999" y="358588"/>
          <a:ext cx="3256698" cy="43200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maps.app.goo.gl/RbzxMuvZhQHvitvcA" TargetMode="External"/><Relationship Id="rId6" Type="http://schemas.openxmlformats.org/officeDocument/2006/relationships/comments" Target="../comments1.xml"/><Relationship Id="rId5" Type="http://schemas.openxmlformats.org/officeDocument/2006/relationships/vmlDrawing" Target="../drawings/vmlDrawing2.v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Z318"/>
  <sheetViews>
    <sheetView tabSelected="1" view="pageBreakPreview" zoomScale="85" zoomScaleNormal="100" zoomScaleSheetLayoutView="85" zoomScalePageLayoutView="85" workbookViewId="0">
      <selection activeCell="J13" sqref="J13"/>
    </sheetView>
  </sheetViews>
  <sheetFormatPr defaultColWidth="9.140625" defaultRowHeight="15.75" x14ac:dyDescent="0.25"/>
  <cols>
    <col min="1" max="1" width="11.42578125" style="38" customWidth="1"/>
    <col min="2" max="2" width="12" style="38" customWidth="1"/>
    <col min="3" max="3" width="12.7109375" style="38" customWidth="1"/>
    <col min="4" max="4" width="13.7109375" style="38" customWidth="1"/>
    <col min="5" max="5" width="11.7109375" style="38" customWidth="1"/>
    <col min="6" max="6" width="11.140625" style="38" customWidth="1"/>
    <col min="7" max="8" width="11" style="38" customWidth="1"/>
    <col min="9" max="9" width="17.42578125" style="19" customWidth="1"/>
    <col min="10" max="10" width="11.42578125" style="19" customWidth="1"/>
    <col min="11" max="11" width="10.5703125" style="19" bestFit="1" customWidth="1"/>
    <col min="12" max="12" width="13.85546875" style="19" bestFit="1" customWidth="1"/>
    <col min="13" max="13" width="11.85546875" style="19" customWidth="1"/>
    <col min="14" max="14" width="12.5703125" style="19" customWidth="1"/>
    <col min="15" max="15" width="12.140625" style="19" customWidth="1"/>
    <col min="16" max="16" width="11.7109375" style="19" customWidth="1"/>
    <col min="17" max="18" width="9.140625" style="19"/>
    <col min="19" max="19" width="10.85546875" style="19" bestFit="1" customWidth="1"/>
    <col min="20" max="20" width="10.7109375" style="19" customWidth="1"/>
    <col min="21" max="247" width="9.140625" style="19"/>
    <col min="248" max="248" width="8.7109375" style="19" customWidth="1"/>
    <col min="249" max="249" width="9.85546875" style="19" customWidth="1"/>
    <col min="250" max="250" width="14.42578125" style="19" customWidth="1"/>
    <col min="251" max="251" width="7.28515625" style="19" customWidth="1"/>
    <col min="252" max="252" width="5.5703125" style="19" customWidth="1"/>
    <col min="253" max="253" width="9" style="19" customWidth="1"/>
    <col min="254" max="255" width="9.85546875" style="19" customWidth="1"/>
    <col min="256" max="256" width="11.140625" style="19" customWidth="1"/>
    <col min="257" max="257" width="2.85546875" style="19" customWidth="1"/>
    <col min="258" max="258" width="3.5703125" style="19" customWidth="1"/>
    <col min="259" max="503" width="9.140625" style="19"/>
    <col min="504" max="504" width="8.7109375" style="19" customWidth="1"/>
    <col min="505" max="505" width="9.85546875" style="19" customWidth="1"/>
    <col min="506" max="506" width="14.42578125" style="19" customWidth="1"/>
    <col min="507" max="507" width="7.28515625" style="19" customWidth="1"/>
    <col min="508" max="508" width="5.5703125" style="19" customWidth="1"/>
    <col min="509" max="509" width="9" style="19" customWidth="1"/>
    <col min="510" max="511" width="9.85546875" style="19" customWidth="1"/>
    <col min="512" max="512" width="11.140625" style="19" customWidth="1"/>
    <col min="513" max="513" width="2.85546875" style="19" customWidth="1"/>
    <col min="514" max="514" width="3.5703125" style="19" customWidth="1"/>
    <col min="515" max="759" width="9.140625" style="19"/>
    <col min="760" max="760" width="8.7109375" style="19" customWidth="1"/>
    <col min="761" max="761" width="9.85546875" style="19" customWidth="1"/>
    <col min="762" max="762" width="14.42578125" style="19" customWidth="1"/>
    <col min="763" max="763" width="7.28515625" style="19" customWidth="1"/>
    <col min="764" max="764" width="5.5703125" style="19" customWidth="1"/>
    <col min="765" max="765" width="9" style="19" customWidth="1"/>
    <col min="766" max="767" width="9.85546875" style="19" customWidth="1"/>
    <col min="768" max="768" width="11.140625" style="19" customWidth="1"/>
    <col min="769" max="769" width="2.85546875" style="19" customWidth="1"/>
    <col min="770" max="770" width="3.5703125" style="19" customWidth="1"/>
    <col min="771" max="1015" width="9.140625" style="19"/>
    <col min="1016" max="1016" width="8.7109375" style="19" customWidth="1"/>
    <col min="1017" max="1017" width="9.85546875" style="19" customWidth="1"/>
    <col min="1018" max="1018" width="14.42578125" style="19" customWidth="1"/>
    <col min="1019" max="1019" width="7.28515625" style="19" customWidth="1"/>
    <col min="1020" max="1020" width="5.5703125" style="19" customWidth="1"/>
    <col min="1021" max="1021" width="9" style="19" customWidth="1"/>
    <col min="1022" max="1023" width="9.85546875" style="19" customWidth="1"/>
    <col min="1024" max="1024" width="11.140625" style="19" customWidth="1"/>
    <col min="1025" max="1025" width="2.85546875" style="19" customWidth="1"/>
    <col min="1026" max="1026" width="3.5703125" style="19" customWidth="1"/>
    <col min="1027" max="1271" width="9.140625" style="19"/>
    <col min="1272" max="1272" width="8.7109375" style="19" customWidth="1"/>
    <col min="1273" max="1273" width="9.85546875" style="19" customWidth="1"/>
    <col min="1274" max="1274" width="14.42578125" style="19" customWidth="1"/>
    <col min="1275" max="1275" width="7.28515625" style="19" customWidth="1"/>
    <col min="1276" max="1276" width="5.5703125" style="19" customWidth="1"/>
    <col min="1277" max="1277" width="9" style="19" customWidth="1"/>
    <col min="1278" max="1279" width="9.85546875" style="19" customWidth="1"/>
    <col min="1280" max="1280" width="11.140625" style="19" customWidth="1"/>
    <col min="1281" max="1281" width="2.85546875" style="19" customWidth="1"/>
    <col min="1282" max="1282" width="3.5703125" style="19" customWidth="1"/>
    <col min="1283" max="1527" width="9.140625" style="19"/>
    <col min="1528" max="1528" width="8.7109375" style="19" customWidth="1"/>
    <col min="1529" max="1529" width="9.85546875" style="19" customWidth="1"/>
    <col min="1530" max="1530" width="14.42578125" style="19" customWidth="1"/>
    <col min="1531" max="1531" width="7.28515625" style="19" customWidth="1"/>
    <col min="1532" max="1532" width="5.5703125" style="19" customWidth="1"/>
    <col min="1533" max="1533" width="9" style="19" customWidth="1"/>
    <col min="1534" max="1535" width="9.85546875" style="19" customWidth="1"/>
    <col min="1536" max="1536" width="11.140625" style="19" customWidth="1"/>
    <col min="1537" max="1537" width="2.85546875" style="19" customWidth="1"/>
    <col min="1538" max="1538" width="3.5703125" style="19" customWidth="1"/>
    <col min="1539" max="1783" width="9.140625" style="19"/>
    <col min="1784" max="1784" width="8.7109375" style="19" customWidth="1"/>
    <col min="1785" max="1785" width="9.85546875" style="19" customWidth="1"/>
    <col min="1786" max="1786" width="14.42578125" style="19" customWidth="1"/>
    <col min="1787" max="1787" width="7.28515625" style="19" customWidth="1"/>
    <col min="1788" max="1788" width="5.5703125" style="19" customWidth="1"/>
    <col min="1789" max="1789" width="9" style="19" customWidth="1"/>
    <col min="1790" max="1791" width="9.85546875" style="19" customWidth="1"/>
    <col min="1792" max="1792" width="11.140625" style="19" customWidth="1"/>
    <col min="1793" max="1793" width="2.85546875" style="19" customWidth="1"/>
    <col min="1794" max="1794" width="3.5703125" style="19" customWidth="1"/>
    <col min="1795" max="2039" width="9.140625" style="19"/>
    <col min="2040" max="2040" width="8.7109375" style="19" customWidth="1"/>
    <col min="2041" max="2041" width="9.85546875" style="19" customWidth="1"/>
    <col min="2042" max="2042" width="14.42578125" style="19" customWidth="1"/>
    <col min="2043" max="2043" width="7.28515625" style="19" customWidth="1"/>
    <col min="2044" max="2044" width="5.5703125" style="19" customWidth="1"/>
    <col min="2045" max="2045" width="9" style="19" customWidth="1"/>
    <col min="2046" max="2047" width="9.85546875" style="19" customWidth="1"/>
    <col min="2048" max="2048" width="11.140625" style="19" customWidth="1"/>
    <col min="2049" max="2049" width="2.85546875" style="19" customWidth="1"/>
    <col min="2050" max="2050" width="3.5703125" style="19" customWidth="1"/>
    <col min="2051" max="2295" width="9.140625" style="19"/>
    <col min="2296" max="2296" width="8.7109375" style="19" customWidth="1"/>
    <col min="2297" max="2297" width="9.85546875" style="19" customWidth="1"/>
    <col min="2298" max="2298" width="14.42578125" style="19" customWidth="1"/>
    <col min="2299" max="2299" width="7.28515625" style="19" customWidth="1"/>
    <col min="2300" max="2300" width="5.5703125" style="19" customWidth="1"/>
    <col min="2301" max="2301" width="9" style="19" customWidth="1"/>
    <col min="2302" max="2303" width="9.85546875" style="19" customWidth="1"/>
    <col min="2304" max="2304" width="11.140625" style="19" customWidth="1"/>
    <col min="2305" max="2305" width="2.85546875" style="19" customWidth="1"/>
    <col min="2306" max="2306" width="3.5703125" style="19" customWidth="1"/>
    <col min="2307" max="2551" width="9.140625" style="19"/>
    <col min="2552" max="2552" width="8.7109375" style="19" customWidth="1"/>
    <col min="2553" max="2553" width="9.85546875" style="19" customWidth="1"/>
    <col min="2554" max="2554" width="14.42578125" style="19" customWidth="1"/>
    <col min="2555" max="2555" width="7.28515625" style="19" customWidth="1"/>
    <col min="2556" max="2556" width="5.5703125" style="19" customWidth="1"/>
    <col min="2557" max="2557" width="9" style="19" customWidth="1"/>
    <col min="2558" max="2559" width="9.85546875" style="19" customWidth="1"/>
    <col min="2560" max="2560" width="11.140625" style="19" customWidth="1"/>
    <col min="2561" max="2561" width="2.85546875" style="19" customWidth="1"/>
    <col min="2562" max="2562" width="3.5703125" style="19" customWidth="1"/>
    <col min="2563" max="2807" width="9.140625" style="19"/>
    <col min="2808" max="2808" width="8.7109375" style="19" customWidth="1"/>
    <col min="2809" max="2809" width="9.85546875" style="19" customWidth="1"/>
    <col min="2810" max="2810" width="14.42578125" style="19" customWidth="1"/>
    <col min="2811" max="2811" width="7.28515625" style="19" customWidth="1"/>
    <col min="2812" max="2812" width="5.5703125" style="19" customWidth="1"/>
    <col min="2813" max="2813" width="9" style="19" customWidth="1"/>
    <col min="2814" max="2815" width="9.85546875" style="19" customWidth="1"/>
    <col min="2816" max="2816" width="11.140625" style="19" customWidth="1"/>
    <col min="2817" max="2817" width="2.85546875" style="19" customWidth="1"/>
    <col min="2818" max="2818" width="3.5703125" style="19" customWidth="1"/>
    <col min="2819" max="3063" width="9.140625" style="19"/>
    <col min="3064" max="3064" width="8.7109375" style="19" customWidth="1"/>
    <col min="3065" max="3065" width="9.85546875" style="19" customWidth="1"/>
    <col min="3066" max="3066" width="14.42578125" style="19" customWidth="1"/>
    <col min="3067" max="3067" width="7.28515625" style="19" customWidth="1"/>
    <col min="3068" max="3068" width="5.5703125" style="19" customWidth="1"/>
    <col min="3069" max="3069" width="9" style="19" customWidth="1"/>
    <col min="3070" max="3071" width="9.85546875" style="19" customWidth="1"/>
    <col min="3072" max="3072" width="11.140625" style="19" customWidth="1"/>
    <col min="3073" max="3073" width="2.85546875" style="19" customWidth="1"/>
    <col min="3074" max="3074" width="3.5703125" style="19" customWidth="1"/>
    <col min="3075" max="3319" width="9.140625" style="19"/>
    <col min="3320" max="3320" width="8.7109375" style="19" customWidth="1"/>
    <col min="3321" max="3321" width="9.85546875" style="19" customWidth="1"/>
    <col min="3322" max="3322" width="14.42578125" style="19" customWidth="1"/>
    <col min="3323" max="3323" width="7.28515625" style="19" customWidth="1"/>
    <col min="3324" max="3324" width="5.5703125" style="19" customWidth="1"/>
    <col min="3325" max="3325" width="9" style="19" customWidth="1"/>
    <col min="3326" max="3327" width="9.85546875" style="19" customWidth="1"/>
    <col min="3328" max="3328" width="11.140625" style="19" customWidth="1"/>
    <col min="3329" max="3329" width="2.85546875" style="19" customWidth="1"/>
    <col min="3330" max="3330" width="3.5703125" style="19" customWidth="1"/>
    <col min="3331" max="3575" width="9.140625" style="19"/>
    <col min="3576" max="3576" width="8.7109375" style="19" customWidth="1"/>
    <col min="3577" max="3577" width="9.85546875" style="19" customWidth="1"/>
    <col min="3578" max="3578" width="14.42578125" style="19" customWidth="1"/>
    <col min="3579" max="3579" width="7.28515625" style="19" customWidth="1"/>
    <col min="3580" max="3580" width="5.5703125" style="19" customWidth="1"/>
    <col min="3581" max="3581" width="9" style="19" customWidth="1"/>
    <col min="3582" max="3583" width="9.85546875" style="19" customWidth="1"/>
    <col min="3584" max="3584" width="11.140625" style="19" customWidth="1"/>
    <col min="3585" max="3585" width="2.85546875" style="19" customWidth="1"/>
    <col min="3586" max="3586" width="3.5703125" style="19" customWidth="1"/>
    <col min="3587" max="3831" width="9.140625" style="19"/>
    <col min="3832" max="3832" width="8.7109375" style="19" customWidth="1"/>
    <col min="3833" max="3833" width="9.85546875" style="19" customWidth="1"/>
    <col min="3834" max="3834" width="14.42578125" style="19" customWidth="1"/>
    <col min="3835" max="3835" width="7.28515625" style="19" customWidth="1"/>
    <col min="3836" max="3836" width="5.5703125" style="19" customWidth="1"/>
    <col min="3837" max="3837" width="9" style="19" customWidth="1"/>
    <col min="3838" max="3839" width="9.85546875" style="19" customWidth="1"/>
    <col min="3840" max="3840" width="11.140625" style="19" customWidth="1"/>
    <col min="3841" max="3841" width="2.85546875" style="19" customWidth="1"/>
    <col min="3842" max="3842" width="3.5703125" style="19" customWidth="1"/>
    <col min="3843" max="4087" width="9.140625" style="19"/>
    <col min="4088" max="4088" width="8.7109375" style="19" customWidth="1"/>
    <col min="4089" max="4089" width="9.85546875" style="19" customWidth="1"/>
    <col min="4090" max="4090" width="14.42578125" style="19" customWidth="1"/>
    <col min="4091" max="4091" width="7.28515625" style="19" customWidth="1"/>
    <col min="4092" max="4092" width="5.5703125" style="19" customWidth="1"/>
    <col min="4093" max="4093" width="9" style="19" customWidth="1"/>
    <col min="4094" max="4095" width="9.85546875" style="19" customWidth="1"/>
    <col min="4096" max="4096" width="11.140625" style="19" customWidth="1"/>
    <col min="4097" max="4097" width="2.85546875" style="19" customWidth="1"/>
    <col min="4098" max="4098" width="3.5703125" style="19" customWidth="1"/>
    <col min="4099" max="4343" width="9.140625" style="19"/>
    <col min="4344" max="4344" width="8.7109375" style="19" customWidth="1"/>
    <col min="4345" max="4345" width="9.85546875" style="19" customWidth="1"/>
    <col min="4346" max="4346" width="14.42578125" style="19" customWidth="1"/>
    <col min="4347" max="4347" width="7.28515625" style="19" customWidth="1"/>
    <col min="4348" max="4348" width="5.5703125" style="19" customWidth="1"/>
    <col min="4349" max="4349" width="9" style="19" customWidth="1"/>
    <col min="4350" max="4351" width="9.85546875" style="19" customWidth="1"/>
    <col min="4352" max="4352" width="11.140625" style="19" customWidth="1"/>
    <col min="4353" max="4353" width="2.85546875" style="19" customWidth="1"/>
    <col min="4354" max="4354" width="3.5703125" style="19" customWidth="1"/>
    <col min="4355" max="4599" width="9.140625" style="19"/>
    <col min="4600" max="4600" width="8.7109375" style="19" customWidth="1"/>
    <col min="4601" max="4601" width="9.85546875" style="19" customWidth="1"/>
    <col min="4602" max="4602" width="14.42578125" style="19" customWidth="1"/>
    <col min="4603" max="4603" width="7.28515625" style="19" customWidth="1"/>
    <col min="4604" max="4604" width="5.5703125" style="19" customWidth="1"/>
    <col min="4605" max="4605" width="9" style="19" customWidth="1"/>
    <col min="4606" max="4607" width="9.85546875" style="19" customWidth="1"/>
    <col min="4608" max="4608" width="11.140625" style="19" customWidth="1"/>
    <col min="4609" max="4609" width="2.85546875" style="19" customWidth="1"/>
    <col min="4610" max="4610" width="3.5703125" style="19" customWidth="1"/>
    <col min="4611" max="4855" width="9.140625" style="19"/>
    <col min="4856" max="4856" width="8.7109375" style="19" customWidth="1"/>
    <col min="4857" max="4857" width="9.85546875" style="19" customWidth="1"/>
    <col min="4858" max="4858" width="14.42578125" style="19" customWidth="1"/>
    <col min="4859" max="4859" width="7.28515625" style="19" customWidth="1"/>
    <col min="4860" max="4860" width="5.5703125" style="19" customWidth="1"/>
    <col min="4861" max="4861" width="9" style="19" customWidth="1"/>
    <col min="4862" max="4863" width="9.85546875" style="19" customWidth="1"/>
    <col min="4864" max="4864" width="11.140625" style="19" customWidth="1"/>
    <col min="4865" max="4865" width="2.85546875" style="19" customWidth="1"/>
    <col min="4866" max="4866" width="3.5703125" style="19" customWidth="1"/>
    <col min="4867" max="5111" width="9.140625" style="19"/>
    <col min="5112" max="5112" width="8.7109375" style="19" customWidth="1"/>
    <col min="5113" max="5113" width="9.85546875" style="19" customWidth="1"/>
    <col min="5114" max="5114" width="14.42578125" style="19" customWidth="1"/>
    <col min="5115" max="5115" width="7.28515625" style="19" customWidth="1"/>
    <col min="5116" max="5116" width="5.5703125" style="19" customWidth="1"/>
    <col min="5117" max="5117" width="9" style="19" customWidth="1"/>
    <col min="5118" max="5119" width="9.85546875" style="19" customWidth="1"/>
    <col min="5120" max="5120" width="11.140625" style="19" customWidth="1"/>
    <col min="5121" max="5121" width="2.85546875" style="19" customWidth="1"/>
    <col min="5122" max="5122" width="3.5703125" style="19" customWidth="1"/>
    <col min="5123" max="5367" width="9.140625" style="19"/>
    <col min="5368" max="5368" width="8.7109375" style="19" customWidth="1"/>
    <col min="5369" max="5369" width="9.85546875" style="19" customWidth="1"/>
    <col min="5370" max="5370" width="14.42578125" style="19" customWidth="1"/>
    <col min="5371" max="5371" width="7.28515625" style="19" customWidth="1"/>
    <col min="5372" max="5372" width="5.5703125" style="19" customWidth="1"/>
    <col min="5373" max="5373" width="9" style="19" customWidth="1"/>
    <col min="5374" max="5375" width="9.85546875" style="19" customWidth="1"/>
    <col min="5376" max="5376" width="11.140625" style="19" customWidth="1"/>
    <col min="5377" max="5377" width="2.85546875" style="19" customWidth="1"/>
    <col min="5378" max="5378" width="3.5703125" style="19" customWidth="1"/>
    <col min="5379" max="5623" width="9.140625" style="19"/>
    <col min="5624" max="5624" width="8.7109375" style="19" customWidth="1"/>
    <col min="5625" max="5625" width="9.85546875" style="19" customWidth="1"/>
    <col min="5626" max="5626" width="14.42578125" style="19" customWidth="1"/>
    <col min="5627" max="5627" width="7.28515625" style="19" customWidth="1"/>
    <col min="5628" max="5628" width="5.5703125" style="19" customWidth="1"/>
    <col min="5629" max="5629" width="9" style="19" customWidth="1"/>
    <col min="5630" max="5631" width="9.85546875" style="19" customWidth="1"/>
    <col min="5632" max="5632" width="11.140625" style="19" customWidth="1"/>
    <col min="5633" max="5633" width="2.85546875" style="19" customWidth="1"/>
    <col min="5634" max="5634" width="3.5703125" style="19" customWidth="1"/>
    <col min="5635" max="5879" width="9.140625" style="19"/>
    <col min="5880" max="5880" width="8.7109375" style="19" customWidth="1"/>
    <col min="5881" max="5881" width="9.85546875" style="19" customWidth="1"/>
    <col min="5882" max="5882" width="14.42578125" style="19" customWidth="1"/>
    <col min="5883" max="5883" width="7.28515625" style="19" customWidth="1"/>
    <col min="5884" max="5884" width="5.5703125" style="19" customWidth="1"/>
    <col min="5885" max="5885" width="9" style="19" customWidth="1"/>
    <col min="5886" max="5887" width="9.85546875" style="19" customWidth="1"/>
    <col min="5888" max="5888" width="11.140625" style="19" customWidth="1"/>
    <col min="5889" max="5889" width="2.85546875" style="19" customWidth="1"/>
    <col min="5890" max="5890" width="3.5703125" style="19" customWidth="1"/>
    <col min="5891" max="6135" width="9.140625" style="19"/>
    <col min="6136" max="6136" width="8.7109375" style="19" customWidth="1"/>
    <col min="6137" max="6137" width="9.85546875" style="19" customWidth="1"/>
    <col min="6138" max="6138" width="14.42578125" style="19" customWidth="1"/>
    <col min="6139" max="6139" width="7.28515625" style="19" customWidth="1"/>
    <col min="6140" max="6140" width="5.5703125" style="19" customWidth="1"/>
    <col min="6141" max="6141" width="9" style="19" customWidth="1"/>
    <col min="6142" max="6143" width="9.85546875" style="19" customWidth="1"/>
    <col min="6144" max="6144" width="11.140625" style="19" customWidth="1"/>
    <col min="6145" max="6145" width="2.85546875" style="19" customWidth="1"/>
    <col min="6146" max="6146" width="3.5703125" style="19" customWidth="1"/>
    <col min="6147" max="6391" width="9.140625" style="19"/>
    <col min="6392" max="6392" width="8.7109375" style="19" customWidth="1"/>
    <col min="6393" max="6393" width="9.85546875" style="19" customWidth="1"/>
    <col min="6394" max="6394" width="14.42578125" style="19" customWidth="1"/>
    <col min="6395" max="6395" width="7.28515625" style="19" customWidth="1"/>
    <col min="6396" max="6396" width="5.5703125" style="19" customWidth="1"/>
    <col min="6397" max="6397" width="9" style="19" customWidth="1"/>
    <col min="6398" max="6399" width="9.85546875" style="19" customWidth="1"/>
    <col min="6400" max="6400" width="11.140625" style="19" customWidth="1"/>
    <col min="6401" max="6401" width="2.85546875" style="19" customWidth="1"/>
    <col min="6402" max="6402" width="3.5703125" style="19" customWidth="1"/>
    <col min="6403" max="6647" width="9.140625" style="19"/>
    <col min="6648" max="6648" width="8.7109375" style="19" customWidth="1"/>
    <col min="6649" max="6649" width="9.85546875" style="19" customWidth="1"/>
    <col min="6650" max="6650" width="14.42578125" style="19" customWidth="1"/>
    <col min="6651" max="6651" width="7.28515625" style="19" customWidth="1"/>
    <col min="6652" max="6652" width="5.5703125" style="19" customWidth="1"/>
    <col min="6653" max="6653" width="9" style="19" customWidth="1"/>
    <col min="6654" max="6655" width="9.85546875" style="19" customWidth="1"/>
    <col min="6656" max="6656" width="11.140625" style="19" customWidth="1"/>
    <col min="6657" max="6657" width="2.85546875" style="19" customWidth="1"/>
    <col min="6658" max="6658" width="3.5703125" style="19" customWidth="1"/>
    <col min="6659" max="6903" width="9.140625" style="19"/>
    <col min="6904" max="6904" width="8.7109375" style="19" customWidth="1"/>
    <col min="6905" max="6905" width="9.85546875" style="19" customWidth="1"/>
    <col min="6906" max="6906" width="14.42578125" style="19" customWidth="1"/>
    <col min="6907" max="6907" width="7.28515625" style="19" customWidth="1"/>
    <col min="6908" max="6908" width="5.5703125" style="19" customWidth="1"/>
    <col min="6909" max="6909" width="9" style="19" customWidth="1"/>
    <col min="6910" max="6911" width="9.85546875" style="19" customWidth="1"/>
    <col min="6912" max="6912" width="11.140625" style="19" customWidth="1"/>
    <col min="6913" max="6913" width="2.85546875" style="19" customWidth="1"/>
    <col min="6914" max="6914" width="3.5703125" style="19" customWidth="1"/>
    <col min="6915" max="7159" width="9.140625" style="19"/>
    <col min="7160" max="7160" width="8.7109375" style="19" customWidth="1"/>
    <col min="7161" max="7161" width="9.85546875" style="19" customWidth="1"/>
    <col min="7162" max="7162" width="14.42578125" style="19" customWidth="1"/>
    <col min="7163" max="7163" width="7.28515625" style="19" customWidth="1"/>
    <col min="7164" max="7164" width="5.5703125" style="19" customWidth="1"/>
    <col min="7165" max="7165" width="9" style="19" customWidth="1"/>
    <col min="7166" max="7167" width="9.85546875" style="19" customWidth="1"/>
    <col min="7168" max="7168" width="11.140625" style="19" customWidth="1"/>
    <col min="7169" max="7169" width="2.85546875" style="19" customWidth="1"/>
    <col min="7170" max="7170" width="3.5703125" style="19" customWidth="1"/>
    <col min="7171" max="7415" width="9.140625" style="19"/>
    <col min="7416" max="7416" width="8.7109375" style="19" customWidth="1"/>
    <col min="7417" max="7417" width="9.85546875" style="19" customWidth="1"/>
    <col min="7418" max="7418" width="14.42578125" style="19" customWidth="1"/>
    <col min="7419" max="7419" width="7.28515625" style="19" customWidth="1"/>
    <col min="7420" max="7420" width="5.5703125" style="19" customWidth="1"/>
    <col min="7421" max="7421" width="9" style="19" customWidth="1"/>
    <col min="7422" max="7423" width="9.85546875" style="19" customWidth="1"/>
    <col min="7424" max="7424" width="11.140625" style="19" customWidth="1"/>
    <col min="7425" max="7425" width="2.85546875" style="19" customWidth="1"/>
    <col min="7426" max="7426" width="3.5703125" style="19" customWidth="1"/>
    <col min="7427" max="7671" width="9.140625" style="19"/>
    <col min="7672" max="7672" width="8.7109375" style="19" customWidth="1"/>
    <col min="7673" max="7673" width="9.85546875" style="19" customWidth="1"/>
    <col min="7674" max="7674" width="14.42578125" style="19" customWidth="1"/>
    <col min="7675" max="7675" width="7.28515625" style="19" customWidth="1"/>
    <col min="7676" max="7676" width="5.5703125" style="19" customWidth="1"/>
    <col min="7677" max="7677" width="9" style="19" customWidth="1"/>
    <col min="7678" max="7679" width="9.85546875" style="19" customWidth="1"/>
    <col min="7680" max="7680" width="11.140625" style="19" customWidth="1"/>
    <col min="7681" max="7681" width="2.85546875" style="19" customWidth="1"/>
    <col min="7682" max="7682" width="3.5703125" style="19" customWidth="1"/>
    <col min="7683" max="7927" width="9.140625" style="19"/>
    <col min="7928" max="7928" width="8.7109375" style="19" customWidth="1"/>
    <col min="7929" max="7929" width="9.85546875" style="19" customWidth="1"/>
    <col min="7930" max="7930" width="14.42578125" style="19" customWidth="1"/>
    <col min="7931" max="7931" width="7.28515625" style="19" customWidth="1"/>
    <col min="7932" max="7932" width="5.5703125" style="19" customWidth="1"/>
    <col min="7933" max="7933" width="9" style="19" customWidth="1"/>
    <col min="7934" max="7935" width="9.85546875" style="19" customWidth="1"/>
    <col min="7936" max="7936" width="11.140625" style="19" customWidth="1"/>
    <col min="7937" max="7937" width="2.85546875" style="19" customWidth="1"/>
    <col min="7938" max="7938" width="3.5703125" style="19" customWidth="1"/>
    <col min="7939" max="8183" width="9.140625" style="19"/>
    <col min="8184" max="8184" width="8.7109375" style="19" customWidth="1"/>
    <col min="8185" max="8185" width="9.85546875" style="19" customWidth="1"/>
    <col min="8186" max="8186" width="14.42578125" style="19" customWidth="1"/>
    <col min="8187" max="8187" width="7.28515625" style="19" customWidth="1"/>
    <col min="8188" max="8188" width="5.5703125" style="19" customWidth="1"/>
    <col min="8189" max="8189" width="9" style="19" customWidth="1"/>
    <col min="8190" max="8191" width="9.85546875" style="19" customWidth="1"/>
    <col min="8192" max="8192" width="11.140625" style="19" customWidth="1"/>
    <col min="8193" max="8193" width="2.85546875" style="19" customWidth="1"/>
    <col min="8194" max="8194" width="3.5703125" style="19" customWidth="1"/>
    <col min="8195" max="8439" width="9.140625" style="19"/>
    <col min="8440" max="8440" width="8.7109375" style="19" customWidth="1"/>
    <col min="8441" max="8441" width="9.85546875" style="19" customWidth="1"/>
    <col min="8442" max="8442" width="14.42578125" style="19" customWidth="1"/>
    <col min="8443" max="8443" width="7.28515625" style="19" customWidth="1"/>
    <col min="8444" max="8444" width="5.5703125" style="19" customWidth="1"/>
    <col min="8445" max="8445" width="9" style="19" customWidth="1"/>
    <col min="8446" max="8447" width="9.85546875" style="19" customWidth="1"/>
    <col min="8448" max="8448" width="11.140625" style="19" customWidth="1"/>
    <col min="8449" max="8449" width="2.85546875" style="19" customWidth="1"/>
    <col min="8450" max="8450" width="3.5703125" style="19" customWidth="1"/>
    <col min="8451" max="8695" width="9.140625" style="19"/>
    <col min="8696" max="8696" width="8.7109375" style="19" customWidth="1"/>
    <col min="8697" max="8697" width="9.85546875" style="19" customWidth="1"/>
    <col min="8698" max="8698" width="14.42578125" style="19" customWidth="1"/>
    <col min="8699" max="8699" width="7.28515625" style="19" customWidth="1"/>
    <col min="8700" max="8700" width="5.5703125" style="19" customWidth="1"/>
    <col min="8701" max="8701" width="9" style="19" customWidth="1"/>
    <col min="8702" max="8703" width="9.85546875" style="19" customWidth="1"/>
    <col min="8704" max="8704" width="11.140625" style="19" customWidth="1"/>
    <col min="8705" max="8705" width="2.85546875" style="19" customWidth="1"/>
    <col min="8706" max="8706" width="3.5703125" style="19" customWidth="1"/>
    <col min="8707" max="8951" width="9.140625" style="19"/>
    <col min="8952" max="8952" width="8.7109375" style="19" customWidth="1"/>
    <col min="8953" max="8953" width="9.85546875" style="19" customWidth="1"/>
    <col min="8954" max="8954" width="14.42578125" style="19" customWidth="1"/>
    <col min="8955" max="8955" width="7.28515625" style="19" customWidth="1"/>
    <col min="8956" max="8956" width="5.5703125" style="19" customWidth="1"/>
    <col min="8957" max="8957" width="9" style="19" customWidth="1"/>
    <col min="8958" max="8959" width="9.85546875" style="19" customWidth="1"/>
    <col min="8960" max="8960" width="11.140625" style="19" customWidth="1"/>
    <col min="8961" max="8961" width="2.85546875" style="19" customWidth="1"/>
    <col min="8962" max="8962" width="3.5703125" style="19" customWidth="1"/>
    <col min="8963" max="9207" width="9.140625" style="19"/>
    <col min="9208" max="9208" width="8.7109375" style="19" customWidth="1"/>
    <col min="9209" max="9209" width="9.85546875" style="19" customWidth="1"/>
    <col min="9210" max="9210" width="14.42578125" style="19" customWidth="1"/>
    <col min="9211" max="9211" width="7.28515625" style="19" customWidth="1"/>
    <col min="9212" max="9212" width="5.5703125" style="19" customWidth="1"/>
    <col min="9213" max="9213" width="9" style="19" customWidth="1"/>
    <col min="9214" max="9215" width="9.85546875" style="19" customWidth="1"/>
    <col min="9216" max="9216" width="11.140625" style="19" customWidth="1"/>
    <col min="9217" max="9217" width="2.85546875" style="19" customWidth="1"/>
    <col min="9218" max="9218" width="3.5703125" style="19" customWidth="1"/>
    <col min="9219" max="9463" width="9.140625" style="19"/>
    <col min="9464" max="9464" width="8.7109375" style="19" customWidth="1"/>
    <col min="9465" max="9465" width="9.85546875" style="19" customWidth="1"/>
    <col min="9466" max="9466" width="14.42578125" style="19" customWidth="1"/>
    <col min="9467" max="9467" width="7.28515625" style="19" customWidth="1"/>
    <col min="9468" max="9468" width="5.5703125" style="19" customWidth="1"/>
    <col min="9469" max="9469" width="9" style="19" customWidth="1"/>
    <col min="9470" max="9471" width="9.85546875" style="19" customWidth="1"/>
    <col min="9472" max="9472" width="11.140625" style="19" customWidth="1"/>
    <col min="9473" max="9473" width="2.85546875" style="19" customWidth="1"/>
    <col min="9474" max="9474" width="3.5703125" style="19" customWidth="1"/>
    <col min="9475" max="9719" width="9.140625" style="19"/>
    <col min="9720" max="9720" width="8.7109375" style="19" customWidth="1"/>
    <col min="9721" max="9721" width="9.85546875" style="19" customWidth="1"/>
    <col min="9722" max="9722" width="14.42578125" style="19" customWidth="1"/>
    <col min="9723" max="9723" width="7.28515625" style="19" customWidth="1"/>
    <col min="9724" max="9724" width="5.5703125" style="19" customWidth="1"/>
    <col min="9725" max="9725" width="9" style="19" customWidth="1"/>
    <col min="9726" max="9727" width="9.85546875" style="19" customWidth="1"/>
    <col min="9728" max="9728" width="11.140625" style="19" customWidth="1"/>
    <col min="9729" max="9729" width="2.85546875" style="19" customWidth="1"/>
    <col min="9730" max="9730" width="3.5703125" style="19" customWidth="1"/>
    <col min="9731" max="9975" width="9.140625" style="19"/>
    <col min="9976" max="9976" width="8.7109375" style="19" customWidth="1"/>
    <col min="9977" max="9977" width="9.85546875" style="19" customWidth="1"/>
    <col min="9978" max="9978" width="14.42578125" style="19" customWidth="1"/>
    <col min="9979" max="9979" width="7.28515625" style="19" customWidth="1"/>
    <col min="9980" max="9980" width="5.5703125" style="19" customWidth="1"/>
    <col min="9981" max="9981" width="9" style="19" customWidth="1"/>
    <col min="9982" max="9983" width="9.85546875" style="19" customWidth="1"/>
    <col min="9984" max="9984" width="11.140625" style="19" customWidth="1"/>
    <col min="9985" max="9985" width="2.85546875" style="19" customWidth="1"/>
    <col min="9986" max="9986" width="3.5703125" style="19" customWidth="1"/>
    <col min="9987" max="10231" width="9.140625" style="19"/>
    <col min="10232" max="10232" width="8.7109375" style="19" customWidth="1"/>
    <col min="10233" max="10233" width="9.85546875" style="19" customWidth="1"/>
    <col min="10234" max="10234" width="14.42578125" style="19" customWidth="1"/>
    <col min="10235" max="10235" width="7.28515625" style="19" customWidth="1"/>
    <col min="10236" max="10236" width="5.5703125" style="19" customWidth="1"/>
    <col min="10237" max="10237" width="9" style="19" customWidth="1"/>
    <col min="10238" max="10239" width="9.85546875" style="19" customWidth="1"/>
    <col min="10240" max="10240" width="11.140625" style="19" customWidth="1"/>
    <col min="10241" max="10241" width="2.85546875" style="19" customWidth="1"/>
    <col min="10242" max="10242" width="3.5703125" style="19" customWidth="1"/>
    <col min="10243" max="10487" width="9.140625" style="19"/>
    <col min="10488" max="10488" width="8.7109375" style="19" customWidth="1"/>
    <col min="10489" max="10489" width="9.85546875" style="19" customWidth="1"/>
    <col min="10490" max="10490" width="14.42578125" style="19" customWidth="1"/>
    <col min="10491" max="10491" width="7.28515625" style="19" customWidth="1"/>
    <col min="10492" max="10492" width="5.5703125" style="19" customWidth="1"/>
    <col min="10493" max="10493" width="9" style="19" customWidth="1"/>
    <col min="10494" max="10495" width="9.85546875" style="19" customWidth="1"/>
    <col min="10496" max="10496" width="11.140625" style="19" customWidth="1"/>
    <col min="10497" max="10497" width="2.85546875" style="19" customWidth="1"/>
    <col min="10498" max="10498" width="3.5703125" style="19" customWidth="1"/>
    <col min="10499" max="10743" width="9.140625" style="19"/>
    <col min="10744" max="10744" width="8.7109375" style="19" customWidth="1"/>
    <col min="10745" max="10745" width="9.85546875" style="19" customWidth="1"/>
    <col min="10746" max="10746" width="14.42578125" style="19" customWidth="1"/>
    <col min="10747" max="10747" width="7.28515625" style="19" customWidth="1"/>
    <col min="10748" max="10748" width="5.5703125" style="19" customWidth="1"/>
    <col min="10749" max="10749" width="9" style="19" customWidth="1"/>
    <col min="10750" max="10751" width="9.85546875" style="19" customWidth="1"/>
    <col min="10752" max="10752" width="11.140625" style="19" customWidth="1"/>
    <col min="10753" max="10753" width="2.85546875" style="19" customWidth="1"/>
    <col min="10754" max="10754" width="3.5703125" style="19" customWidth="1"/>
    <col min="10755" max="10999" width="9.140625" style="19"/>
    <col min="11000" max="11000" width="8.7109375" style="19" customWidth="1"/>
    <col min="11001" max="11001" width="9.85546875" style="19" customWidth="1"/>
    <col min="11002" max="11002" width="14.42578125" style="19" customWidth="1"/>
    <col min="11003" max="11003" width="7.28515625" style="19" customWidth="1"/>
    <col min="11004" max="11004" width="5.5703125" style="19" customWidth="1"/>
    <col min="11005" max="11005" width="9" style="19" customWidth="1"/>
    <col min="11006" max="11007" width="9.85546875" style="19" customWidth="1"/>
    <col min="11008" max="11008" width="11.140625" style="19" customWidth="1"/>
    <col min="11009" max="11009" width="2.85546875" style="19" customWidth="1"/>
    <col min="11010" max="11010" width="3.5703125" style="19" customWidth="1"/>
    <col min="11011" max="11255" width="9.140625" style="19"/>
    <col min="11256" max="11256" width="8.7109375" style="19" customWidth="1"/>
    <col min="11257" max="11257" width="9.85546875" style="19" customWidth="1"/>
    <col min="11258" max="11258" width="14.42578125" style="19" customWidth="1"/>
    <col min="11259" max="11259" width="7.28515625" style="19" customWidth="1"/>
    <col min="11260" max="11260" width="5.5703125" style="19" customWidth="1"/>
    <col min="11261" max="11261" width="9" style="19" customWidth="1"/>
    <col min="11262" max="11263" width="9.85546875" style="19" customWidth="1"/>
    <col min="11264" max="11264" width="11.140625" style="19" customWidth="1"/>
    <col min="11265" max="11265" width="2.85546875" style="19" customWidth="1"/>
    <col min="11266" max="11266" width="3.5703125" style="19" customWidth="1"/>
    <col min="11267" max="11511" width="9.140625" style="19"/>
    <col min="11512" max="11512" width="8.7109375" style="19" customWidth="1"/>
    <col min="11513" max="11513" width="9.85546875" style="19" customWidth="1"/>
    <col min="11514" max="11514" width="14.42578125" style="19" customWidth="1"/>
    <col min="11515" max="11515" width="7.28515625" style="19" customWidth="1"/>
    <col min="11516" max="11516" width="5.5703125" style="19" customWidth="1"/>
    <col min="11517" max="11517" width="9" style="19" customWidth="1"/>
    <col min="11518" max="11519" width="9.85546875" style="19" customWidth="1"/>
    <col min="11520" max="11520" width="11.140625" style="19" customWidth="1"/>
    <col min="11521" max="11521" width="2.85546875" style="19" customWidth="1"/>
    <col min="11522" max="11522" width="3.5703125" style="19" customWidth="1"/>
    <col min="11523" max="11767" width="9.140625" style="19"/>
    <col min="11768" max="11768" width="8.7109375" style="19" customWidth="1"/>
    <col min="11769" max="11769" width="9.85546875" style="19" customWidth="1"/>
    <col min="11770" max="11770" width="14.42578125" style="19" customWidth="1"/>
    <col min="11771" max="11771" width="7.28515625" style="19" customWidth="1"/>
    <col min="11772" max="11772" width="5.5703125" style="19" customWidth="1"/>
    <col min="11773" max="11773" width="9" style="19" customWidth="1"/>
    <col min="11774" max="11775" width="9.85546875" style="19" customWidth="1"/>
    <col min="11776" max="11776" width="11.140625" style="19" customWidth="1"/>
    <col min="11777" max="11777" width="2.85546875" style="19" customWidth="1"/>
    <col min="11778" max="11778" width="3.5703125" style="19" customWidth="1"/>
    <col min="11779" max="12023" width="9.140625" style="19"/>
    <col min="12024" max="12024" width="8.7109375" style="19" customWidth="1"/>
    <col min="12025" max="12025" width="9.85546875" style="19" customWidth="1"/>
    <col min="12026" max="12026" width="14.42578125" style="19" customWidth="1"/>
    <col min="12027" max="12027" width="7.28515625" style="19" customWidth="1"/>
    <col min="12028" max="12028" width="5.5703125" style="19" customWidth="1"/>
    <col min="12029" max="12029" width="9" style="19" customWidth="1"/>
    <col min="12030" max="12031" width="9.85546875" style="19" customWidth="1"/>
    <col min="12032" max="12032" width="11.140625" style="19" customWidth="1"/>
    <col min="12033" max="12033" width="2.85546875" style="19" customWidth="1"/>
    <col min="12034" max="12034" width="3.5703125" style="19" customWidth="1"/>
    <col min="12035" max="12279" width="9.140625" style="19"/>
    <col min="12280" max="12280" width="8.7109375" style="19" customWidth="1"/>
    <col min="12281" max="12281" width="9.85546875" style="19" customWidth="1"/>
    <col min="12282" max="12282" width="14.42578125" style="19" customWidth="1"/>
    <col min="12283" max="12283" width="7.28515625" style="19" customWidth="1"/>
    <col min="12284" max="12284" width="5.5703125" style="19" customWidth="1"/>
    <col min="12285" max="12285" width="9" style="19" customWidth="1"/>
    <col min="12286" max="12287" width="9.85546875" style="19" customWidth="1"/>
    <col min="12288" max="12288" width="11.140625" style="19" customWidth="1"/>
    <col min="12289" max="12289" width="2.85546875" style="19" customWidth="1"/>
    <col min="12290" max="12290" width="3.5703125" style="19" customWidth="1"/>
    <col min="12291" max="12535" width="9.140625" style="19"/>
    <col min="12536" max="12536" width="8.7109375" style="19" customWidth="1"/>
    <col min="12537" max="12537" width="9.85546875" style="19" customWidth="1"/>
    <col min="12538" max="12538" width="14.42578125" style="19" customWidth="1"/>
    <col min="12539" max="12539" width="7.28515625" style="19" customWidth="1"/>
    <col min="12540" max="12540" width="5.5703125" style="19" customWidth="1"/>
    <col min="12541" max="12541" width="9" style="19" customWidth="1"/>
    <col min="12542" max="12543" width="9.85546875" style="19" customWidth="1"/>
    <col min="12544" max="12544" width="11.140625" style="19" customWidth="1"/>
    <col min="12545" max="12545" width="2.85546875" style="19" customWidth="1"/>
    <col min="12546" max="12546" width="3.5703125" style="19" customWidth="1"/>
    <col min="12547" max="12791" width="9.140625" style="19"/>
    <col min="12792" max="12792" width="8.7109375" style="19" customWidth="1"/>
    <col min="12793" max="12793" width="9.85546875" style="19" customWidth="1"/>
    <col min="12794" max="12794" width="14.42578125" style="19" customWidth="1"/>
    <col min="12795" max="12795" width="7.28515625" style="19" customWidth="1"/>
    <col min="12796" max="12796" width="5.5703125" style="19" customWidth="1"/>
    <col min="12797" max="12797" width="9" style="19" customWidth="1"/>
    <col min="12798" max="12799" width="9.85546875" style="19" customWidth="1"/>
    <col min="12800" max="12800" width="11.140625" style="19" customWidth="1"/>
    <col min="12801" max="12801" width="2.85546875" style="19" customWidth="1"/>
    <col min="12802" max="12802" width="3.5703125" style="19" customWidth="1"/>
    <col min="12803" max="13047" width="9.140625" style="19"/>
    <col min="13048" max="13048" width="8.7109375" style="19" customWidth="1"/>
    <col min="13049" max="13049" width="9.85546875" style="19" customWidth="1"/>
    <col min="13050" max="13050" width="14.42578125" style="19" customWidth="1"/>
    <col min="13051" max="13051" width="7.28515625" style="19" customWidth="1"/>
    <col min="13052" max="13052" width="5.5703125" style="19" customWidth="1"/>
    <col min="13053" max="13053" width="9" style="19" customWidth="1"/>
    <col min="13054" max="13055" width="9.85546875" style="19" customWidth="1"/>
    <col min="13056" max="13056" width="11.140625" style="19" customWidth="1"/>
    <col min="13057" max="13057" width="2.85546875" style="19" customWidth="1"/>
    <col min="13058" max="13058" width="3.5703125" style="19" customWidth="1"/>
    <col min="13059" max="13303" width="9.140625" style="19"/>
    <col min="13304" max="13304" width="8.7109375" style="19" customWidth="1"/>
    <col min="13305" max="13305" width="9.85546875" style="19" customWidth="1"/>
    <col min="13306" max="13306" width="14.42578125" style="19" customWidth="1"/>
    <col min="13307" max="13307" width="7.28515625" style="19" customWidth="1"/>
    <col min="13308" max="13308" width="5.5703125" style="19" customWidth="1"/>
    <col min="13309" max="13309" width="9" style="19" customWidth="1"/>
    <col min="13310" max="13311" width="9.85546875" style="19" customWidth="1"/>
    <col min="13312" max="13312" width="11.140625" style="19" customWidth="1"/>
    <col min="13313" max="13313" width="2.85546875" style="19" customWidth="1"/>
    <col min="13314" max="13314" width="3.5703125" style="19" customWidth="1"/>
    <col min="13315" max="13559" width="9.140625" style="19"/>
    <col min="13560" max="13560" width="8.7109375" style="19" customWidth="1"/>
    <col min="13561" max="13561" width="9.85546875" style="19" customWidth="1"/>
    <col min="13562" max="13562" width="14.42578125" style="19" customWidth="1"/>
    <col min="13563" max="13563" width="7.28515625" style="19" customWidth="1"/>
    <col min="13564" max="13564" width="5.5703125" style="19" customWidth="1"/>
    <col min="13565" max="13565" width="9" style="19" customWidth="1"/>
    <col min="13566" max="13567" width="9.85546875" style="19" customWidth="1"/>
    <col min="13568" max="13568" width="11.140625" style="19" customWidth="1"/>
    <col min="13569" max="13569" width="2.85546875" style="19" customWidth="1"/>
    <col min="13570" max="13570" width="3.5703125" style="19" customWidth="1"/>
    <col min="13571" max="13815" width="9.140625" style="19"/>
    <col min="13816" max="13816" width="8.7109375" style="19" customWidth="1"/>
    <col min="13817" max="13817" width="9.85546875" style="19" customWidth="1"/>
    <col min="13818" max="13818" width="14.42578125" style="19" customWidth="1"/>
    <col min="13819" max="13819" width="7.28515625" style="19" customWidth="1"/>
    <col min="13820" max="13820" width="5.5703125" style="19" customWidth="1"/>
    <col min="13821" max="13821" width="9" style="19" customWidth="1"/>
    <col min="13822" max="13823" width="9.85546875" style="19" customWidth="1"/>
    <col min="13824" max="13824" width="11.140625" style="19" customWidth="1"/>
    <col min="13825" max="13825" width="2.85546875" style="19" customWidth="1"/>
    <col min="13826" max="13826" width="3.5703125" style="19" customWidth="1"/>
    <col min="13827" max="14071" width="9.140625" style="19"/>
    <col min="14072" max="14072" width="8.7109375" style="19" customWidth="1"/>
    <col min="14073" max="14073" width="9.85546875" style="19" customWidth="1"/>
    <col min="14074" max="14074" width="14.42578125" style="19" customWidth="1"/>
    <col min="14075" max="14075" width="7.28515625" style="19" customWidth="1"/>
    <col min="14076" max="14076" width="5.5703125" style="19" customWidth="1"/>
    <col min="14077" max="14077" width="9" style="19" customWidth="1"/>
    <col min="14078" max="14079" width="9.85546875" style="19" customWidth="1"/>
    <col min="14080" max="14080" width="11.140625" style="19" customWidth="1"/>
    <col min="14081" max="14081" width="2.85546875" style="19" customWidth="1"/>
    <col min="14082" max="14082" width="3.5703125" style="19" customWidth="1"/>
    <col min="14083" max="14327" width="9.140625" style="19"/>
    <col min="14328" max="14328" width="8.7109375" style="19" customWidth="1"/>
    <col min="14329" max="14329" width="9.85546875" style="19" customWidth="1"/>
    <col min="14330" max="14330" width="14.42578125" style="19" customWidth="1"/>
    <col min="14331" max="14331" width="7.28515625" style="19" customWidth="1"/>
    <col min="14332" max="14332" width="5.5703125" style="19" customWidth="1"/>
    <col min="14333" max="14333" width="9" style="19" customWidth="1"/>
    <col min="14334" max="14335" width="9.85546875" style="19" customWidth="1"/>
    <col min="14336" max="14336" width="11.140625" style="19" customWidth="1"/>
    <col min="14337" max="14337" width="2.85546875" style="19" customWidth="1"/>
    <col min="14338" max="14338" width="3.5703125" style="19" customWidth="1"/>
    <col min="14339" max="14583" width="9.140625" style="19"/>
    <col min="14584" max="14584" width="8.7109375" style="19" customWidth="1"/>
    <col min="14585" max="14585" width="9.85546875" style="19" customWidth="1"/>
    <col min="14586" max="14586" width="14.42578125" style="19" customWidth="1"/>
    <col min="14587" max="14587" width="7.28515625" style="19" customWidth="1"/>
    <col min="14588" max="14588" width="5.5703125" style="19" customWidth="1"/>
    <col min="14589" max="14589" width="9" style="19" customWidth="1"/>
    <col min="14590" max="14591" width="9.85546875" style="19" customWidth="1"/>
    <col min="14592" max="14592" width="11.140625" style="19" customWidth="1"/>
    <col min="14593" max="14593" width="2.85546875" style="19" customWidth="1"/>
    <col min="14594" max="14594" width="3.5703125" style="19" customWidth="1"/>
    <col min="14595" max="14839" width="9.140625" style="19"/>
    <col min="14840" max="14840" width="8.7109375" style="19" customWidth="1"/>
    <col min="14841" max="14841" width="9.85546875" style="19" customWidth="1"/>
    <col min="14842" max="14842" width="14.42578125" style="19" customWidth="1"/>
    <col min="14843" max="14843" width="7.28515625" style="19" customWidth="1"/>
    <col min="14844" max="14844" width="5.5703125" style="19" customWidth="1"/>
    <col min="14845" max="14845" width="9" style="19" customWidth="1"/>
    <col min="14846" max="14847" width="9.85546875" style="19" customWidth="1"/>
    <col min="14848" max="14848" width="11.140625" style="19" customWidth="1"/>
    <col min="14849" max="14849" width="2.85546875" style="19" customWidth="1"/>
    <col min="14850" max="14850" width="3.5703125" style="19" customWidth="1"/>
    <col min="14851" max="15095" width="9.140625" style="19"/>
    <col min="15096" max="15096" width="8.7109375" style="19" customWidth="1"/>
    <col min="15097" max="15097" width="9.85546875" style="19" customWidth="1"/>
    <col min="15098" max="15098" width="14.42578125" style="19" customWidth="1"/>
    <col min="15099" max="15099" width="7.28515625" style="19" customWidth="1"/>
    <col min="15100" max="15100" width="5.5703125" style="19" customWidth="1"/>
    <col min="15101" max="15101" width="9" style="19" customWidth="1"/>
    <col min="15102" max="15103" width="9.85546875" style="19" customWidth="1"/>
    <col min="15104" max="15104" width="11.140625" style="19" customWidth="1"/>
    <col min="15105" max="15105" width="2.85546875" style="19" customWidth="1"/>
    <col min="15106" max="15106" width="3.5703125" style="19" customWidth="1"/>
    <col min="15107" max="15351" width="9.140625" style="19"/>
    <col min="15352" max="15352" width="8.7109375" style="19" customWidth="1"/>
    <col min="15353" max="15353" width="9.85546875" style="19" customWidth="1"/>
    <col min="15354" max="15354" width="14.42578125" style="19" customWidth="1"/>
    <col min="15355" max="15355" width="7.28515625" style="19" customWidth="1"/>
    <col min="15356" max="15356" width="5.5703125" style="19" customWidth="1"/>
    <col min="15357" max="15357" width="9" style="19" customWidth="1"/>
    <col min="15358" max="15359" width="9.85546875" style="19" customWidth="1"/>
    <col min="15360" max="15360" width="11.140625" style="19" customWidth="1"/>
    <col min="15361" max="15361" width="2.85546875" style="19" customWidth="1"/>
    <col min="15362" max="15362" width="3.5703125" style="19" customWidth="1"/>
    <col min="15363" max="15607" width="9.140625" style="19"/>
    <col min="15608" max="15608" width="8.7109375" style="19" customWidth="1"/>
    <col min="15609" max="15609" width="9.85546875" style="19" customWidth="1"/>
    <col min="15610" max="15610" width="14.42578125" style="19" customWidth="1"/>
    <col min="15611" max="15611" width="7.28515625" style="19" customWidth="1"/>
    <col min="15612" max="15612" width="5.5703125" style="19" customWidth="1"/>
    <col min="15613" max="15613" width="9" style="19" customWidth="1"/>
    <col min="15614" max="15615" width="9.85546875" style="19" customWidth="1"/>
    <col min="15616" max="15616" width="11.140625" style="19" customWidth="1"/>
    <col min="15617" max="15617" width="2.85546875" style="19" customWidth="1"/>
    <col min="15618" max="15618" width="3.5703125" style="19" customWidth="1"/>
    <col min="15619" max="15863" width="9.140625" style="19"/>
    <col min="15864" max="15864" width="8.7109375" style="19" customWidth="1"/>
    <col min="15865" max="15865" width="9.85546875" style="19" customWidth="1"/>
    <col min="15866" max="15866" width="14.42578125" style="19" customWidth="1"/>
    <col min="15867" max="15867" width="7.28515625" style="19" customWidth="1"/>
    <col min="15868" max="15868" width="5.5703125" style="19" customWidth="1"/>
    <col min="15869" max="15869" width="9" style="19" customWidth="1"/>
    <col min="15870" max="15871" width="9.85546875" style="19" customWidth="1"/>
    <col min="15872" max="15872" width="11.140625" style="19" customWidth="1"/>
    <col min="15873" max="15873" width="2.85546875" style="19" customWidth="1"/>
    <col min="15874" max="15874" width="3.5703125" style="19" customWidth="1"/>
    <col min="15875" max="16119" width="9.140625" style="19"/>
    <col min="16120" max="16120" width="8.7109375" style="19" customWidth="1"/>
    <col min="16121" max="16121" width="9.85546875" style="19" customWidth="1"/>
    <col min="16122" max="16122" width="14.42578125" style="19" customWidth="1"/>
    <col min="16123" max="16123" width="7.28515625" style="19" customWidth="1"/>
    <col min="16124" max="16124" width="5.5703125" style="19" customWidth="1"/>
    <col min="16125" max="16125" width="9" style="19" customWidth="1"/>
    <col min="16126" max="16127" width="9.85546875" style="19" customWidth="1"/>
    <col min="16128" max="16128" width="11.140625" style="19" customWidth="1"/>
    <col min="16129" max="16129" width="2.85546875" style="19" customWidth="1"/>
    <col min="16130" max="16130" width="3.5703125" style="19" customWidth="1"/>
    <col min="16131" max="16384" width="9.140625" style="19"/>
  </cols>
  <sheetData>
    <row r="1" spans="1:26" ht="46.5" customHeight="1" x14ac:dyDescent="0.25">
      <c r="A1" s="184" t="s">
        <v>161</v>
      </c>
      <c r="B1" s="184"/>
      <c r="C1" s="184"/>
      <c r="D1" s="184"/>
      <c r="E1" s="184"/>
      <c r="F1" s="184"/>
      <c r="G1" s="184"/>
      <c r="H1" s="184"/>
    </row>
    <row r="2" spans="1:26" ht="16.5" customHeight="1" x14ac:dyDescent="0.25">
      <c r="A2" s="185" t="s">
        <v>0</v>
      </c>
      <c r="B2" s="185"/>
      <c r="C2" s="185"/>
      <c r="D2" s="185"/>
      <c r="E2" s="185"/>
      <c r="F2" s="185"/>
      <c r="G2" s="185"/>
      <c r="H2" s="185"/>
    </row>
    <row r="3" spans="1:26" x14ac:dyDescent="0.25">
      <c r="A3" s="115" t="s">
        <v>1</v>
      </c>
      <c r="B3" s="115"/>
      <c r="C3" s="115"/>
      <c r="D3" s="115"/>
      <c r="E3" s="115" t="str">
        <f ca="1">TEXT(TODAY(),"DD/MM/YYYY")</f>
        <v>18/08/2025</v>
      </c>
      <c r="F3" s="115"/>
      <c r="G3" s="115"/>
      <c r="H3" s="115"/>
      <c r="K3" s="56" t="s">
        <v>234</v>
      </c>
      <c r="L3" s="52" t="s">
        <v>232</v>
      </c>
      <c r="M3" s="52" t="s">
        <v>237</v>
      </c>
      <c r="N3" s="52" t="s">
        <v>235</v>
      </c>
      <c r="O3" s="52" t="s">
        <v>236</v>
      </c>
      <c r="P3" s="52" t="s">
        <v>238</v>
      </c>
    </row>
    <row r="4" spans="1:26" ht="15" customHeight="1" x14ac:dyDescent="0.25">
      <c r="A4" s="115" t="s">
        <v>231</v>
      </c>
      <c r="B4" s="115"/>
      <c r="C4" s="115"/>
      <c r="D4" s="115"/>
      <c r="E4" s="116" t="s">
        <v>232</v>
      </c>
      <c r="F4" s="116"/>
      <c r="G4" s="116"/>
      <c r="H4" s="116"/>
      <c r="K4" s="51" t="s">
        <v>233</v>
      </c>
      <c r="L4" s="52" t="s">
        <v>167</v>
      </c>
      <c r="M4" s="52" t="s">
        <v>242</v>
      </c>
      <c r="N4" s="52" t="s">
        <v>244</v>
      </c>
      <c r="O4" s="52" t="s">
        <v>246</v>
      </c>
      <c r="P4" s="52"/>
    </row>
    <row r="5" spans="1:26" ht="15" customHeight="1" x14ac:dyDescent="0.25">
      <c r="A5" s="115" t="s">
        <v>2</v>
      </c>
      <c r="B5" s="115"/>
      <c r="C5" s="115"/>
      <c r="D5" s="115"/>
      <c r="E5" s="116" t="s">
        <v>241</v>
      </c>
      <c r="F5" s="116"/>
      <c r="G5" s="116"/>
      <c r="H5" s="116"/>
      <c r="K5" s="51"/>
      <c r="L5" s="52" t="s">
        <v>239</v>
      </c>
      <c r="M5" s="52" t="s">
        <v>243</v>
      </c>
      <c r="N5" s="52" t="s">
        <v>245</v>
      </c>
      <c r="O5" s="52" t="s">
        <v>247</v>
      </c>
      <c r="P5" s="52"/>
    </row>
    <row r="6" spans="1:26" x14ac:dyDescent="0.25">
      <c r="A6" s="115" t="s">
        <v>3</v>
      </c>
      <c r="B6" s="115"/>
      <c r="C6" s="115"/>
      <c r="D6" s="115"/>
      <c r="E6" s="187">
        <v>45881</v>
      </c>
      <c r="F6" s="115"/>
      <c r="G6" s="115"/>
      <c r="H6" s="115"/>
      <c r="K6" s="51"/>
      <c r="L6" s="52" t="s">
        <v>240</v>
      </c>
      <c r="M6" s="52"/>
      <c r="N6" s="52"/>
      <c r="O6" s="52" t="s">
        <v>248</v>
      </c>
      <c r="P6" s="52"/>
    </row>
    <row r="7" spans="1:26" ht="16.5" customHeight="1" x14ac:dyDescent="0.25">
      <c r="A7" s="115" t="s">
        <v>4</v>
      </c>
      <c r="B7" s="115"/>
      <c r="C7" s="115"/>
      <c r="D7" s="115"/>
      <c r="E7" s="115" t="s">
        <v>295</v>
      </c>
      <c r="F7" s="115"/>
      <c r="G7" s="115"/>
      <c r="H7" s="115"/>
      <c r="K7" s="51"/>
      <c r="L7" s="52" t="s">
        <v>241</v>
      </c>
      <c r="M7" s="52"/>
      <c r="N7" s="52"/>
      <c r="O7" s="52" t="s">
        <v>248</v>
      </c>
      <c r="P7" s="52"/>
    </row>
    <row r="8" spans="1:26" ht="15" customHeight="1" x14ac:dyDescent="0.25">
      <c r="A8" s="115" t="s">
        <v>5</v>
      </c>
      <c r="B8" s="115"/>
      <c r="C8" s="115"/>
      <c r="D8" s="115"/>
      <c r="E8" s="115" t="str">
        <f>E7</f>
        <v>S M Hitech Developers</v>
      </c>
      <c r="F8" s="115"/>
      <c r="G8" s="115"/>
      <c r="H8" s="115"/>
      <c r="K8" s="51"/>
      <c r="L8" s="52"/>
      <c r="M8" s="52"/>
      <c r="N8" s="52"/>
      <c r="O8" s="52" t="s">
        <v>249</v>
      </c>
      <c r="P8" s="52"/>
    </row>
    <row r="9" spans="1:26" x14ac:dyDescent="0.25">
      <c r="A9" s="115" t="s">
        <v>6</v>
      </c>
      <c r="B9" s="115"/>
      <c r="C9" s="115"/>
      <c r="D9" s="115"/>
      <c r="E9" s="186" t="s">
        <v>296</v>
      </c>
      <c r="F9" s="186"/>
      <c r="G9" s="186"/>
      <c r="H9" s="186"/>
      <c r="K9" s="51"/>
      <c r="L9" s="52"/>
      <c r="M9" s="52"/>
      <c r="N9" s="52"/>
      <c r="O9" s="52" t="s">
        <v>250</v>
      </c>
      <c r="P9" s="52"/>
    </row>
    <row r="10" spans="1:26" x14ac:dyDescent="0.25">
      <c r="A10" s="115" t="s">
        <v>164</v>
      </c>
      <c r="B10" s="115"/>
      <c r="C10" s="115"/>
      <c r="D10" s="115"/>
      <c r="E10" s="115" t="s">
        <v>297</v>
      </c>
      <c r="F10" s="115"/>
      <c r="G10" s="115"/>
      <c r="H10" s="115"/>
      <c r="K10" s="51"/>
      <c r="L10" s="52"/>
      <c r="M10" s="52"/>
      <c r="N10" s="52"/>
      <c r="O10" s="52"/>
      <c r="P10" s="52"/>
    </row>
    <row r="11" spans="1:26" x14ac:dyDescent="0.25">
      <c r="A11" s="115" t="s">
        <v>165</v>
      </c>
      <c r="B11" s="115"/>
      <c r="C11" s="115"/>
      <c r="D11" s="115"/>
      <c r="E11" s="115" t="s">
        <v>347</v>
      </c>
      <c r="F11" s="115"/>
      <c r="G11" s="115"/>
      <c r="H11" s="115"/>
    </row>
    <row r="12" spans="1:26" x14ac:dyDescent="0.25">
      <c r="A12" s="115" t="s">
        <v>7</v>
      </c>
      <c r="B12" s="115"/>
      <c r="C12" s="115"/>
      <c r="D12" s="115"/>
      <c r="E12" s="115" t="s">
        <v>299</v>
      </c>
      <c r="F12" s="115"/>
      <c r="G12" s="115"/>
      <c r="H12" s="115"/>
    </row>
    <row r="13" spans="1:26" x14ac:dyDescent="0.25">
      <c r="A13" s="115" t="s">
        <v>168</v>
      </c>
      <c r="B13" s="115"/>
      <c r="C13" s="115"/>
      <c r="D13" s="115"/>
      <c r="E13" s="115" t="s">
        <v>28</v>
      </c>
      <c r="F13" s="115"/>
      <c r="G13" s="115"/>
      <c r="H13" s="115"/>
      <c r="S13" s="52" t="s">
        <v>176</v>
      </c>
      <c r="T13" s="52" t="s">
        <v>186</v>
      </c>
      <c r="U13" s="52" t="s">
        <v>169</v>
      </c>
      <c r="V13" s="52" t="s">
        <v>191</v>
      </c>
      <c r="W13" s="52" t="s">
        <v>209</v>
      </c>
      <c r="X13"/>
      <c r="Y13" t="s">
        <v>191</v>
      </c>
      <c r="Z13" t="e">
        <f ca="1">OFFSET($S$13,1,MATCH($G20,$S$13:$W$13,0)-1,15,1)</f>
        <v>#VALUE!</v>
      </c>
    </row>
    <row r="14" spans="1:26" ht="32.25" customHeight="1" x14ac:dyDescent="0.25">
      <c r="A14" s="93" t="s">
        <v>277</v>
      </c>
      <c r="B14" s="93"/>
      <c r="C14" s="93"/>
      <c r="D14" s="93"/>
      <c r="E14" s="179" t="s">
        <v>300</v>
      </c>
      <c r="F14" s="179"/>
      <c r="G14" s="179"/>
      <c r="H14" s="179"/>
      <c r="S14" s="52" t="s">
        <v>177</v>
      </c>
      <c r="T14" s="52" t="s">
        <v>184</v>
      </c>
      <c r="U14" s="52" t="s">
        <v>206</v>
      </c>
      <c r="V14" s="52" t="s">
        <v>192</v>
      </c>
      <c r="W14" s="52" t="s">
        <v>210</v>
      </c>
      <c r="X14"/>
      <c r="Y14"/>
      <c r="Z14"/>
    </row>
    <row r="15" spans="1:26" x14ac:dyDescent="0.25">
      <c r="A15" s="93" t="s">
        <v>8</v>
      </c>
      <c r="B15" s="93"/>
      <c r="C15" s="93"/>
      <c r="D15" s="93"/>
      <c r="E15" s="179" t="s">
        <v>298</v>
      </c>
      <c r="F15" s="116"/>
      <c r="G15" s="116"/>
      <c r="H15" s="116"/>
      <c r="I15" s="88" t="e">
        <f ca="1">OFFSET($D$5,1,MATCH($J13,$D$5:$H$5,0)-1,15,1)</f>
        <v>#N/A</v>
      </c>
      <c r="J15" s="89"/>
      <c r="K15" s="89"/>
      <c r="L15" s="89"/>
      <c r="M15" s="89"/>
      <c r="N15" s="89"/>
      <c r="O15" s="89"/>
      <c r="P15" s="89"/>
      <c r="S15" s="52" t="s">
        <v>178</v>
      </c>
      <c r="T15" s="52" t="s">
        <v>185</v>
      </c>
      <c r="U15" s="52" t="s">
        <v>207</v>
      </c>
      <c r="V15" s="52" t="s">
        <v>193</v>
      </c>
      <c r="W15" s="52" t="s">
        <v>223</v>
      </c>
      <c r="X15"/>
      <c r="Y15"/>
      <c r="Z15"/>
    </row>
    <row r="16" spans="1:26" ht="34.5" customHeight="1" x14ac:dyDescent="0.25">
      <c r="A16" s="99" t="s">
        <v>9</v>
      </c>
      <c r="B16" s="99"/>
      <c r="C16" s="99" t="str">
        <f>CONCATENATE((IF(OR(E9="",E9="NA"),"",E9)),", ",(IF(OR(A17="",A17="NA"),"",A17)),".",(IF(OR(C17="",C17="NA"),"",C17)),", near ",(IF(OR(C22="",C22="NA"),"",C22)),", ",(IF(OR(C19="",C19="NA"),"",C19)),", ",(IF(OR(C18="",C18="NA"),"",C18)),", ",(IF(OR(G19="",G19="NA"),"",G19)),", ",(IF(OR(C20="",C20="NA"),"",C20)),", ",(IF(OR(C21="",C21="NA"),"",C21)),", ",(IF(OR(G20="",G20="NA"),"",G20))," - ",(IF(OR(G21="",G21="NA"),"",G21)),".")</f>
        <v>S M Elite, Survey No.111/2, near SM Emerald, Internal Road, Ghotkamp Koyana Vele, Taloje Majkur, Taloja Panchnand East, Panvel, Raigad - 410208.</v>
      </c>
      <c r="D16" s="99"/>
      <c r="E16" s="99"/>
      <c r="F16" s="99"/>
      <c r="G16" s="99"/>
      <c r="H16" s="99"/>
      <c r="S16" s="52" t="s">
        <v>179</v>
      </c>
      <c r="T16" s="52" t="s">
        <v>187</v>
      </c>
      <c r="U16" s="52" t="s">
        <v>208</v>
      </c>
      <c r="V16" s="52" t="s">
        <v>194</v>
      </c>
      <c r="W16" s="52" t="s">
        <v>211</v>
      </c>
      <c r="X16"/>
      <c r="Y16"/>
      <c r="Z16"/>
    </row>
    <row r="17" spans="1:26" x14ac:dyDescent="0.25">
      <c r="A17" s="179" t="s">
        <v>301</v>
      </c>
      <c r="B17" s="179"/>
      <c r="C17" s="179" t="s">
        <v>302</v>
      </c>
      <c r="D17" s="179"/>
      <c r="E17" s="179"/>
      <c r="F17" s="179"/>
      <c r="G17" s="179"/>
      <c r="H17" s="179"/>
      <c r="S17" s="52" t="s">
        <v>180</v>
      </c>
      <c r="T17" s="52" t="s">
        <v>188</v>
      </c>
      <c r="U17" s="52" t="s">
        <v>169</v>
      </c>
      <c r="V17" s="52" t="s">
        <v>195</v>
      </c>
      <c r="W17" s="52" t="s">
        <v>212</v>
      </c>
      <c r="X17"/>
      <c r="Y17"/>
      <c r="Z17"/>
    </row>
    <row r="18" spans="1:26" ht="15.75" customHeight="1" x14ac:dyDescent="0.25">
      <c r="A18" s="114" t="s">
        <v>159</v>
      </c>
      <c r="B18" s="114"/>
      <c r="C18" s="114" t="s">
        <v>308</v>
      </c>
      <c r="D18" s="114"/>
      <c r="E18" s="114"/>
      <c r="F18" s="114"/>
      <c r="G18" s="114"/>
      <c r="H18" s="114"/>
      <c r="S18" s="52" t="s">
        <v>181</v>
      </c>
      <c r="T18" s="52" t="s">
        <v>186</v>
      </c>
      <c r="U18" s="52"/>
      <c r="V18" s="52" t="s">
        <v>196</v>
      </c>
      <c r="W18" s="52" t="s">
        <v>213</v>
      </c>
      <c r="X18"/>
      <c r="Y18"/>
      <c r="Z18"/>
    </row>
    <row r="19" spans="1:26" ht="15.75" customHeight="1" x14ac:dyDescent="0.25">
      <c r="A19" s="99" t="s">
        <v>10</v>
      </c>
      <c r="B19" s="99"/>
      <c r="C19" s="116" t="s">
        <v>309</v>
      </c>
      <c r="D19" s="116"/>
      <c r="E19" s="179" t="s">
        <v>70</v>
      </c>
      <c r="F19" s="179"/>
      <c r="G19" s="179" t="s">
        <v>303</v>
      </c>
      <c r="H19" s="179"/>
      <c r="S19" s="52" t="s">
        <v>182</v>
      </c>
      <c r="T19" s="52" t="s">
        <v>189</v>
      </c>
      <c r="U19" s="52"/>
      <c r="V19" s="52" t="s">
        <v>197</v>
      </c>
      <c r="W19" s="52" t="s">
        <v>214</v>
      </c>
      <c r="X19"/>
      <c r="Y19"/>
      <c r="Z19"/>
    </row>
    <row r="20" spans="1:26" x14ac:dyDescent="0.25">
      <c r="A20" s="93" t="s">
        <v>12</v>
      </c>
      <c r="B20" s="93"/>
      <c r="C20" s="179" t="s">
        <v>307</v>
      </c>
      <c r="D20" s="179"/>
      <c r="E20" s="179" t="s">
        <v>11</v>
      </c>
      <c r="F20" s="179"/>
      <c r="G20" s="188" t="s">
        <v>191</v>
      </c>
      <c r="H20" s="188"/>
      <c r="S20" s="52" t="s">
        <v>183</v>
      </c>
      <c r="T20" s="52" t="s">
        <v>190</v>
      </c>
      <c r="U20" s="52"/>
      <c r="V20" s="52" t="s">
        <v>198</v>
      </c>
      <c r="W20" s="52" t="s">
        <v>215</v>
      </c>
      <c r="X20"/>
      <c r="Y20"/>
      <c r="Z20"/>
    </row>
    <row r="21" spans="1:26" x14ac:dyDescent="0.25">
      <c r="A21" s="93" t="s">
        <v>71</v>
      </c>
      <c r="B21" s="93"/>
      <c r="C21" s="179" t="s">
        <v>193</v>
      </c>
      <c r="D21" s="179"/>
      <c r="E21" s="179" t="s">
        <v>13</v>
      </c>
      <c r="F21" s="179"/>
      <c r="G21" s="179">
        <v>410208</v>
      </c>
      <c r="H21" s="179"/>
      <c r="S21" s="52"/>
      <c r="T21" s="52"/>
      <c r="U21" s="52"/>
      <c r="V21" s="52" t="s">
        <v>199</v>
      </c>
      <c r="W21" s="52" t="s">
        <v>216</v>
      </c>
      <c r="X21"/>
      <c r="Y21"/>
      <c r="Z21"/>
    </row>
    <row r="22" spans="1:26" ht="51" customHeight="1" x14ac:dyDescent="0.25">
      <c r="A22" s="93" t="s">
        <v>119</v>
      </c>
      <c r="B22" s="93"/>
      <c r="C22" s="114" t="s">
        <v>312</v>
      </c>
      <c r="D22" s="114"/>
      <c r="E22" s="99" t="s">
        <v>14</v>
      </c>
      <c r="F22" s="99"/>
      <c r="G22" s="179" t="s">
        <v>306</v>
      </c>
      <c r="H22" s="179"/>
      <c r="S22" s="52"/>
      <c r="T22" s="52"/>
      <c r="U22" s="52"/>
      <c r="V22" s="52" t="s">
        <v>200</v>
      </c>
      <c r="W22" s="52" t="s">
        <v>217</v>
      </c>
      <c r="X22"/>
      <c r="Y22"/>
      <c r="Z22"/>
    </row>
    <row r="23" spans="1:26" ht="15" customHeight="1" x14ac:dyDescent="0.25">
      <c r="A23" s="99" t="s">
        <v>73</v>
      </c>
      <c r="B23" s="99"/>
      <c r="C23" s="99"/>
      <c r="D23" s="99"/>
      <c r="E23" s="115" t="s">
        <v>15</v>
      </c>
      <c r="F23" s="115"/>
      <c r="G23" s="115"/>
      <c r="H23" s="115"/>
      <c r="S23" s="52"/>
      <c r="T23" s="52"/>
      <c r="U23" s="52"/>
      <c r="V23" s="52" t="s">
        <v>201</v>
      </c>
      <c r="W23" s="52" t="s">
        <v>218</v>
      </c>
      <c r="X23"/>
      <c r="Y23"/>
      <c r="Z23"/>
    </row>
    <row r="24" spans="1:26" ht="18.75" customHeight="1" x14ac:dyDescent="0.25">
      <c r="A24" s="99"/>
      <c r="B24" s="99"/>
      <c r="C24" s="99"/>
      <c r="D24" s="99"/>
      <c r="E24" s="115"/>
      <c r="F24" s="115"/>
      <c r="G24" s="115"/>
      <c r="H24" s="115"/>
      <c r="S24" s="52"/>
      <c r="T24" s="52"/>
      <c r="U24" s="52"/>
      <c r="V24" s="52" t="s">
        <v>202</v>
      </c>
      <c r="W24" s="52" t="s">
        <v>219</v>
      </c>
      <c r="X24"/>
      <c r="Y24"/>
      <c r="Z24"/>
    </row>
    <row r="25" spans="1:26" ht="15" customHeight="1" x14ac:dyDescent="0.25">
      <c r="A25" s="99" t="s">
        <v>16</v>
      </c>
      <c r="B25" s="99"/>
      <c r="C25" s="99"/>
      <c r="D25" s="99"/>
      <c r="E25" s="114" t="s">
        <v>17</v>
      </c>
      <c r="F25" s="114"/>
      <c r="G25" s="114"/>
      <c r="H25" s="114"/>
      <c r="S25" s="52"/>
      <c r="T25" s="52"/>
      <c r="U25" s="52"/>
      <c r="V25" s="52" t="s">
        <v>203</v>
      </c>
      <c r="W25" s="52" t="s">
        <v>220</v>
      </c>
      <c r="X25"/>
      <c r="Y25"/>
      <c r="Z25"/>
    </row>
    <row r="26" spans="1:26" ht="15" customHeight="1" x14ac:dyDescent="0.25">
      <c r="A26" s="93" t="s">
        <v>18</v>
      </c>
      <c r="B26" s="93"/>
      <c r="C26" s="93"/>
      <c r="D26" s="93"/>
      <c r="E26" s="114" t="str">
        <f>IF(AND(G20="Mumbai"),"Upper Class","Middle Class")</f>
        <v>Middle Class</v>
      </c>
      <c r="F26" s="114"/>
      <c r="G26" s="114"/>
      <c r="H26" s="114"/>
      <c r="S26" s="52"/>
      <c r="T26" s="52"/>
      <c r="U26" s="52"/>
      <c r="V26" s="52" t="s">
        <v>204</v>
      </c>
      <c r="W26" s="52" t="s">
        <v>221</v>
      </c>
      <c r="X26"/>
      <c r="Y26"/>
      <c r="Z26"/>
    </row>
    <row r="27" spans="1:26" x14ac:dyDescent="0.25">
      <c r="A27" s="93" t="s">
        <v>19</v>
      </c>
      <c r="B27" s="93"/>
      <c r="C27" s="93"/>
      <c r="D27" s="93"/>
      <c r="E27" s="114" t="s">
        <v>20</v>
      </c>
      <c r="F27" s="114"/>
      <c r="G27" s="114"/>
      <c r="H27" s="114"/>
      <c r="S27" s="52"/>
      <c r="T27" s="52"/>
      <c r="U27" s="52"/>
      <c r="V27" s="52" t="s">
        <v>205</v>
      </c>
      <c r="W27" s="52" t="s">
        <v>222</v>
      </c>
      <c r="X27"/>
      <c r="Y27"/>
      <c r="Z27"/>
    </row>
    <row r="28" spans="1:26" ht="15.75" customHeight="1" x14ac:dyDescent="0.25">
      <c r="A28" s="93" t="s">
        <v>21</v>
      </c>
      <c r="B28" s="93"/>
      <c r="C28" s="93"/>
      <c r="D28" s="93"/>
      <c r="E28" s="114" t="str">
        <f>IF(AND(G20="Mumbai"),"Developed","Developing")</f>
        <v>Developing</v>
      </c>
      <c r="F28" s="114"/>
      <c r="G28" s="114"/>
      <c r="H28" s="114"/>
    </row>
    <row r="29" spans="1:26" x14ac:dyDescent="0.25">
      <c r="A29" s="93" t="s">
        <v>22</v>
      </c>
      <c r="B29" s="93"/>
      <c r="C29" s="93"/>
      <c r="D29" s="93"/>
      <c r="E29" s="114" t="s">
        <v>23</v>
      </c>
      <c r="F29" s="114"/>
      <c r="G29" s="114"/>
      <c r="H29" s="114"/>
    </row>
    <row r="30" spans="1:26" ht="15.75" customHeight="1" x14ac:dyDescent="0.25">
      <c r="A30" s="93" t="s">
        <v>78</v>
      </c>
      <c r="B30" s="93"/>
      <c r="C30" s="93"/>
      <c r="D30" s="93"/>
      <c r="E30" s="114" t="s">
        <v>79</v>
      </c>
      <c r="F30" s="114"/>
      <c r="G30" s="114"/>
      <c r="H30" s="114"/>
    </row>
    <row r="31" spans="1:26" ht="15" customHeight="1" x14ac:dyDescent="0.25">
      <c r="A31" s="93" t="s">
        <v>30</v>
      </c>
      <c r="B31" s="93"/>
      <c r="C31" s="93"/>
      <c r="D31" s="93"/>
      <c r="E31" s="114" t="str">
        <f>IF(AND(ISNUMBER(SEARCH("Flat",D63)),ISNUMBER(SEARCH("Shop",D63)),ISNUMBER(SEARCH("Office",D63))),"Residential + Commercial",IF(AND(ISNUMBER(SEARCH("Flat",D63)),ISNUMBER(SEARCH("Shop",D63))),"Residential + Commercial",IF(AND(ISNUMBER(SEARCH("Flat",D63)),ISNUMBER(SEARCH("Office",D63))),"Residential + Commercial",IF(AND(ISNUMBER(SEARCH("Shop",D63)),ISNUMBER(SEARCH("Office",D63))),"Commercial",IF(ISNUMBER(SEARCH("Shop",D63)),"Commercial",IF(ISNUMBER(SEARCH("Office",D63)),"Commercial",IF(ISNUMBER(SEARCH("Flat",D63)),"Residential")))))))</f>
        <v>Residential + Commercial</v>
      </c>
      <c r="F31" s="114"/>
      <c r="G31" s="114"/>
      <c r="H31" s="114"/>
    </row>
    <row r="32" spans="1:26" ht="15.75" customHeight="1" x14ac:dyDescent="0.25">
      <c r="A32" s="93" t="s">
        <v>90</v>
      </c>
      <c r="B32" s="93"/>
      <c r="C32" s="93"/>
      <c r="D32" s="93"/>
      <c r="E32" s="114" t="s">
        <v>31</v>
      </c>
      <c r="F32" s="114"/>
      <c r="G32" s="114"/>
      <c r="H32" s="114"/>
    </row>
    <row r="33" spans="1:19" s="20" customFormat="1" x14ac:dyDescent="0.25">
      <c r="A33" s="200" t="s">
        <v>91</v>
      </c>
      <c r="B33" s="200"/>
      <c r="C33" s="193" t="s">
        <v>170</v>
      </c>
      <c r="D33" s="194"/>
      <c r="E33" s="195"/>
      <c r="F33" s="193" t="s">
        <v>29</v>
      </c>
      <c r="G33" s="194"/>
      <c r="H33" s="195"/>
      <c r="S33" s="20" t="e">
        <f ca="1">OFFSET($S$13,1,MATCH($G20,$S$13:$W$13,0)-1,15,1)</f>
        <v>#VALUE!</v>
      </c>
    </row>
    <row r="34" spans="1:19" s="20" customFormat="1" x14ac:dyDescent="0.25">
      <c r="A34" s="199" t="s">
        <v>24</v>
      </c>
      <c r="B34" s="199" t="s">
        <v>28</v>
      </c>
      <c r="C34" s="201" t="s">
        <v>314</v>
      </c>
      <c r="D34" s="202"/>
      <c r="E34" s="203"/>
      <c r="F34" s="201" t="s">
        <v>311</v>
      </c>
      <c r="G34" s="202"/>
      <c r="H34" s="203"/>
    </row>
    <row r="35" spans="1:19" x14ac:dyDescent="0.25">
      <c r="A35" s="199" t="s">
        <v>25</v>
      </c>
      <c r="B35" s="199" t="s">
        <v>28</v>
      </c>
      <c r="C35" s="201" t="s">
        <v>314</v>
      </c>
      <c r="D35" s="202"/>
      <c r="E35" s="203"/>
      <c r="F35" s="201" t="s">
        <v>311</v>
      </c>
      <c r="G35" s="202"/>
      <c r="H35" s="203"/>
    </row>
    <row r="36" spans="1:19" s="20" customFormat="1" ht="32.25" customHeight="1" x14ac:dyDescent="0.25">
      <c r="A36" s="189" t="s">
        <v>27</v>
      </c>
      <c r="B36" s="189" t="s">
        <v>28</v>
      </c>
      <c r="C36" s="190" t="s">
        <v>315</v>
      </c>
      <c r="D36" s="191"/>
      <c r="E36" s="192"/>
      <c r="F36" s="196" t="s">
        <v>312</v>
      </c>
      <c r="G36" s="197"/>
      <c r="H36" s="198"/>
    </row>
    <row r="37" spans="1:19" ht="35.25" customHeight="1" x14ac:dyDescent="0.25">
      <c r="A37" s="189" t="s">
        <v>26</v>
      </c>
      <c r="B37" s="189" t="s">
        <v>28</v>
      </c>
      <c r="C37" s="190" t="s">
        <v>313</v>
      </c>
      <c r="D37" s="191"/>
      <c r="E37" s="192"/>
      <c r="F37" s="196" t="s">
        <v>309</v>
      </c>
      <c r="G37" s="197"/>
      <c r="H37" s="198"/>
    </row>
    <row r="38" spans="1:19" x14ac:dyDescent="0.25">
      <c r="A38" s="93" t="s">
        <v>278</v>
      </c>
      <c r="B38" s="93"/>
      <c r="C38" s="93"/>
      <c r="D38" s="93"/>
      <c r="E38" s="93"/>
      <c r="F38" s="93"/>
      <c r="G38" s="93"/>
      <c r="H38" s="93"/>
    </row>
    <row r="39" spans="1:19" ht="15.75" customHeight="1" x14ac:dyDescent="0.25">
      <c r="A39" s="93" t="s">
        <v>162</v>
      </c>
      <c r="B39" s="93"/>
      <c r="C39" s="170" t="s">
        <v>304</v>
      </c>
      <c r="D39" s="170"/>
      <c r="E39" s="170"/>
      <c r="F39" s="170"/>
      <c r="G39" s="170"/>
      <c r="H39" s="170"/>
    </row>
    <row r="40" spans="1:19" x14ac:dyDescent="0.25">
      <c r="A40" s="93" t="s">
        <v>158</v>
      </c>
      <c r="B40" s="93"/>
      <c r="C40" s="226" t="s">
        <v>305</v>
      </c>
      <c r="D40" s="114"/>
      <c r="E40" s="114"/>
      <c r="F40" s="114"/>
      <c r="G40" s="114"/>
      <c r="H40" s="114"/>
    </row>
    <row r="41" spans="1:19" x14ac:dyDescent="0.25">
      <c r="A41" s="170" t="s">
        <v>32</v>
      </c>
      <c r="B41" s="170"/>
      <c r="C41" s="170"/>
      <c r="D41" s="170"/>
      <c r="E41" s="170"/>
      <c r="F41" s="170"/>
      <c r="G41" s="170"/>
      <c r="H41" s="170"/>
    </row>
    <row r="42" spans="1:19" x14ac:dyDescent="0.25">
      <c r="A42" s="93" t="s">
        <v>33</v>
      </c>
      <c r="B42" s="93"/>
      <c r="C42" s="93"/>
      <c r="D42" s="93"/>
      <c r="E42" s="204">
        <v>3266.17</v>
      </c>
      <c r="F42" s="204"/>
      <c r="G42" s="204"/>
      <c r="H42" s="204"/>
    </row>
    <row r="43" spans="1:19" x14ac:dyDescent="0.25">
      <c r="A43" s="93" t="s">
        <v>34</v>
      </c>
      <c r="B43" s="93"/>
      <c r="C43" s="93"/>
      <c r="D43" s="93"/>
      <c r="E43" s="101">
        <f>3529.787/E42</f>
        <v>1.080711353052658</v>
      </c>
      <c r="F43" s="101"/>
      <c r="G43" s="101"/>
      <c r="H43" s="101"/>
    </row>
    <row r="44" spans="1:19" x14ac:dyDescent="0.25">
      <c r="A44" s="93" t="s">
        <v>35</v>
      </c>
      <c r="B44" s="93"/>
      <c r="C44" s="93"/>
      <c r="D44" s="93"/>
      <c r="E44" s="101">
        <f>E46/E42-E43</f>
        <v>2.8008073676507959</v>
      </c>
      <c r="F44" s="101"/>
      <c r="G44" s="101"/>
      <c r="H44" s="101"/>
    </row>
    <row r="45" spans="1:19" x14ac:dyDescent="0.25">
      <c r="A45" s="93" t="s">
        <v>36</v>
      </c>
      <c r="B45" s="93"/>
      <c r="C45" s="93"/>
      <c r="D45" s="93"/>
      <c r="E45" s="101">
        <f>E43+E44</f>
        <v>3.8815187207034541</v>
      </c>
      <c r="F45" s="101"/>
      <c r="G45" s="101"/>
      <c r="H45" s="101"/>
    </row>
    <row r="46" spans="1:19" x14ac:dyDescent="0.25">
      <c r="A46" s="93" t="s">
        <v>89</v>
      </c>
      <c r="B46" s="93"/>
      <c r="C46" s="93"/>
      <c r="D46" s="93"/>
      <c r="E46" s="206">
        <v>12677.7</v>
      </c>
      <c r="F46" s="206"/>
      <c r="G46" s="206"/>
      <c r="H46" s="206"/>
    </row>
    <row r="47" spans="1:19" x14ac:dyDescent="0.25">
      <c r="A47" s="115" t="s">
        <v>37</v>
      </c>
      <c r="B47" s="115"/>
      <c r="C47" s="115"/>
      <c r="D47" s="115"/>
      <c r="E47" s="116" t="s">
        <v>316</v>
      </c>
      <c r="F47" s="116"/>
      <c r="G47" s="116"/>
      <c r="H47" s="116"/>
    </row>
    <row r="48" spans="1:19" x14ac:dyDescent="0.25">
      <c r="A48" s="170" t="s">
        <v>38</v>
      </c>
      <c r="B48" s="170"/>
      <c r="C48" s="170"/>
      <c r="D48" s="170"/>
      <c r="E48" s="170"/>
      <c r="F48" s="170"/>
      <c r="G48" s="170"/>
      <c r="H48" s="170"/>
    </row>
    <row r="49" spans="1:24" ht="33.75" customHeight="1" x14ac:dyDescent="0.25">
      <c r="A49" s="109" t="s">
        <v>147</v>
      </c>
      <c r="B49" s="110"/>
      <c r="C49" s="223" t="s">
        <v>268</v>
      </c>
      <c r="D49" s="224"/>
      <c r="E49" s="224"/>
      <c r="F49" s="224"/>
      <c r="G49" s="224"/>
      <c r="H49" s="225"/>
      <c r="R49" t="s">
        <v>251</v>
      </c>
      <c r="S49" t="s">
        <v>169</v>
      </c>
      <c r="T49" t="s">
        <v>176</v>
      </c>
      <c r="U49" t="s">
        <v>191</v>
      </c>
      <c r="V49" t="s">
        <v>186</v>
      </c>
    </row>
    <row r="50" spans="1:24" ht="15.75" customHeight="1" x14ac:dyDescent="0.25">
      <c r="A50" s="109" t="s">
        <v>39</v>
      </c>
      <c r="B50" s="110"/>
      <c r="C50" s="109" t="s">
        <v>338</v>
      </c>
      <c r="D50" s="111"/>
      <c r="E50" s="110"/>
      <c r="F50" s="16" t="s">
        <v>40</v>
      </c>
      <c r="G50" s="112">
        <v>45016</v>
      </c>
      <c r="H50" s="110"/>
      <c r="R50"/>
      <c r="S50" t="s">
        <v>252</v>
      </c>
      <c r="T50" t="s">
        <v>257</v>
      </c>
      <c r="U50" t="s">
        <v>268</v>
      </c>
      <c r="V50" t="s">
        <v>273</v>
      </c>
    </row>
    <row r="51" spans="1:24" x14ac:dyDescent="0.25">
      <c r="A51" s="109" t="s">
        <v>41</v>
      </c>
      <c r="B51" s="110"/>
      <c r="C51" s="109" t="str">
        <f>C50</f>
        <v>PMP/NRV/16663/J.K.807/2023</v>
      </c>
      <c r="D51" s="111"/>
      <c r="E51" s="110"/>
      <c r="F51" s="16" t="s">
        <v>40</v>
      </c>
      <c r="G51" s="112">
        <v>45016</v>
      </c>
      <c r="H51" s="110"/>
      <c r="R51"/>
      <c r="S51" t="s">
        <v>253</v>
      </c>
      <c r="T51" t="s">
        <v>258</v>
      </c>
      <c r="U51" t="s">
        <v>266</v>
      </c>
      <c r="V51" t="s">
        <v>274</v>
      </c>
    </row>
    <row r="52" spans="1:24" s="21" customFormat="1" ht="31.5" customHeight="1" x14ac:dyDescent="0.25">
      <c r="A52" s="131" t="s">
        <v>151</v>
      </c>
      <c r="B52" s="132"/>
      <c r="C52" s="109" t="s">
        <v>345</v>
      </c>
      <c r="D52" s="111"/>
      <c r="E52" s="110"/>
      <c r="F52" s="16" t="s">
        <v>40</v>
      </c>
      <c r="G52" s="112">
        <v>45016</v>
      </c>
      <c r="H52" s="110"/>
      <c r="R52"/>
      <c r="S52" t="s">
        <v>254</v>
      </c>
      <c r="T52" t="s">
        <v>259</v>
      </c>
      <c r="U52" t="s">
        <v>256</v>
      </c>
      <c r="V52" t="s">
        <v>275</v>
      </c>
    </row>
    <row r="53" spans="1:24" s="21" customFormat="1" ht="52.5" customHeight="1" x14ac:dyDescent="0.25">
      <c r="A53" s="133"/>
      <c r="B53" s="134"/>
      <c r="C53" s="109" t="s">
        <v>317</v>
      </c>
      <c r="D53" s="111"/>
      <c r="E53" s="111"/>
      <c r="F53" s="111"/>
      <c r="G53" s="111"/>
      <c r="H53" s="110"/>
      <c r="R53"/>
      <c r="S53" t="s">
        <v>255</v>
      </c>
      <c r="T53" t="s">
        <v>262</v>
      </c>
      <c r="U53" t="s">
        <v>269</v>
      </c>
    </row>
    <row r="54" spans="1:24" s="21" customFormat="1" hidden="1" x14ac:dyDescent="0.25">
      <c r="A54" s="119" t="s">
        <v>279</v>
      </c>
      <c r="B54" s="120"/>
      <c r="C54" s="109" t="str">
        <f>C53</f>
        <v xml:space="preserve">Wing A &amp; B = 1B + Gr + 1st to 12th Floor
No. of Residential Unit = 166 Nos. &amp; Commercial Unit = 06 Nos.
Total Units = 172 Nos.
</v>
      </c>
      <c r="D54" s="111"/>
      <c r="E54" s="110"/>
      <c r="F54" s="16" t="s">
        <v>40</v>
      </c>
      <c r="G54" s="109"/>
      <c r="H54" s="110"/>
      <c r="R54"/>
      <c r="S54" t="s">
        <v>254</v>
      </c>
      <c r="T54" t="s">
        <v>259</v>
      </c>
      <c r="U54" t="s">
        <v>256</v>
      </c>
      <c r="V54" t="s">
        <v>275</v>
      </c>
    </row>
    <row r="55" spans="1:24" s="21" customFormat="1" ht="32.25" hidden="1" customHeight="1" x14ac:dyDescent="0.25">
      <c r="A55" s="121"/>
      <c r="B55" s="122"/>
      <c r="C55" s="230"/>
      <c r="D55" s="231"/>
      <c r="E55" s="231"/>
      <c r="F55" s="231"/>
      <c r="G55" s="231"/>
      <c r="H55" s="232"/>
      <c r="R55"/>
      <c r="S55" t="s">
        <v>256</v>
      </c>
      <c r="T55" t="s">
        <v>260</v>
      </c>
      <c r="U55" t="s">
        <v>270</v>
      </c>
      <c r="V55" s="19"/>
      <c r="W55" s="19"/>
      <c r="X55" s="19"/>
    </row>
    <row r="56" spans="1:24" s="21" customFormat="1" ht="34.5" hidden="1" customHeight="1" x14ac:dyDescent="0.25">
      <c r="A56" s="119" t="s">
        <v>280</v>
      </c>
      <c r="B56" s="120"/>
      <c r="C56" s="109">
        <f>C55</f>
        <v>0</v>
      </c>
      <c r="D56" s="111"/>
      <c r="E56" s="110"/>
      <c r="F56" s="16" t="s">
        <v>40</v>
      </c>
      <c r="G56" s="109">
        <f>G55</f>
        <v>0</v>
      </c>
      <c r="H56" s="110"/>
      <c r="R56"/>
      <c r="S56" s="19"/>
      <c r="T56" t="s">
        <v>261</v>
      </c>
      <c r="U56" t="s">
        <v>271</v>
      </c>
      <c r="V56" s="19"/>
      <c r="W56" s="19"/>
      <c r="X56" s="19"/>
    </row>
    <row r="57" spans="1:24" s="21" customFormat="1" ht="41.25" hidden="1" customHeight="1" x14ac:dyDescent="0.25">
      <c r="A57" s="121"/>
      <c r="B57" s="122"/>
      <c r="C57" s="109"/>
      <c r="D57" s="111"/>
      <c r="E57" s="111"/>
      <c r="F57" s="111"/>
      <c r="G57" s="111"/>
      <c r="H57" s="110"/>
      <c r="R57"/>
      <c r="S57" s="19"/>
      <c r="T57" t="s">
        <v>263</v>
      </c>
      <c r="U57" t="s">
        <v>272</v>
      </c>
      <c r="V57" s="19"/>
      <c r="W57" s="19"/>
      <c r="X57" s="19"/>
    </row>
    <row r="58" spans="1:24" s="21" customFormat="1" ht="15.75" customHeight="1" x14ac:dyDescent="0.25">
      <c r="A58" s="123" t="s">
        <v>339</v>
      </c>
      <c r="B58" s="124"/>
      <c r="C58" s="127" t="s">
        <v>341</v>
      </c>
      <c r="D58" s="128"/>
      <c r="E58" s="129"/>
      <c r="F58" s="69" t="s">
        <v>40</v>
      </c>
      <c r="G58" s="130">
        <v>44991</v>
      </c>
      <c r="H58" s="129"/>
      <c r="R58"/>
      <c r="S58" s="19"/>
      <c r="T58" t="s">
        <v>264</v>
      </c>
      <c r="U58" s="19" t="s">
        <v>294</v>
      </c>
      <c r="V58" s="19"/>
      <c r="W58" s="19"/>
      <c r="X58" s="19"/>
    </row>
    <row r="59" spans="1:24" s="21" customFormat="1" ht="33.75" customHeight="1" x14ac:dyDescent="0.25">
      <c r="A59" s="125"/>
      <c r="B59" s="126"/>
      <c r="C59" s="127" t="s">
        <v>340</v>
      </c>
      <c r="D59" s="128"/>
      <c r="E59" s="129"/>
      <c r="F59" s="69" t="s">
        <v>337</v>
      </c>
      <c r="G59" s="130">
        <v>48643</v>
      </c>
      <c r="H59" s="129"/>
      <c r="R59"/>
      <c r="S59" s="19"/>
      <c r="T59" t="s">
        <v>265</v>
      </c>
      <c r="U59" s="19"/>
      <c r="V59" s="19"/>
      <c r="W59" s="19"/>
      <c r="X59" s="19"/>
    </row>
    <row r="60" spans="1:24" x14ac:dyDescent="0.25">
      <c r="A60" s="94" t="s">
        <v>42</v>
      </c>
      <c r="B60" s="95"/>
      <c r="C60" s="94" t="s">
        <v>103</v>
      </c>
      <c r="D60" s="96"/>
      <c r="E60" s="95"/>
      <c r="F60" s="43" t="s">
        <v>40</v>
      </c>
      <c r="G60" s="117" t="s">
        <v>28</v>
      </c>
      <c r="H60" s="118"/>
      <c r="R60"/>
      <c r="T60" t="s">
        <v>267</v>
      </c>
    </row>
    <row r="61" spans="1:24" x14ac:dyDescent="0.25">
      <c r="A61" s="113" t="s">
        <v>44</v>
      </c>
      <c r="B61" s="113"/>
      <c r="C61" s="113"/>
      <c r="D61" s="113"/>
      <c r="E61" s="113"/>
      <c r="F61" s="113"/>
      <c r="G61" s="113"/>
      <c r="H61" s="113"/>
      <c r="T61" t="s">
        <v>276</v>
      </c>
    </row>
    <row r="62" spans="1:24" x14ac:dyDescent="0.25">
      <c r="A62" s="99" t="s">
        <v>88</v>
      </c>
      <c r="B62" s="99"/>
      <c r="C62" s="99"/>
      <c r="D62" s="93">
        <f>E46</f>
        <v>12677.7</v>
      </c>
      <c r="E62" s="93"/>
      <c r="F62" s="93"/>
      <c r="G62" s="93"/>
      <c r="H62" s="93"/>
      <c r="R62"/>
    </row>
    <row r="63" spans="1:24" x14ac:dyDescent="0.25">
      <c r="A63" s="114" t="s">
        <v>45</v>
      </c>
      <c r="B63" s="115"/>
      <c r="C63" s="115"/>
      <c r="D63" s="116" t="s">
        <v>335</v>
      </c>
      <c r="E63" s="116"/>
      <c r="F63" s="116"/>
      <c r="G63" s="116"/>
      <c r="H63" s="116"/>
      <c r="I63" s="22"/>
      <c r="R63"/>
    </row>
    <row r="64" spans="1:24" x14ac:dyDescent="0.25">
      <c r="A64" s="207" t="s">
        <v>46</v>
      </c>
      <c r="B64" s="208"/>
      <c r="C64" s="220"/>
      <c r="D64" s="218" t="s">
        <v>318</v>
      </c>
      <c r="E64" s="219"/>
      <c r="F64" s="219"/>
      <c r="G64" s="219"/>
      <c r="H64" s="219"/>
      <c r="R64"/>
    </row>
    <row r="65" spans="1:19" ht="15.75" customHeight="1" x14ac:dyDescent="0.25">
      <c r="A65" s="207" t="s">
        <v>86</v>
      </c>
      <c r="B65" s="208"/>
      <c r="C65" s="208"/>
      <c r="D65" s="127" t="s">
        <v>346</v>
      </c>
      <c r="E65" s="128"/>
      <c r="F65" s="128"/>
      <c r="G65" s="128"/>
      <c r="H65" s="129"/>
      <c r="R65"/>
    </row>
    <row r="66" spans="1:19" ht="15.75" customHeight="1" x14ac:dyDescent="0.25">
      <c r="A66" s="209"/>
      <c r="B66" s="210"/>
      <c r="C66" s="210"/>
      <c r="D66" s="123" t="s">
        <v>320</v>
      </c>
      <c r="E66" s="211"/>
      <c r="F66" s="211"/>
      <c r="G66" s="211"/>
      <c r="H66" s="212"/>
      <c r="R66"/>
    </row>
    <row r="67" spans="1:19" ht="15.75" customHeight="1" x14ac:dyDescent="0.25">
      <c r="A67" s="93" t="s">
        <v>43</v>
      </c>
      <c r="B67" s="93"/>
      <c r="C67" s="93"/>
      <c r="D67" s="99" t="s">
        <v>319</v>
      </c>
      <c r="E67" s="99"/>
      <c r="F67" s="99"/>
      <c r="G67" s="99"/>
      <c r="H67" s="99"/>
      <c r="J67" s="23"/>
      <c r="K67" s="22"/>
      <c r="N67" s="22"/>
      <c r="S67"/>
    </row>
    <row r="68" spans="1:19" ht="15.75" customHeight="1" x14ac:dyDescent="0.25">
      <c r="A68" s="93" t="s">
        <v>84</v>
      </c>
      <c r="B68" s="93"/>
      <c r="C68" s="93"/>
      <c r="D68" s="205" t="str">
        <f>(IF(G60="NA","60 Years After Completion",IF(G60&lt;&gt;"NA",""&amp;60-ROUNDDOWN((E3-G60)/360,0)&amp;" Years"," ")))</f>
        <v>60 Years After Completion</v>
      </c>
      <c r="E68" s="205"/>
      <c r="F68" s="205"/>
      <c r="G68" s="205"/>
      <c r="H68" s="205"/>
      <c r="N68" s="22"/>
      <c r="S68"/>
    </row>
    <row r="69" spans="1:19" ht="15.75" customHeight="1" x14ac:dyDescent="0.25">
      <c r="A69" s="93" t="s">
        <v>85</v>
      </c>
      <c r="B69" s="93"/>
      <c r="C69" s="93"/>
      <c r="D69" s="99" t="s">
        <v>23</v>
      </c>
      <c r="E69" s="99"/>
      <c r="F69" s="99"/>
      <c r="G69" s="99"/>
      <c r="H69" s="99"/>
      <c r="J69" s="24"/>
      <c r="K69" s="24"/>
      <c r="S69"/>
    </row>
    <row r="70" spans="1:19" ht="94.5" customHeight="1" x14ac:dyDescent="0.25">
      <c r="A70" s="116" t="s">
        <v>321</v>
      </c>
      <c r="B70" s="116"/>
      <c r="C70" s="116"/>
      <c r="D70" s="179" t="s">
        <v>342</v>
      </c>
      <c r="E70" s="179"/>
      <c r="F70" s="179"/>
      <c r="G70" s="179"/>
      <c r="H70" s="179"/>
      <c r="S70"/>
    </row>
    <row r="71" spans="1:19" x14ac:dyDescent="0.25">
      <c r="A71" s="99" t="s">
        <v>145</v>
      </c>
      <c r="B71" s="99"/>
      <c r="C71" s="99"/>
      <c r="D71" s="99" t="s">
        <v>28</v>
      </c>
      <c r="E71" s="99"/>
      <c r="F71" s="99"/>
      <c r="G71" s="99"/>
      <c r="H71" s="99"/>
      <c r="I71" s="25"/>
      <c r="J71" s="25"/>
      <c r="K71" s="25"/>
      <c r="L71" s="25"/>
      <c r="M71" s="25"/>
      <c r="N71" s="25"/>
    </row>
    <row r="72" spans="1:19" ht="15.75" customHeight="1" x14ac:dyDescent="0.25">
      <c r="A72" s="100" t="s">
        <v>83</v>
      </c>
      <c r="B72" s="100"/>
      <c r="C72" s="100"/>
      <c r="D72" s="181" t="str">
        <f ca="1">(IF(G92&gt;95%,"Nothing",IF(G92&gt;0%,"Cement, Aggregate, Steel, etc",IF(G92=0%,"Work not yet Started"))))</f>
        <v>Cement, Aggregate, Steel, etc</v>
      </c>
      <c r="E72" s="181"/>
      <c r="F72" s="181"/>
      <c r="G72" s="181"/>
      <c r="H72" s="181"/>
      <c r="J72" s="24"/>
      <c r="S72"/>
    </row>
    <row r="73" spans="1:19" ht="33.75" customHeight="1" thickBot="1" x14ac:dyDescent="0.3">
      <c r="A73" s="180" t="s">
        <v>116</v>
      </c>
      <c r="B73" s="180"/>
      <c r="C73" s="180"/>
      <c r="D73" s="181" t="str">
        <f ca="1">(IF(D72="Nothing","Yes",IF(D72="Cement, Aggregate, Steel, etc","Under Construction",IF(D72="Work not yet Started","Work not yet Started"))))</f>
        <v>Under Construction</v>
      </c>
      <c r="E73" s="181"/>
      <c r="F73" s="181" t="str">
        <f ca="1">(IF(D72="Nothing","Yes",IF(D72="Cement, Aggregate, Steel, etc","Under Construction",IF(D72="Work not yet Started","Work not yet Started"))))</f>
        <v>Under Construction</v>
      </c>
      <c r="G73" s="181"/>
      <c r="H73" s="181"/>
      <c r="S73"/>
    </row>
    <row r="74" spans="1:19" ht="15.75" customHeight="1" x14ac:dyDescent="0.25">
      <c r="A74" s="102" t="s">
        <v>137</v>
      </c>
      <c r="B74" s="103"/>
      <c r="C74" s="174" t="str">
        <f>D65</f>
        <v>Wing A = 1B + Gr + 1st to 14th Floor</v>
      </c>
      <c r="D74" s="175"/>
      <c r="E74" s="175"/>
      <c r="F74" s="175"/>
      <c r="G74" s="175"/>
      <c r="H74" s="176"/>
      <c r="I74" s="45" t="str">
        <f ca="1">IF(D87=100%,"All work Completed. Possession granted to the Building.",IF(D86=100%,"All work Completed, Waiting for OC",I75&amp;""&amp;I76&amp;""&amp;J75&amp;""&amp;J74&amp;" "&amp;J76))</f>
        <v>Excavation, Plinth Completed, RCC upto 12 Slab, Brickwork upto 9 Floor, Internal Plaster upto 4 Floor, External Plaster upto 3 Floor Completed</v>
      </c>
      <c r="J74" s="46" t="str">
        <f ca="1">(IF(C80=(D75+F75+H75),"",IF(C80&gt;0,", RCC upto "&amp;C80&amp;" Slab","")))&amp;(IF(C81=H75,"",IF(C81&gt;0,", Brickwork upto "&amp;C81&amp;" Floor","")))&amp;(IF(C82=H75,"",IF(C82&gt;0,", Internal Plaster upto "&amp;C82&amp;" Floor","")))&amp;(IF(C83=H75,"",IF(C83&gt;0,", External Plaster upto "&amp;C83&amp;" Floor","")))&amp;(IF(C84=H75,"",IF(C84&gt;0,", Flooring upto "&amp;C84&amp;" Floor","")))&amp;(IF(C85=H75,"",IF(C85&gt;0,", Painting upto "&amp;C85&amp;" Floor","")))&amp;(IF(C86=H75,"",IF(C86&gt;0,", Finishing upto "&amp;C86&amp;" Floor","")))&amp;(IF(C87=H75,"",IF(C87&gt;0,", Possession upto "&amp;C87&amp;" Floor","")))</f>
        <v>, RCC upto 12 Slab, Brickwork upto 9 Floor, Internal Plaster upto 4 Floor, External Plaster upto 3 Floor</v>
      </c>
      <c r="S74"/>
    </row>
    <row r="75" spans="1:19" x14ac:dyDescent="0.25">
      <c r="A75" s="76" t="s">
        <v>139</v>
      </c>
      <c r="B75" s="71">
        <v>1</v>
      </c>
      <c r="C75" s="71" t="s">
        <v>69</v>
      </c>
      <c r="D75" s="71">
        <v>1</v>
      </c>
      <c r="E75" s="71" t="s">
        <v>68</v>
      </c>
      <c r="F75" s="71">
        <v>0</v>
      </c>
      <c r="G75" s="71" t="s">
        <v>77</v>
      </c>
      <c r="H75" s="72">
        <f ca="1">--TRIM(RIGHT(SUBSTITUTE(LEFT(C74,_xlfn.AGGREGATE(16,6,FIND({0,1,2,3,4,5,6,7,8,9},C74,ROW(INDIRECT("1:"&amp;LEN(C74)))),1))," ",REPT(" ",LEN(C74))),LEN(C74)))</f>
        <v>14</v>
      </c>
      <c r="I75" s="47" t="str">
        <f ca="1">IF(D78=100%,"Excavation","")&amp;IF(D79=100%,", Plinth","")&amp;IF(D80=100%,", RCC Slab","")&amp;IF(D81=100%,", Brickwork","")&amp;IF(D82=100%,", Internal Plaster","")&amp;IF(D83=100%,", External Plaster","")&amp;IF(D84=100%,", Flooring","")&amp;IF(D85=100%,", Painting","")&amp;IF(D86=100%,", Building common Amenities","")</f>
        <v>Excavation, Plinth</v>
      </c>
      <c r="J75" s="48" t="str">
        <f ca="1">(IF(C78=0,"Work not yet Started.",IF(D78=25%,"Piling work in process",IF(D78=50%,"Excavation work in process",IF(D78=100%,"","0")))))&amp;(IF(C79=0%,"",IF(C79=J80,", Footing work is process",IF(C79=J81,", Footing work Completed",IF(C79=J82,", 1st Basement Completed",IF(C79=J83,", 1st &amp; 2nd Basement Completed",IF(C79=J84,", 1st to 3rd Basement Completed",IF(C79=J85,", 1st to 4th Basement Completed",IF(C79=J86,", Plinth work is process",IF(C79=J87,"","0"))))))))))</f>
        <v/>
      </c>
      <c r="S75"/>
    </row>
    <row r="76" spans="1:19" ht="32.25" customHeight="1" x14ac:dyDescent="0.25">
      <c r="A76" s="172" t="s">
        <v>87</v>
      </c>
      <c r="B76" s="173"/>
      <c r="C76" s="177" t="str">
        <f ca="1">I74</f>
        <v>Excavation, Plinth Completed, RCC upto 12 Slab, Brickwork upto 9 Floor, Internal Plaster upto 4 Floor, External Plaster upto 3 Floor Completed</v>
      </c>
      <c r="D76" s="177"/>
      <c r="E76" s="177"/>
      <c r="F76" s="177"/>
      <c r="G76" s="177"/>
      <c r="H76" s="178"/>
      <c r="I76" s="47" t="str">
        <f ca="1">IF(I75&lt;&gt;""," Completed","")</f>
        <v xml:space="preserve"> Completed</v>
      </c>
      <c r="J76" s="48" t="str">
        <f ca="1">IF(J74&lt;&gt;"","Completed","")</f>
        <v>Completed</v>
      </c>
      <c r="S76"/>
    </row>
    <row r="77" spans="1:19" ht="15.75" customHeight="1" x14ac:dyDescent="0.25">
      <c r="A77" s="107" t="s">
        <v>47</v>
      </c>
      <c r="B77" s="108"/>
      <c r="C77" s="79" t="s">
        <v>136</v>
      </c>
      <c r="D77" s="79" t="s">
        <v>80</v>
      </c>
      <c r="E77" s="108" t="s">
        <v>82</v>
      </c>
      <c r="F77" s="108"/>
      <c r="G77" s="108" t="s">
        <v>81</v>
      </c>
      <c r="H77" s="156"/>
      <c r="I77" s="13" t="s">
        <v>138</v>
      </c>
      <c r="J77" s="26">
        <f ca="1">H75*25%</f>
        <v>3.5</v>
      </c>
      <c r="S77"/>
    </row>
    <row r="78" spans="1:19" x14ac:dyDescent="0.25">
      <c r="A78" s="107" t="s">
        <v>125</v>
      </c>
      <c r="B78" s="108"/>
      <c r="C78" s="79">
        <f ca="1">J79</f>
        <v>14</v>
      </c>
      <c r="D78" s="17">
        <f ca="1">((100/H75)*C78)/100</f>
        <v>1</v>
      </c>
      <c r="E78" s="157">
        <f ca="1">(((C79/H75*10)+(40/(D75+F75+H75)*C80)+(7.5/(H75)*C81)+(7.5/(H75)*C82)+(10/H75*C83)+(10/H75*C84)+(5/H75*C85)+(5/H75*C86)+(5/H75*C87))/100)</f>
        <v>0.51107142857142862</v>
      </c>
      <c r="F78" s="158"/>
      <c r="G78" s="157">
        <f ca="1">((((C78/H75)*20)+((C79/H75)*25)+(30/(H75+F75+D75)*C80)+(5/H75*C81)+(5/H75*C82)+(5/H75*C83)+(5/H75*C84)+(0/H75*C85)+(0/H75*C86)+(5/H75*C87))/100)</f>
        <v>0.74714285714285711</v>
      </c>
      <c r="H78" s="163"/>
      <c r="I78" s="13" t="s">
        <v>98</v>
      </c>
      <c r="J78" s="27">
        <f ca="1">H75*50%</f>
        <v>7</v>
      </c>
    </row>
    <row r="79" spans="1:19" x14ac:dyDescent="0.25">
      <c r="A79" s="107" t="s">
        <v>48</v>
      </c>
      <c r="B79" s="108"/>
      <c r="C79" s="70">
        <f ca="1">J87</f>
        <v>14</v>
      </c>
      <c r="D79" s="17">
        <f ca="1">((100/H75)*C79)/100</f>
        <v>1</v>
      </c>
      <c r="E79" s="159"/>
      <c r="F79" s="160"/>
      <c r="G79" s="159"/>
      <c r="H79" s="164"/>
      <c r="I79" s="13" t="s">
        <v>99</v>
      </c>
      <c r="J79" s="27">
        <f ca="1">H75</f>
        <v>14</v>
      </c>
      <c r="S79"/>
    </row>
    <row r="80" spans="1:19" ht="15.75" customHeight="1" x14ac:dyDescent="0.25">
      <c r="A80" s="107" t="s">
        <v>126</v>
      </c>
      <c r="B80" s="108"/>
      <c r="C80" s="79">
        <v>12</v>
      </c>
      <c r="D80" s="17">
        <f ca="1">((100/(D75+F75+H75))*C80)/100</f>
        <v>0.8</v>
      </c>
      <c r="E80" s="159"/>
      <c r="F80" s="160"/>
      <c r="G80" s="159"/>
      <c r="H80" s="164"/>
      <c r="I80" s="13" t="s">
        <v>100</v>
      </c>
      <c r="J80" s="28">
        <f ca="1">(IF(B75&gt;1,(H75/(B75+2)),H75/4))</f>
        <v>3.5</v>
      </c>
      <c r="S80"/>
    </row>
    <row r="81" spans="1:19" ht="15.75" customHeight="1" x14ac:dyDescent="0.25">
      <c r="A81" s="107" t="s">
        <v>133</v>
      </c>
      <c r="B81" s="108" t="s">
        <v>127</v>
      </c>
      <c r="C81" s="79">
        <v>9</v>
      </c>
      <c r="D81" s="17">
        <f ca="1">((100/H75)*C81)/100</f>
        <v>0.6428571428571429</v>
      </c>
      <c r="E81" s="159"/>
      <c r="F81" s="160"/>
      <c r="G81" s="159"/>
      <c r="H81" s="164"/>
      <c r="I81" s="13" t="s">
        <v>101</v>
      </c>
      <c r="J81" s="28">
        <f ca="1">(IF(B75&gt;1,(H75/(B75+2)+J80),H75/4+J80))</f>
        <v>7</v>
      </c>
    </row>
    <row r="82" spans="1:19" ht="15.75" customHeight="1" x14ac:dyDescent="0.25">
      <c r="A82" s="107" t="s">
        <v>134</v>
      </c>
      <c r="B82" s="108" t="s">
        <v>127</v>
      </c>
      <c r="C82" s="79">
        <v>4</v>
      </c>
      <c r="D82" s="17">
        <f ca="1">((100/H75)*C82)/100</f>
        <v>0.28571428571428575</v>
      </c>
      <c r="E82" s="159"/>
      <c r="F82" s="160"/>
      <c r="G82" s="159"/>
      <c r="H82" s="164"/>
      <c r="I82" s="13" t="s">
        <v>143</v>
      </c>
      <c r="J82" s="28">
        <f>(IF(B75&gt;1,(H75/(B75+2)+J81),0))</f>
        <v>0</v>
      </c>
    </row>
    <row r="83" spans="1:19" ht="15" customHeight="1" x14ac:dyDescent="0.25">
      <c r="A83" s="245" t="s">
        <v>132</v>
      </c>
      <c r="B83" s="246" t="s">
        <v>129</v>
      </c>
      <c r="C83" s="79">
        <v>3</v>
      </c>
      <c r="D83" s="17">
        <f ca="1">((100/(H75))*C83)/100</f>
        <v>0.2142857142857143</v>
      </c>
      <c r="E83" s="159"/>
      <c r="F83" s="160"/>
      <c r="G83" s="159"/>
      <c r="H83" s="164"/>
      <c r="I83" s="13" t="s">
        <v>140</v>
      </c>
      <c r="J83" s="28">
        <f>(IF(B75&gt;2,(H75/(B75+2)+J82),0))</f>
        <v>0</v>
      </c>
    </row>
    <row r="84" spans="1:19" ht="15.75" customHeight="1" x14ac:dyDescent="0.25">
      <c r="A84" s="245" t="s">
        <v>128</v>
      </c>
      <c r="B84" s="246" t="s">
        <v>128</v>
      </c>
      <c r="C84" s="79">
        <v>0</v>
      </c>
      <c r="D84" s="17">
        <f ca="1">((100/H75)*C84)/100</f>
        <v>0</v>
      </c>
      <c r="E84" s="159"/>
      <c r="F84" s="160"/>
      <c r="G84" s="159"/>
      <c r="H84" s="164"/>
      <c r="I84" s="13" t="s">
        <v>141</v>
      </c>
      <c r="J84" s="29">
        <f>(IF(B75&gt;3,(H75/(B75+2)+J83),0))</f>
        <v>0</v>
      </c>
    </row>
    <row r="85" spans="1:19" ht="15.75" customHeight="1" x14ac:dyDescent="0.25">
      <c r="A85" s="245" t="s">
        <v>135</v>
      </c>
      <c r="B85" s="246"/>
      <c r="C85" s="79">
        <v>0</v>
      </c>
      <c r="D85" s="17">
        <f ca="1">((100/H75)*C85)/100</f>
        <v>0</v>
      </c>
      <c r="E85" s="159"/>
      <c r="F85" s="160"/>
      <c r="G85" s="159"/>
      <c r="H85" s="164"/>
      <c r="I85" s="13" t="s">
        <v>142</v>
      </c>
      <c r="J85" s="28">
        <f>(IF(B75&gt;4,(H75/(B75+2)+J84),0))</f>
        <v>0</v>
      </c>
    </row>
    <row r="86" spans="1:19" ht="15.75" customHeight="1" x14ac:dyDescent="0.25">
      <c r="A86" s="245" t="s">
        <v>130</v>
      </c>
      <c r="B86" s="246" t="s">
        <v>130</v>
      </c>
      <c r="C86" s="79">
        <v>0</v>
      </c>
      <c r="D86" s="17">
        <f ca="1">((100/(H75))*C86)/100</f>
        <v>0</v>
      </c>
      <c r="E86" s="159"/>
      <c r="F86" s="160"/>
      <c r="G86" s="159"/>
      <c r="H86" s="164"/>
      <c r="I86" s="13" t="s">
        <v>144</v>
      </c>
      <c r="J86" s="28">
        <f ca="1">(IF(B75=1,(H75/(B75+3)+J81),IF(B75=0,(H75/4+J81),IF(B75&gt;1,0))))</f>
        <v>10.5</v>
      </c>
    </row>
    <row r="87" spans="1:19" ht="16.5" thickBot="1" x14ac:dyDescent="0.3">
      <c r="A87" s="247" t="s">
        <v>131</v>
      </c>
      <c r="B87" s="248"/>
      <c r="C87" s="78">
        <v>0</v>
      </c>
      <c r="D87" s="18">
        <f ca="1">((100/(H75))*C87)/100</f>
        <v>0</v>
      </c>
      <c r="E87" s="161"/>
      <c r="F87" s="162"/>
      <c r="G87" s="161"/>
      <c r="H87" s="165"/>
      <c r="I87" s="14" t="s">
        <v>102</v>
      </c>
      <c r="J87" s="30">
        <f ca="1">(IF(B75&gt;1.5,(H75/(B75+2)+J81+MAX(0,J82-J81)+MAX(0,J83-J82)+MAX(0,J84-J83)+MAX(0,J85-J84)+MAX(0,J86-J85)),IF(B75=1,(H75/(B75+3)+J86),IF(B75=0,H75/4+J86))))</f>
        <v>14</v>
      </c>
    </row>
    <row r="88" spans="1:19" ht="15.75" customHeight="1" x14ac:dyDescent="0.25">
      <c r="A88" s="102" t="s">
        <v>137</v>
      </c>
      <c r="B88" s="103"/>
      <c r="C88" s="174" t="str">
        <f>D66</f>
        <v xml:space="preserve">Wing B = 1B + Gr + 1st to 14th Floor
</v>
      </c>
      <c r="D88" s="175"/>
      <c r="E88" s="175"/>
      <c r="F88" s="175"/>
      <c r="G88" s="175"/>
      <c r="H88" s="176"/>
      <c r="I88" s="45" t="str">
        <f ca="1">IF(D101=100%,"All work Completed. Possession granted to the Building.",IF(D100=100%,"All work Completed, Waiting for OC",I89&amp;""&amp;I90&amp;""&amp;J89&amp;""&amp;J88&amp;" "&amp;J90))</f>
        <v>Excavation, Plinth Completed, RCC upto 12 Slab, Brickwork upto 10 Floor, Internal Plaster upto 3 Floor, External Plaster upto 6 Floor Completed</v>
      </c>
      <c r="J88" s="46" t="str">
        <f ca="1">(IF(C94=(D89+F89+H89),"",IF(C94&gt;0,", RCC upto "&amp;C94&amp;" Slab","")))&amp;(IF(C95=H89,"",IF(C95&gt;0,", Brickwork upto "&amp;C95&amp;" Floor","")))&amp;(IF(C96=H89,"",IF(C96&gt;0,", Internal Plaster upto "&amp;C96&amp;" Floor","")))&amp;(IF(C97=H89,"",IF(C97&gt;0,", External Plaster upto "&amp;C97&amp;" Floor","")))&amp;(IF(C98=H89,"",IF(C98&gt;0,", Flooring upto "&amp;C98&amp;" Floor","")))&amp;(IF(C99=H89,"",IF(C99&gt;0,", Painting upto "&amp;C99&amp;" Floor","")))&amp;(IF(C100=H89,"",IF(C100&gt;0,", Finishing upto "&amp;C100&amp;" Floor","")))&amp;(IF(C101=H89,"",IF(C101&gt;0,", Possession upto "&amp;C101&amp;" Floor","")))</f>
        <v>, RCC upto 12 Slab, Brickwork upto 10 Floor, Internal Plaster upto 3 Floor, External Plaster upto 6 Floor</v>
      </c>
      <c r="S88"/>
    </row>
    <row r="89" spans="1:19" x14ac:dyDescent="0.25">
      <c r="A89" s="76" t="s">
        <v>139</v>
      </c>
      <c r="B89" s="71">
        <v>1</v>
      </c>
      <c r="C89" s="71" t="s">
        <v>69</v>
      </c>
      <c r="D89" s="71">
        <v>1</v>
      </c>
      <c r="E89" s="71" t="s">
        <v>68</v>
      </c>
      <c r="F89" s="71">
        <v>0</v>
      </c>
      <c r="G89" s="71" t="s">
        <v>77</v>
      </c>
      <c r="H89" s="72">
        <f ca="1">--TRIM(RIGHT(SUBSTITUTE(LEFT(C88,_xlfn.AGGREGATE(16,6,FIND({0,1,2,3,4,5,6,7,8,9},C88,ROW(INDIRECT("1:"&amp;LEN(C88)))),1))," ",REPT(" ",LEN(C88))),LEN(C88)))</f>
        <v>14</v>
      </c>
      <c r="I89" s="47" t="str">
        <f ca="1">IF(D92=100%,"Excavation","")&amp;IF(D93=100%,", Plinth","")&amp;IF(D94=100%,", RCC Slab","")&amp;IF(D95=100%,", Brickwork","")&amp;IF(D96=100%,", Internal Plaster","")&amp;IF(D97=100%,", External Plaster","")&amp;IF(D98=100%,", Flooring","")&amp;IF(D99=100%,", Painting","")&amp;IF(D100=100%,", Building common Amenities","")</f>
        <v>Excavation, Plinth</v>
      </c>
      <c r="J89" s="48" t="str">
        <f ca="1">(IF(C92=0,"Work not yet Started.",IF(D92=25%,"Piling work in process",IF(D92=50%,"Excavation work in process",IF(D92=100%,"","0")))))&amp;(IF(C93=0%,"",IF(C93=J94,", Footing work is process",IF(C93=J95,", Footing work Completed",IF(C93=J96,", 1st Basement Completed",IF(C93=J97,", 1st &amp; 2nd Basement Completed",IF(C93=J98,", 1st to 3rd Basement Completed",IF(C93=J99,", 1st to 4th Basement Completed",IF(C93=J100,", Plinth work is process",IF(C93=J101,"","0"))))))))))</f>
        <v/>
      </c>
      <c r="S89"/>
    </row>
    <row r="90" spans="1:19" ht="30.75" customHeight="1" x14ac:dyDescent="0.25">
      <c r="A90" s="172" t="s">
        <v>87</v>
      </c>
      <c r="B90" s="173"/>
      <c r="C90" s="177" t="str">
        <f ca="1">I88</f>
        <v>Excavation, Plinth Completed, RCC upto 12 Slab, Brickwork upto 10 Floor, Internal Plaster upto 3 Floor, External Plaster upto 6 Floor Completed</v>
      </c>
      <c r="D90" s="177"/>
      <c r="E90" s="177"/>
      <c r="F90" s="177"/>
      <c r="G90" s="177"/>
      <c r="H90" s="178"/>
      <c r="I90" s="47" t="str">
        <f ca="1">IF(I89&lt;&gt;""," Completed","")</f>
        <v xml:space="preserve"> Completed</v>
      </c>
      <c r="J90" s="48" t="str">
        <f ca="1">IF(J88&lt;&gt;"","Completed","")</f>
        <v>Completed</v>
      </c>
      <c r="S90"/>
    </row>
    <row r="91" spans="1:19" ht="15.75" customHeight="1" x14ac:dyDescent="0.25">
      <c r="A91" s="107" t="s">
        <v>47</v>
      </c>
      <c r="B91" s="108"/>
      <c r="C91" s="41" t="s">
        <v>136</v>
      </c>
      <c r="D91" s="41" t="s">
        <v>80</v>
      </c>
      <c r="E91" s="108" t="s">
        <v>82</v>
      </c>
      <c r="F91" s="108"/>
      <c r="G91" s="108" t="s">
        <v>81</v>
      </c>
      <c r="H91" s="156"/>
      <c r="I91" s="13" t="s">
        <v>138</v>
      </c>
      <c r="J91" s="26">
        <f ca="1">H89*25%</f>
        <v>3.5</v>
      </c>
      <c r="S91"/>
    </row>
    <row r="92" spans="1:19" x14ac:dyDescent="0.25">
      <c r="A92" s="107" t="s">
        <v>125</v>
      </c>
      <c r="B92" s="108"/>
      <c r="C92" s="64">
        <f ca="1">J93</f>
        <v>14</v>
      </c>
      <c r="D92" s="17">
        <f ca="1">((100/H89)*C92)/100</f>
        <v>1</v>
      </c>
      <c r="E92" s="157">
        <f ca="1">(((C93/H89*10)+(40/(D89+F89+H89)*C94)+(7.5/(H89)*C95)+(7.5/(H89)*C96)+(10/H89*C97)+(10/H89*C98)+(5/H89*C99)+(5/H89*C100)+(5/H89*C101))/100)</f>
        <v>0.53249999999999997</v>
      </c>
      <c r="F92" s="158"/>
      <c r="G92" s="157">
        <f ca="1">((((C92/H89)*20)+((C93/H89)*25)+(30/(H89+F89+D89)*C94)+(5/H89*C95)+(5/H89*C96)+(5/H89*C97)+(5/H89*C98)+(0/H89*C99)+(0/H89*C100)+(5/H89*C101))/100)</f>
        <v>0.75785714285714278</v>
      </c>
      <c r="H92" s="163"/>
      <c r="I92" s="13" t="s">
        <v>98</v>
      </c>
      <c r="J92" s="27">
        <f ca="1">H89*50%</f>
        <v>7</v>
      </c>
    </row>
    <row r="93" spans="1:19" x14ac:dyDescent="0.25">
      <c r="A93" s="107" t="s">
        <v>48</v>
      </c>
      <c r="B93" s="108"/>
      <c r="C93" s="70">
        <f ca="1">J101</f>
        <v>14</v>
      </c>
      <c r="D93" s="17">
        <f ca="1">((100/H89)*C93)/100</f>
        <v>1</v>
      </c>
      <c r="E93" s="159"/>
      <c r="F93" s="160"/>
      <c r="G93" s="159"/>
      <c r="H93" s="164"/>
      <c r="I93" s="13" t="s">
        <v>99</v>
      </c>
      <c r="J93" s="27">
        <f ca="1">H89</f>
        <v>14</v>
      </c>
      <c r="S93"/>
    </row>
    <row r="94" spans="1:19" ht="15.75" customHeight="1" x14ac:dyDescent="0.25">
      <c r="A94" s="107" t="s">
        <v>126</v>
      </c>
      <c r="B94" s="108"/>
      <c r="C94" s="64">
        <v>12</v>
      </c>
      <c r="D94" s="17">
        <f ca="1">((100/(D89+F89+H89))*C94)/100</f>
        <v>0.8</v>
      </c>
      <c r="E94" s="159"/>
      <c r="F94" s="160"/>
      <c r="G94" s="159"/>
      <c r="H94" s="164"/>
      <c r="I94" s="13" t="s">
        <v>100</v>
      </c>
      <c r="J94" s="28">
        <f ca="1">(IF(B89&gt;1,(H89/(B89+2)),H89/4))</f>
        <v>3.5</v>
      </c>
      <c r="S94"/>
    </row>
    <row r="95" spans="1:19" ht="15.75" customHeight="1" x14ac:dyDescent="0.25">
      <c r="A95" s="107" t="s">
        <v>133</v>
      </c>
      <c r="B95" s="108" t="s">
        <v>127</v>
      </c>
      <c r="C95" s="41">
        <v>10</v>
      </c>
      <c r="D95" s="17">
        <f ca="1">((100/H89)*C95)/100</f>
        <v>0.7142857142857143</v>
      </c>
      <c r="E95" s="159"/>
      <c r="F95" s="160"/>
      <c r="G95" s="159"/>
      <c r="H95" s="164"/>
      <c r="I95" s="13" t="s">
        <v>101</v>
      </c>
      <c r="J95" s="28">
        <f ca="1">(IF(B89&gt;1,(H89/(B89+2)+J94),H89/4+J94))</f>
        <v>7</v>
      </c>
    </row>
    <row r="96" spans="1:19" ht="15.75" customHeight="1" x14ac:dyDescent="0.25">
      <c r="A96" s="107" t="s">
        <v>134</v>
      </c>
      <c r="B96" s="108" t="s">
        <v>127</v>
      </c>
      <c r="C96" s="41">
        <v>3</v>
      </c>
      <c r="D96" s="17">
        <f ca="1">((100/H89)*C96)/100</f>
        <v>0.2142857142857143</v>
      </c>
      <c r="E96" s="159"/>
      <c r="F96" s="160"/>
      <c r="G96" s="159"/>
      <c r="H96" s="164"/>
      <c r="I96" s="13" t="s">
        <v>143</v>
      </c>
      <c r="J96" s="28">
        <f>(IF(B89&gt;1,(H89/(B89+2)+J95),0))</f>
        <v>0</v>
      </c>
    </row>
    <row r="97" spans="1:10" ht="15" customHeight="1" x14ac:dyDescent="0.25">
      <c r="A97" s="107" t="s">
        <v>132</v>
      </c>
      <c r="B97" s="108" t="s">
        <v>129</v>
      </c>
      <c r="C97" s="61">
        <v>6</v>
      </c>
      <c r="D97" s="17">
        <f ca="1">((100/(H89))*C97)/100</f>
        <v>0.4285714285714286</v>
      </c>
      <c r="E97" s="159"/>
      <c r="F97" s="160"/>
      <c r="G97" s="159"/>
      <c r="H97" s="164"/>
      <c r="I97" s="13" t="s">
        <v>140</v>
      </c>
      <c r="J97" s="28">
        <f>(IF(B89&gt;2,(H89/(B89+2)+J96),0))</f>
        <v>0</v>
      </c>
    </row>
    <row r="98" spans="1:10" ht="15.75" customHeight="1" x14ac:dyDescent="0.25">
      <c r="A98" s="107" t="s">
        <v>128</v>
      </c>
      <c r="B98" s="108" t="s">
        <v>128</v>
      </c>
      <c r="C98" s="41">
        <v>0</v>
      </c>
      <c r="D98" s="17">
        <f ca="1">((100/H89)*C98)/100</f>
        <v>0</v>
      </c>
      <c r="E98" s="159"/>
      <c r="F98" s="160"/>
      <c r="G98" s="159"/>
      <c r="H98" s="164"/>
      <c r="I98" s="13" t="s">
        <v>141</v>
      </c>
      <c r="J98" s="29">
        <f>(IF(B89&gt;3,(H89/(B89+2)+J97),0))</f>
        <v>0</v>
      </c>
    </row>
    <row r="99" spans="1:10" ht="15.75" customHeight="1" x14ac:dyDescent="0.25">
      <c r="A99" s="107" t="s">
        <v>135</v>
      </c>
      <c r="B99" s="108"/>
      <c r="C99" s="41">
        <v>0</v>
      </c>
      <c r="D99" s="17">
        <f ca="1">((100/H89)*C99)/100</f>
        <v>0</v>
      </c>
      <c r="E99" s="159"/>
      <c r="F99" s="160"/>
      <c r="G99" s="159"/>
      <c r="H99" s="164"/>
      <c r="I99" s="13" t="s">
        <v>142</v>
      </c>
      <c r="J99" s="28">
        <f>(IF(B89&gt;4,(H89/(B89+2)+J98),0))</f>
        <v>0</v>
      </c>
    </row>
    <row r="100" spans="1:10" ht="15.75" customHeight="1" x14ac:dyDescent="0.25">
      <c r="A100" s="107" t="s">
        <v>130</v>
      </c>
      <c r="B100" s="108" t="s">
        <v>130</v>
      </c>
      <c r="C100" s="41">
        <v>0</v>
      </c>
      <c r="D100" s="17">
        <f ca="1">((100/(H89))*C100)/100</f>
        <v>0</v>
      </c>
      <c r="E100" s="159"/>
      <c r="F100" s="160"/>
      <c r="G100" s="159"/>
      <c r="H100" s="164"/>
      <c r="I100" s="13" t="s">
        <v>144</v>
      </c>
      <c r="J100" s="28">
        <f ca="1">(IF(B89=1,(H89/(B89+3)+J95),IF(B89=0,(H89/4+J95),IF(B89&gt;1,0))))</f>
        <v>10.5</v>
      </c>
    </row>
    <row r="101" spans="1:10" ht="16.5" thickBot="1" x14ac:dyDescent="0.3">
      <c r="A101" s="182" t="s">
        <v>131</v>
      </c>
      <c r="B101" s="183"/>
      <c r="C101" s="42">
        <v>0</v>
      </c>
      <c r="D101" s="18">
        <f ca="1">((100/(H89))*C101)/100</f>
        <v>0</v>
      </c>
      <c r="E101" s="161"/>
      <c r="F101" s="162"/>
      <c r="G101" s="161"/>
      <c r="H101" s="165"/>
      <c r="I101" s="14" t="s">
        <v>102</v>
      </c>
      <c r="J101" s="30">
        <f ca="1">(IF(B89&gt;1.5,(H89/(B89+2)+J95+MAX(0,J96-J95)+MAX(0,J97-J96)+MAX(0,J98-J97)+MAX(0,J99-J98)+MAX(0,J100-J99)),IF(B89=1,(H89/(B89+3)+J100),IF(B89=0,H89/4+J100))))</f>
        <v>14</v>
      </c>
    </row>
    <row r="102" spans="1:10" ht="15.75" hidden="1" customHeight="1" x14ac:dyDescent="0.25">
      <c r="A102" s="102" t="s">
        <v>137</v>
      </c>
      <c r="B102" s="103"/>
      <c r="C102" s="104" t="str">
        <f>D66</f>
        <v xml:space="preserve">Wing B = 1B + Gr + 1st to 14th Floor
</v>
      </c>
      <c r="D102" s="105"/>
      <c r="E102" s="105"/>
      <c r="F102" s="105"/>
      <c r="G102" s="105"/>
      <c r="H102" s="106"/>
      <c r="I102" s="45" t="str">
        <f ca="1">IF(D115=100%,"All work Completed. Possession granted to the Building.",IF(D114=100%,"All work Completed, Waiting for OC",I103&amp;""&amp;I104&amp;""&amp;J103&amp;""&amp;J102&amp;" "&amp;J104))</f>
        <v xml:space="preserve">Excavation Completed, Footing work Completed </v>
      </c>
      <c r="J102" s="46" t="str">
        <f ca="1">(IF(C108=(D103+F103+H103),"",IF(C108&gt;0,", RCC upto "&amp;C108&amp;" Slab","")))&amp;(IF(C109=H103,"",IF(C109&gt;0,", Brickwork upto "&amp;C109&amp;" Floor","")))&amp;(IF(C110=H103,"",IF(C110&gt;0,", Internal Plaster upto "&amp;C110&amp;" Floor","")))&amp;(IF(C111=H103,"",IF(C111&gt;0,", External Plaster upto "&amp;C111&amp;" Floor","")))&amp;(IF(C112=H103,"",IF(C112&gt;0,", Flooring upto "&amp;C112&amp;" Floor","")))&amp;(IF(C113=H103,"",IF(C113&gt;0,", Painting upto "&amp;C113&amp;" Floor","")))&amp;(IF(C114=H103,"",IF(C114&gt;0,", Finishing upto "&amp;C114&amp;" Floor","")))&amp;(IF(C115=H103,"",IF(C115&gt;0,", Possession upto "&amp;C115&amp;" Floor","")))</f>
        <v/>
      </c>
    </row>
    <row r="103" spans="1:10" hidden="1" x14ac:dyDescent="0.25">
      <c r="A103" s="15" t="s">
        <v>139</v>
      </c>
      <c r="B103" s="49">
        <f>IF(AND(ISNUMBER(SEARCH("1B",C102))),1,IF(AND(ISNUMBER(SEARCH("2B",C102))),2,IF(AND(ISNUMBER(SEARCH("3B",C102))),3,IF(AND(ISNUMBER(SEARCH("4B",C102))),4,IF(ISNUMBER(SEARCH("5B",C102)),5,0)))))</f>
        <v>1</v>
      </c>
      <c r="C103" s="71" t="s">
        <v>69</v>
      </c>
      <c r="D103" s="71">
        <v>1</v>
      </c>
      <c r="E103" s="71" t="s">
        <v>68</v>
      </c>
      <c r="F103" s="71">
        <v>0</v>
      </c>
      <c r="G103" s="71" t="s">
        <v>77</v>
      </c>
      <c r="H103" s="72">
        <f ca="1">--TRIM(RIGHT(SUBSTITUTE(LEFT(C102,_xlfn.AGGREGATE(16,6,FIND({0,1,2,3,4,5,6,7,8,9},C102,ROW(INDIRECT("1:"&amp;LEN(C102)))),1))," ",REPT(" ",LEN(C102))),LEN(C102)))</f>
        <v>14</v>
      </c>
      <c r="I103" s="47" t="str">
        <f ca="1">IF(D106=100%,"Excavation","")&amp;IF(D107=100%,", Plinth","")&amp;IF(D108=100%,", RCC Slab","")&amp;IF(D109=100%,", Brickwork","")&amp;IF(D110=100%,", Internal Plaster","")&amp;IF(D111=100%,", External Plaster","")&amp;IF(D112=100%,", Flooring","")&amp;IF(D113=100%,", Painting","")&amp;IF(D114=100%,", Building common Amenities","")</f>
        <v>Excavation</v>
      </c>
      <c r="J103" s="48" t="str">
        <f ca="1">(IF(C106=0,"Work not yet Started.",IF(D106=25%,"Piling work in process",IF(D106=50%,"Excavation work in process",IF(D106=100%,"","0")))))&amp;(IF(C107=0%,"",IF(C107=J108,", Footing work is process",IF(C107=J109,", Footing work Completed",IF(C107=J110,", 1st Basement Completed",IF(C107=J111,", 1st &amp; 2nd Basement Completed",IF(C107=J112,", 1st to 3rd Basement Completed",IF(C107=J113,", 1st to 4th Basement Completed",IF(C107=J114,", Plinth work is process",IF(C107=J115,"","0"))))))))))</f>
        <v>, Footing work Completed</v>
      </c>
    </row>
    <row r="104" spans="1:10" hidden="1" x14ac:dyDescent="0.25">
      <c r="A104" s="213" t="s">
        <v>87</v>
      </c>
      <c r="B104" s="186"/>
      <c r="C104" s="221" t="str">
        <f ca="1">(IF($G$60="NA",I102,"All work Completed. OC Received."))</f>
        <v xml:space="preserve">Excavation Completed, Footing work Completed </v>
      </c>
      <c r="D104" s="221"/>
      <c r="E104" s="221"/>
      <c r="F104" s="221"/>
      <c r="G104" s="221"/>
      <c r="H104" s="222"/>
      <c r="I104" s="47" t="str">
        <f ca="1">IF(I103&lt;&gt;""," Completed","")</f>
        <v xml:space="preserve"> Completed</v>
      </c>
      <c r="J104" s="48" t="str">
        <f ca="1">IF(J102&lt;&gt;"","Completed","")</f>
        <v/>
      </c>
    </row>
    <row r="105" spans="1:10" ht="15.75" hidden="1" customHeight="1" x14ac:dyDescent="0.25">
      <c r="A105" s="107" t="s">
        <v>47</v>
      </c>
      <c r="B105" s="108"/>
      <c r="C105" s="64" t="s">
        <v>136</v>
      </c>
      <c r="D105" s="64" t="s">
        <v>80</v>
      </c>
      <c r="E105" s="108" t="s">
        <v>82</v>
      </c>
      <c r="F105" s="108"/>
      <c r="G105" s="108" t="s">
        <v>81</v>
      </c>
      <c r="H105" s="156"/>
      <c r="I105" s="13" t="s">
        <v>138</v>
      </c>
      <c r="J105" s="26">
        <f ca="1">H103*25%</f>
        <v>3.5</v>
      </c>
    </row>
    <row r="106" spans="1:10" hidden="1" x14ac:dyDescent="0.25">
      <c r="A106" s="107" t="s">
        <v>125</v>
      </c>
      <c r="B106" s="108"/>
      <c r="C106" s="64">
        <f ca="1">J107</f>
        <v>14</v>
      </c>
      <c r="D106" s="17">
        <f ca="1">((100/H103)*C106)/100</f>
        <v>1</v>
      </c>
      <c r="E106" s="157">
        <f ca="1">(((C107/H103*10)+(40/(D103+F103+H103)*C108)+(7.5/(H103)*C109)+(7.5/(H103)*C110)+(10/H103*C111)+(10/H103*C112)+(5/H103*C113)+(5/H103*C114)+(5/H103*C115))/100)</f>
        <v>0.05</v>
      </c>
      <c r="F106" s="158"/>
      <c r="G106" s="157">
        <f ca="1">((((C106/H103)*20)+((C107/H103)*25)+(30/(H103+F103+D103)*C108)+(5/H103*C109)+(5/H103*C110)+(5/H103*C111)+(5/H103*C112)+(0/H103*C113)+(0/H103*C114)+(5/H103*C115))/100)</f>
        <v>0.32500000000000001</v>
      </c>
      <c r="H106" s="163"/>
      <c r="I106" s="13" t="s">
        <v>98</v>
      </c>
      <c r="J106" s="27">
        <f ca="1">H103*50%</f>
        <v>7</v>
      </c>
    </row>
    <row r="107" spans="1:10" hidden="1" x14ac:dyDescent="0.25">
      <c r="A107" s="107" t="s">
        <v>48</v>
      </c>
      <c r="B107" s="108"/>
      <c r="C107" s="70">
        <f ca="1">J109</f>
        <v>7</v>
      </c>
      <c r="D107" s="17">
        <f ca="1">((100/H103)*C107)/100</f>
        <v>0.5</v>
      </c>
      <c r="E107" s="159"/>
      <c r="F107" s="160"/>
      <c r="G107" s="159"/>
      <c r="H107" s="164"/>
      <c r="I107" s="13" t="s">
        <v>99</v>
      </c>
      <c r="J107" s="27">
        <f ca="1">H103</f>
        <v>14</v>
      </c>
    </row>
    <row r="108" spans="1:10" ht="15.75" hidden="1" customHeight="1" x14ac:dyDescent="0.25">
      <c r="A108" s="107" t="s">
        <v>126</v>
      </c>
      <c r="B108" s="108"/>
      <c r="C108" s="64">
        <v>0</v>
      </c>
      <c r="D108" s="17">
        <f ca="1">((100/(D103+F103+H103))*C108)/100</f>
        <v>0</v>
      </c>
      <c r="E108" s="159"/>
      <c r="F108" s="160"/>
      <c r="G108" s="159"/>
      <c r="H108" s="164"/>
      <c r="I108" s="13" t="s">
        <v>100</v>
      </c>
      <c r="J108" s="28">
        <f ca="1">(IF(B103&gt;1,(H103/(B103+2)),H103/4))</f>
        <v>3.5</v>
      </c>
    </row>
    <row r="109" spans="1:10" ht="15.75" hidden="1" customHeight="1" x14ac:dyDescent="0.25">
      <c r="A109" s="107" t="s">
        <v>133</v>
      </c>
      <c r="B109" s="108" t="s">
        <v>127</v>
      </c>
      <c r="C109" s="64">
        <v>0</v>
      </c>
      <c r="D109" s="17">
        <f ca="1">((100/H103)*C109)/100</f>
        <v>0</v>
      </c>
      <c r="E109" s="159"/>
      <c r="F109" s="160"/>
      <c r="G109" s="159"/>
      <c r="H109" s="164"/>
      <c r="I109" s="13" t="s">
        <v>101</v>
      </c>
      <c r="J109" s="28">
        <f ca="1">(IF(B103&gt;1,(H103/(B103+2)+J108),H103/4+J108))</f>
        <v>7</v>
      </c>
    </row>
    <row r="110" spans="1:10" ht="15.75" hidden="1" customHeight="1" x14ac:dyDescent="0.25">
      <c r="A110" s="107" t="s">
        <v>134</v>
      </c>
      <c r="B110" s="108" t="s">
        <v>127</v>
      </c>
      <c r="C110" s="64">
        <v>0</v>
      </c>
      <c r="D110" s="17">
        <f ca="1">((100/H103)*C110)/100</f>
        <v>0</v>
      </c>
      <c r="E110" s="159"/>
      <c r="F110" s="160"/>
      <c r="G110" s="159"/>
      <c r="H110" s="164"/>
      <c r="I110" s="13" t="s">
        <v>143</v>
      </c>
      <c r="J110" s="28">
        <f>(IF(B103&gt;1,(H103/(B103+2)+J109),0))</f>
        <v>0</v>
      </c>
    </row>
    <row r="111" spans="1:10" ht="15" hidden="1" customHeight="1" x14ac:dyDescent="0.25">
      <c r="A111" s="107" t="s">
        <v>132</v>
      </c>
      <c r="B111" s="108" t="s">
        <v>129</v>
      </c>
      <c r="C111" s="64">
        <v>0</v>
      </c>
      <c r="D111" s="17">
        <f ca="1">((100/(H103))*C111)/100</f>
        <v>0</v>
      </c>
      <c r="E111" s="159"/>
      <c r="F111" s="160"/>
      <c r="G111" s="159"/>
      <c r="H111" s="164"/>
      <c r="I111" s="13" t="s">
        <v>140</v>
      </c>
      <c r="J111" s="28">
        <f>(IF(B103&gt;2,(H103/(B103+2)+J110),0))</f>
        <v>0</v>
      </c>
    </row>
    <row r="112" spans="1:10" ht="15.75" hidden="1" customHeight="1" x14ac:dyDescent="0.25">
      <c r="A112" s="107" t="s">
        <v>128</v>
      </c>
      <c r="B112" s="108" t="s">
        <v>128</v>
      </c>
      <c r="C112" s="64">
        <v>0</v>
      </c>
      <c r="D112" s="17">
        <f ca="1">((100/H103)*C112)/100</f>
        <v>0</v>
      </c>
      <c r="E112" s="159"/>
      <c r="F112" s="160"/>
      <c r="G112" s="159"/>
      <c r="H112" s="164"/>
      <c r="I112" s="13" t="s">
        <v>141</v>
      </c>
      <c r="J112" s="29">
        <f>(IF(B103&gt;3,(H103/(B103+2)+J111),0))</f>
        <v>0</v>
      </c>
    </row>
    <row r="113" spans="1:22" ht="15.75" hidden="1" customHeight="1" x14ac:dyDescent="0.25">
      <c r="A113" s="107" t="s">
        <v>135</v>
      </c>
      <c r="B113" s="108"/>
      <c r="C113" s="64">
        <v>0</v>
      </c>
      <c r="D113" s="17">
        <f ca="1">((100/H103)*C113)/100</f>
        <v>0</v>
      </c>
      <c r="E113" s="159"/>
      <c r="F113" s="160"/>
      <c r="G113" s="159"/>
      <c r="H113" s="164"/>
      <c r="I113" s="13" t="s">
        <v>142</v>
      </c>
      <c r="J113" s="28">
        <f>(IF(B103&gt;4,(H103/(B103+2)+J112),0))</f>
        <v>0</v>
      </c>
    </row>
    <row r="114" spans="1:22" ht="15.75" hidden="1" customHeight="1" x14ac:dyDescent="0.25">
      <c r="A114" s="107" t="s">
        <v>130</v>
      </c>
      <c r="B114" s="108" t="s">
        <v>130</v>
      </c>
      <c r="C114" s="64">
        <v>0</v>
      </c>
      <c r="D114" s="17">
        <f ca="1">((100/(H103))*C114)/100</f>
        <v>0</v>
      </c>
      <c r="E114" s="159"/>
      <c r="F114" s="160"/>
      <c r="G114" s="159"/>
      <c r="H114" s="164"/>
      <c r="I114" s="13" t="s">
        <v>144</v>
      </c>
      <c r="J114" s="28">
        <f ca="1">(IF(B103=1,(H103/(B103+3)+J109),IF(B103=0,(H103/4+J109),IF(B103&gt;1,0))))</f>
        <v>10.5</v>
      </c>
    </row>
    <row r="115" spans="1:22" ht="16.5" hidden="1" thickBot="1" x14ac:dyDescent="0.3">
      <c r="A115" s="182" t="s">
        <v>131</v>
      </c>
      <c r="B115" s="183"/>
      <c r="C115" s="67">
        <v>0</v>
      </c>
      <c r="D115" s="18">
        <f ca="1">((100/(H103))*C115)/100</f>
        <v>0</v>
      </c>
      <c r="E115" s="161"/>
      <c r="F115" s="162"/>
      <c r="G115" s="161"/>
      <c r="H115" s="165"/>
      <c r="I115" s="14" t="s">
        <v>102</v>
      </c>
      <c r="J115" s="30">
        <f ca="1">(IF(B103&gt;1.5,(H103/(B103+2)+J109+MAX(0,J110-J109)+MAX(0,J111-J110)+MAX(0,J112-J111)+MAX(0,J113-J112)+MAX(0,J114-J113)),IF(B103=1,(H103/(B103+3)+J114),IF(B103=0,H103/4+J114))))</f>
        <v>14</v>
      </c>
    </row>
    <row r="116" spans="1:22" x14ac:dyDescent="0.25">
      <c r="A116" s="233" t="s">
        <v>153</v>
      </c>
      <c r="B116" s="233"/>
      <c r="C116" s="233"/>
      <c r="D116" s="233"/>
      <c r="E116" s="233"/>
      <c r="F116" s="234" t="s">
        <v>157</v>
      </c>
      <c r="G116" s="234"/>
      <c r="H116" s="234"/>
      <c r="R116" t="s">
        <v>251</v>
      </c>
      <c r="S116" t="s">
        <v>169</v>
      </c>
      <c r="T116" t="s">
        <v>176</v>
      </c>
      <c r="U116" t="s">
        <v>191</v>
      </c>
      <c r="V116" t="s">
        <v>186</v>
      </c>
    </row>
    <row r="117" spans="1:22" x14ac:dyDescent="0.25">
      <c r="A117" s="93" t="s">
        <v>155</v>
      </c>
      <c r="B117" s="93"/>
      <c r="C117" s="93"/>
      <c r="D117" s="93"/>
      <c r="E117" s="93"/>
      <c r="F117" s="90">
        <v>5300</v>
      </c>
      <c r="G117" s="90"/>
      <c r="H117" s="90"/>
      <c r="R117"/>
      <c r="S117">
        <v>800000</v>
      </c>
      <c r="T117">
        <v>300000</v>
      </c>
      <c r="U117">
        <v>100000</v>
      </c>
      <c r="V117">
        <v>100000</v>
      </c>
    </row>
    <row r="118" spans="1:22" x14ac:dyDescent="0.25">
      <c r="A118" s="93" t="s">
        <v>154</v>
      </c>
      <c r="B118" s="93"/>
      <c r="C118" s="93"/>
      <c r="D118" s="93"/>
      <c r="E118" s="93"/>
      <c r="F118" s="90">
        <v>7500</v>
      </c>
      <c r="G118" s="90"/>
      <c r="H118" s="90"/>
      <c r="R118"/>
      <c r="S118">
        <v>900000</v>
      </c>
      <c r="T118">
        <v>350000</v>
      </c>
      <c r="U118">
        <v>150000</v>
      </c>
      <c r="V118">
        <v>150000</v>
      </c>
    </row>
    <row r="119" spans="1:22" hidden="1" x14ac:dyDescent="0.25">
      <c r="A119" s="93" t="s">
        <v>156</v>
      </c>
      <c r="B119" s="93"/>
      <c r="C119" s="93"/>
      <c r="D119" s="93"/>
      <c r="E119" s="93"/>
      <c r="F119" s="90"/>
      <c r="G119" s="90"/>
      <c r="H119" s="90"/>
      <c r="R119"/>
      <c r="S119">
        <v>1000000</v>
      </c>
      <c r="T119">
        <v>400000</v>
      </c>
      <c r="U119">
        <v>200000</v>
      </c>
      <c r="V119">
        <v>200000</v>
      </c>
    </row>
    <row r="120" spans="1:22" s="31" customFormat="1" hidden="1" x14ac:dyDescent="0.25">
      <c r="A120" s="93" t="s">
        <v>172</v>
      </c>
      <c r="B120" s="93"/>
      <c r="C120" s="93"/>
      <c r="D120" s="93"/>
      <c r="E120" s="93"/>
      <c r="F120" s="90"/>
      <c r="G120" s="90"/>
      <c r="H120" s="90"/>
      <c r="R120"/>
      <c r="S120">
        <v>1100000</v>
      </c>
      <c r="T120">
        <v>500000</v>
      </c>
      <c r="U120">
        <v>250000</v>
      </c>
      <c r="V120" s="21">
        <v>250000</v>
      </c>
    </row>
    <row r="121" spans="1:22" s="31" customFormat="1" x14ac:dyDescent="0.25">
      <c r="A121" s="93" t="s">
        <v>92</v>
      </c>
      <c r="B121" s="93"/>
      <c r="C121" s="93"/>
      <c r="D121" s="93"/>
      <c r="E121" s="93"/>
      <c r="F121" s="90">
        <v>100000</v>
      </c>
      <c r="G121" s="90"/>
      <c r="H121" s="90"/>
      <c r="R121"/>
      <c r="S121">
        <v>1200000</v>
      </c>
      <c r="T121">
        <v>600000</v>
      </c>
      <c r="U121">
        <v>300000</v>
      </c>
      <c r="V121">
        <v>300000</v>
      </c>
    </row>
    <row r="122" spans="1:22" s="31" customFormat="1" x14ac:dyDescent="0.25">
      <c r="A122" s="93" t="s">
        <v>93</v>
      </c>
      <c r="B122" s="93"/>
      <c r="C122" s="93"/>
      <c r="D122" s="93"/>
      <c r="E122" s="93"/>
      <c r="F122" s="90">
        <v>125000</v>
      </c>
      <c r="G122" s="90"/>
      <c r="H122" s="90"/>
      <c r="R122"/>
      <c r="S122">
        <v>1300000</v>
      </c>
      <c r="T122">
        <v>700000</v>
      </c>
      <c r="U122">
        <v>350000</v>
      </c>
      <c r="V122" s="21">
        <v>400000</v>
      </c>
    </row>
    <row r="123" spans="1:22" s="31" customFormat="1" hidden="1" x14ac:dyDescent="0.25">
      <c r="A123" s="93" t="s">
        <v>94</v>
      </c>
      <c r="B123" s="93"/>
      <c r="C123" s="93"/>
      <c r="D123" s="93"/>
      <c r="E123" s="93"/>
      <c r="F123" s="90"/>
      <c r="G123" s="90"/>
      <c r="H123" s="90"/>
      <c r="R123"/>
      <c r="S123">
        <v>1400000</v>
      </c>
      <c r="T123">
        <v>800000</v>
      </c>
      <c r="U123">
        <v>400000</v>
      </c>
      <c r="V123"/>
    </row>
    <row r="124" spans="1:22" s="31" customFormat="1" hidden="1" x14ac:dyDescent="0.25">
      <c r="A124" s="93" t="s">
        <v>95</v>
      </c>
      <c r="B124" s="93"/>
      <c r="C124" s="93"/>
      <c r="D124" s="93"/>
      <c r="E124" s="93"/>
      <c r="F124" s="90"/>
      <c r="G124" s="90"/>
      <c r="H124" s="90"/>
      <c r="R124"/>
      <c r="S124">
        <v>1500000</v>
      </c>
      <c r="T124">
        <v>900000</v>
      </c>
      <c r="U124">
        <v>500000</v>
      </c>
      <c r="V124" s="21"/>
    </row>
    <row r="125" spans="1:22" s="31" customFormat="1" x14ac:dyDescent="0.25">
      <c r="A125" s="93" t="s">
        <v>96</v>
      </c>
      <c r="B125" s="93"/>
      <c r="C125" s="93"/>
      <c r="D125" s="93"/>
      <c r="E125" s="93"/>
      <c r="F125" s="90">
        <v>25000</v>
      </c>
      <c r="G125" s="90"/>
      <c r="H125" s="90"/>
      <c r="R125"/>
      <c r="S125">
        <v>1600000</v>
      </c>
      <c r="T125">
        <v>1000000</v>
      </c>
      <c r="U125">
        <v>600000</v>
      </c>
      <c r="V125"/>
    </row>
    <row r="126" spans="1:22" s="31" customFormat="1" hidden="1" x14ac:dyDescent="0.25">
      <c r="A126" s="93" t="s">
        <v>97</v>
      </c>
      <c r="B126" s="93"/>
      <c r="C126" s="93"/>
      <c r="D126" s="93"/>
      <c r="E126" s="93"/>
      <c r="F126" s="90"/>
      <c r="G126" s="90"/>
      <c r="H126" s="90"/>
      <c r="R126"/>
      <c r="S126">
        <v>1700000</v>
      </c>
      <c r="T126"/>
      <c r="U126"/>
      <c r="V126" s="21"/>
    </row>
    <row r="127" spans="1:22" x14ac:dyDescent="0.25">
      <c r="A127" s="93" t="s">
        <v>49</v>
      </c>
      <c r="B127" s="93"/>
      <c r="C127" s="93"/>
      <c r="D127" s="93"/>
      <c r="E127" s="93"/>
      <c r="F127" s="169">
        <v>300000</v>
      </c>
      <c r="G127" s="169"/>
      <c r="H127" s="169"/>
      <c r="R127"/>
      <c r="S127">
        <v>1800000</v>
      </c>
      <c r="T127"/>
      <c r="U127"/>
    </row>
    <row r="128" spans="1:22" s="32" customFormat="1" x14ac:dyDescent="0.25">
      <c r="A128" s="170" t="s">
        <v>50</v>
      </c>
      <c r="B128" s="170"/>
      <c r="C128" s="170"/>
      <c r="D128" s="170"/>
      <c r="E128" s="170"/>
      <c r="F128" s="90">
        <f>F117*0.8</f>
        <v>4240</v>
      </c>
      <c r="G128" s="90"/>
      <c r="H128" s="90"/>
      <c r="R128" s="19"/>
      <c r="S128" s="19"/>
      <c r="T128"/>
      <c r="U128"/>
      <c r="V128" s="19"/>
    </row>
    <row r="129" spans="1:22" s="33" customFormat="1" ht="15.75" customHeight="1" x14ac:dyDescent="0.25">
      <c r="A129" s="168" t="s">
        <v>72</v>
      </c>
      <c r="B129" s="168"/>
      <c r="C129" s="168"/>
      <c r="D129" s="168"/>
      <c r="E129" s="168"/>
      <c r="F129" s="168"/>
      <c r="G129" s="168"/>
      <c r="H129" s="168"/>
      <c r="R129"/>
      <c r="S129" s="19"/>
      <c r="T129"/>
      <c r="U129"/>
      <c r="V129" s="19"/>
    </row>
    <row r="130" spans="1:22" s="33" customFormat="1" ht="15.75" customHeight="1" x14ac:dyDescent="0.25">
      <c r="A130" s="92" t="s">
        <v>51</v>
      </c>
      <c r="B130" s="92"/>
      <c r="C130" s="98" t="s">
        <v>75</v>
      </c>
      <c r="D130" s="98"/>
      <c r="E130" s="97" t="s">
        <v>52</v>
      </c>
      <c r="F130" s="97"/>
      <c r="G130" s="92" t="s">
        <v>53</v>
      </c>
      <c r="H130" s="92"/>
      <c r="R130"/>
      <c r="S130" s="19"/>
      <c r="T130"/>
      <c r="U130" s="19"/>
      <c r="V130" s="19"/>
    </row>
    <row r="131" spans="1:22" s="33" customFormat="1" x14ac:dyDescent="0.25">
      <c r="A131" s="171" t="s">
        <v>322</v>
      </c>
      <c r="B131" s="171"/>
      <c r="C131" s="215">
        <f>COUNT(F146:F151)</f>
        <v>6</v>
      </c>
      <c r="D131" s="227"/>
      <c r="E131" s="138">
        <f>SUM(F146:F151)</f>
        <v>2096.3966399999999</v>
      </c>
      <c r="F131" s="138"/>
      <c r="G131" s="138">
        <f>SUM(H146:H151)</f>
        <v>4530</v>
      </c>
      <c r="H131" s="138"/>
      <c r="R131"/>
      <c r="S131" s="19"/>
      <c r="T131"/>
      <c r="U131" s="19"/>
      <c r="V131" s="19"/>
    </row>
    <row r="132" spans="1:22" s="33" customFormat="1" x14ac:dyDescent="0.25">
      <c r="A132" s="168" t="s">
        <v>146</v>
      </c>
      <c r="B132" s="168"/>
      <c r="C132" s="98">
        <f t="shared" ref="C132:G132" si="0">SUM(C131)</f>
        <v>6</v>
      </c>
      <c r="D132" s="98"/>
      <c r="E132" s="241">
        <f t="shared" si="0"/>
        <v>2096.3966399999999</v>
      </c>
      <c r="F132" s="241"/>
      <c r="G132" s="92">
        <f t="shared" si="0"/>
        <v>4530</v>
      </c>
      <c r="H132" s="92"/>
      <c r="R132"/>
      <c r="S132" s="19"/>
      <c r="T132"/>
      <c r="U132" s="19"/>
      <c r="V132" s="19"/>
    </row>
    <row r="133" spans="1:22" s="33" customFormat="1" x14ac:dyDescent="0.25">
      <c r="A133" s="168" t="s">
        <v>67</v>
      </c>
      <c r="B133" s="168"/>
      <c r="C133" s="168"/>
      <c r="D133" s="168"/>
      <c r="E133" s="168"/>
      <c r="F133" s="168"/>
      <c r="G133" s="168"/>
      <c r="H133" s="168"/>
      <c r="T133"/>
    </row>
    <row r="134" spans="1:22" s="33" customFormat="1" ht="15.75" customHeight="1" x14ac:dyDescent="0.25">
      <c r="A134" s="92" t="s">
        <v>51</v>
      </c>
      <c r="B134" s="92"/>
      <c r="C134" s="98" t="s">
        <v>75</v>
      </c>
      <c r="D134" s="98"/>
      <c r="E134" s="97" t="s">
        <v>52</v>
      </c>
      <c r="F134" s="97"/>
      <c r="G134" s="92" t="s">
        <v>53</v>
      </c>
      <c r="H134" s="92"/>
      <c r="T134"/>
    </row>
    <row r="135" spans="1:22" s="33" customFormat="1" x14ac:dyDescent="0.25">
      <c r="A135" s="171" t="s">
        <v>322</v>
      </c>
      <c r="B135" s="171"/>
      <c r="C135" s="215">
        <f>COUNT(F157:F163)+COUNT(F165:F171)*10+COUNT(F173:F178)</f>
        <v>83</v>
      </c>
      <c r="D135" s="215"/>
      <c r="E135" s="138">
        <f>SUM(F157:F163)+SUM(F165:F171)*10+SUM(F173:F178)</f>
        <v>58323.065580000002</v>
      </c>
      <c r="F135" s="138"/>
      <c r="G135" s="138">
        <f>SUM(H157:H163)+SUM(H165:H171)*10+SUM(H173:H178)</f>
        <v>87365</v>
      </c>
      <c r="H135" s="138"/>
      <c r="T135"/>
    </row>
    <row r="136" spans="1:22" s="33" customFormat="1" x14ac:dyDescent="0.25">
      <c r="A136" s="171" t="s">
        <v>331</v>
      </c>
      <c r="B136" s="171"/>
      <c r="C136" s="215">
        <f>COUNT(F184:F190)+COUNT(F192:F198)*10+COUNT(F200,F202:F206)</f>
        <v>83</v>
      </c>
      <c r="D136" s="215"/>
      <c r="E136" s="138">
        <f>SUM(F184:F190)+SUM(F192:F198)*10+SUM(F200,F202:F206)</f>
        <v>57383.36838</v>
      </c>
      <c r="F136" s="138"/>
      <c r="G136" s="138">
        <f>SUM(H184:H190)+SUM(H192:H198)*10+SUM(H200,H202:H206)</f>
        <v>85525</v>
      </c>
      <c r="H136" s="138"/>
    </row>
    <row r="137" spans="1:22" s="33" customFormat="1" ht="16.5" thickBot="1" x14ac:dyDescent="0.3">
      <c r="A137" s="237" t="s">
        <v>146</v>
      </c>
      <c r="B137" s="237"/>
      <c r="C137" s="139">
        <f>SUM(C135:C136)</f>
        <v>166</v>
      </c>
      <c r="D137" s="140"/>
      <c r="E137" s="238">
        <f>SUM(E135:E136)</f>
        <v>115706.43395999999</v>
      </c>
      <c r="F137" s="239"/>
      <c r="G137" s="240">
        <f>SUM(G135:G136)</f>
        <v>172890</v>
      </c>
      <c r="H137" s="240"/>
    </row>
    <row r="138" spans="1:22" s="33" customFormat="1" ht="16.5" thickBot="1" x14ac:dyDescent="0.3">
      <c r="A138" s="150" t="s">
        <v>163</v>
      </c>
      <c r="B138" s="151"/>
      <c r="C138" s="235">
        <f>C132+C137</f>
        <v>172</v>
      </c>
      <c r="D138" s="235"/>
      <c r="E138" s="236">
        <f>E132+E137</f>
        <v>117802.8306</v>
      </c>
      <c r="F138" s="236"/>
      <c r="G138" s="228">
        <f>G132+G137</f>
        <v>177420</v>
      </c>
      <c r="H138" s="229"/>
    </row>
    <row r="139" spans="1:22" s="32" customFormat="1" x14ac:dyDescent="0.25">
      <c r="A139" s="234" t="s">
        <v>54</v>
      </c>
      <c r="B139" s="234"/>
      <c r="C139" s="234"/>
      <c r="D139" s="234"/>
      <c r="E139" s="234"/>
      <c r="F139" s="234"/>
      <c r="G139" s="234"/>
      <c r="H139" s="234"/>
      <c r="T139" s="33"/>
    </row>
    <row r="140" spans="1:22" x14ac:dyDescent="0.25">
      <c r="A140" s="91" t="s">
        <v>171</v>
      </c>
      <c r="B140" s="91"/>
      <c r="C140" s="91"/>
      <c r="D140" s="91"/>
      <c r="E140" s="91"/>
      <c r="F140" s="91"/>
      <c r="G140" s="91"/>
      <c r="H140" s="91"/>
      <c r="I140" s="74">
        <v>10.763999999999999</v>
      </c>
      <c r="T140" s="33"/>
    </row>
    <row r="141" spans="1:22" ht="47.25" customHeight="1" x14ac:dyDescent="0.25">
      <c r="A141" s="136" t="s">
        <v>117</v>
      </c>
      <c r="B141" s="136" t="s">
        <v>173</v>
      </c>
      <c r="C141" s="136" t="s">
        <v>55</v>
      </c>
      <c r="D141" s="136" t="s">
        <v>229</v>
      </c>
      <c r="E141" s="216" t="s">
        <v>152</v>
      </c>
      <c r="F141" s="136" t="s">
        <v>56</v>
      </c>
      <c r="G141" s="216" t="s">
        <v>57</v>
      </c>
      <c r="H141" s="66" t="s">
        <v>336</v>
      </c>
      <c r="T141" s="33"/>
    </row>
    <row r="142" spans="1:22" s="35" customFormat="1" hidden="1" x14ac:dyDescent="0.25">
      <c r="A142" s="137"/>
      <c r="B142" s="137"/>
      <c r="C142" s="137"/>
      <c r="D142" s="137"/>
      <c r="E142" s="217"/>
      <c r="F142" s="137"/>
      <c r="G142" s="217"/>
      <c r="H142" s="73">
        <v>0.55000000000000004</v>
      </c>
      <c r="T142" s="32"/>
    </row>
    <row r="143" spans="1:22" s="68" customFormat="1" x14ac:dyDescent="0.25">
      <c r="A143" s="82" t="s">
        <v>322</v>
      </c>
      <c r="B143" s="83"/>
      <c r="C143" s="83"/>
      <c r="D143" s="83"/>
      <c r="E143" s="83"/>
      <c r="F143" s="83"/>
      <c r="G143" s="83"/>
      <c r="H143" s="84"/>
      <c r="T143" s="32"/>
    </row>
    <row r="144" spans="1:22" s="68" customFormat="1" x14ac:dyDescent="0.25">
      <c r="A144" s="82" t="s">
        <v>332</v>
      </c>
      <c r="B144" s="83"/>
      <c r="C144" s="83"/>
      <c r="D144" s="83"/>
      <c r="E144" s="83"/>
      <c r="F144" s="83"/>
      <c r="G144" s="83"/>
      <c r="H144" s="84"/>
      <c r="T144" s="32"/>
    </row>
    <row r="145" spans="1:20" s="35" customFormat="1" x14ac:dyDescent="0.25">
      <c r="A145" s="82" t="s">
        <v>323</v>
      </c>
      <c r="B145" s="83"/>
      <c r="C145" s="83"/>
      <c r="D145" s="83"/>
      <c r="E145" s="83"/>
      <c r="F145" s="83"/>
      <c r="G145" s="83"/>
      <c r="H145" s="84"/>
      <c r="J145" s="34"/>
      <c r="T145" s="19"/>
    </row>
    <row r="146" spans="1:20" s="35" customFormat="1" ht="15.75" customHeight="1" x14ac:dyDescent="0.25">
      <c r="A146" s="85">
        <v>1</v>
      </c>
      <c r="B146" s="86"/>
      <c r="C146" s="40" t="s">
        <v>324</v>
      </c>
      <c r="D146" s="74">
        <f>(32.37)*10.764</f>
        <v>348.43067999999994</v>
      </c>
      <c r="E146" s="40">
        <v>0</v>
      </c>
      <c r="F146" s="62">
        <f>D146+(IF(E146&lt;201,E146,IF(E146&lt;301,E146/2,E146/3)))</f>
        <v>348.43067999999994</v>
      </c>
      <c r="G146" s="63">
        <v>0</v>
      </c>
      <c r="H146" s="62">
        <v>755</v>
      </c>
      <c r="I146" s="34">
        <f>3.03*9.7+1.42*1+1.5*0.9</f>
        <v>32.160999999999994</v>
      </c>
      <c r="J146" s="35">
        <f>755/F146</f>
        <v>2.1668585556243216</v>
      </c>
      <c r="K146" s="35">
        <f>H146/F146</f>
        <v>2.1668585556243216</v>
      </c>
      <c r="L146" s="214"/>
      <c r="M146" s="214"/>
      <c r="N146" s="34"/>
      <c r="T146" s="19"/>
    </row>
    <row r="147" spans="1:20" s="35" customFormat="1" ht="15.75" customHeight="1" x14ac:dyDescent="0.25">
      <c r="A147" s="85">
        <f>A146+1</f>
        <v>2</v>
      </c>
      <c r="B147" s="86"/>
      <c r="C147" s="65" t="s">
        <v>324</v>
      </c>
      <c r="D147" s="74">
        <f>(32.37)*10.764</f>
        <v>348.43067999999994</v>
      </c>
      <c r="E147" s="40">
        <v>0</v>
      </c>
      <c r="F147" s="62">
        <f t="shared" ref="F147:F149" si="1">D147+(IF(E147&lt;201,E147,IF(E147&lt;301,E147/2,E147/3)))</f>
        <v>348.43067999999994</v>
      </c>
      <c r="G147" s="53">
        <v>0</v>
      </c>
      <c r="H147" s="65">
        <v>755</v>
      </c>
      <c r="I147" s="34"/>
      <c r="J147" s="68">
        <f>755/F147</f>
        <v>2.1668585556243216</v>
      </c>
      <c r="K147" s="77">
        <f t="shared" ref="K147:K151" si="2">H147/F147</f>
        <v>2.1668585556243216</v>
      </c>
      <c r="L147" s="214"/>
      <c r="M147" s="214"/>
      <c r="N147" s="34"/>
    </row>
    <row r="148" spans="1:20" s="35" customFormat="1" ht="15.75" customHeight="1" x14ac:dyDescent="0.25">
      <c r="A148" s="85">
        <f>A147+1</f>
        <v>3</v>
      </c>
      <c r="B148" s="86"/>
      <c r="C148" s="65" t="s">
        <v>324</v>
      </c>
      <c r="D148" s="74">
        <f>(32.64)*10.764</f>
        <v>351.33695999999998</v>
      </c>
      <c r="E148" s="40">
        <v>0</v>
      </c>
      <c r="F148" s="62">
        <f t="shared" si="1"/>
        <v>351.33695999999998</v>
      </c>
      <c r="G148" s="53">
        <v>0</v>
      </c>
      <c r="H148" s="65">
        <v>755</v>
      </c>
      <c r="I148" s="34"/>
      <c r="K148" s="77">
        <f t="shared" si="2"/>
        <v>2.1489341741899288</v>
      </c>
      <c r="L148" s="214"/>
      <c r="M148" s="214"/>
      <c r="N148" s="34"/>
    </row>
    <row r="149" spans="1:20" s="35" customFormat="1" ht="15.75" customHeight="1" x14ac:dyDescent="0.25">
      <c r="A149" s="85">
        <f>A148+1</f>
        <v>4</v>
      </c>
      <c r="B149" s="86"/>
      <c r="C149" s="65" t="s">
        <v>324</v>
      </c>
      <c r="D149" s="74">
        <f>(32.64)*10.764</f>
        <v>351.33695999999998</v>
      </c>
      <c r="E149" s="40">
        <v>0</v>
      </c>
      <c r="F149" s="62">
        <f t="shared" si="1"/>
        <v>351.33695999999998</v>
      </c>
      <c r="G149" s="53">
        <v>0</v>
      </c>
      <c r="H149" s="65">
        <v>755</v>
      </c>
      <c r="I149" s="34"/>
      <c r="K149" s="77">
        <f t="shared" si="2"/>
        <v>2.1489341741899288</v>
      </c>
      <c r="L149" s="214"/>
      <c r="M149" s="214"/>
      <c r="N149" s="34"/>
    </row>
    <row r="150" spans="1:20" s="68" customFormat="1" ht="15.75" customHeight="1" x14ac:dyDescent="0.25">
      <c r="A150" s="85">
        <f>A149+1</f>
        <v>5</v>
      </c>
      <c r="B150" s="86"/>
      <c r="C150" s="65" t="s">
        <v>324</v>
      </c>
      <c r="D150" s="74">
        <f>(32.37)*10.764</f>
        <v>348.43067999999994</v>
      </c>
      <c r="E150" s="65">
        <v>0</v>
      </c>
      <c r="F150" s="65">
        <f t="shared" ref="F150" si="3">D150+(IF(E150&lt;201,E150,IF(E150&lt;301,E150/2,E150/3)))</f>
        <v>348.43067999999994</v>
      </c>
      <c r="G150" s="65">
        <v>0</v>
      </c>
      <c r="H150" s="65">
        <v>755</v>
      </c>
      <c r="I150" s="34"/>
      <c r="K150" s="77">
        <f t="shared" si="2"/>
        <v>2.1668585556243216</v>
      </c>
      <c r="N150" s="34"/>
    </row>
    <row r="151" spans="1:20" s="68" customFormat="1" ht="15.75" customHeight="1" x14ac:dyDescent="0.25">
      <c r="A151" s="85">
        <f>A150+1</f>
        <v>6</v>
      </c>
      <c r="B151" s="86"/>
      <c r="C151" s="65" t="s">
        <v>324</v>
      </c>
      <c r="D151" s="74">
        <f>(32.37)*10.764</f>
        <v>348.43067999999994</v>
      </c>
      <c r="E151" s="65">
        <v>0</v>
      </c>
      <c r="F151" s="65">
        <f t="shared" ref="F151" si="4">D151+(IF(E151&lt;201,E151,IF(E151&lt;301,E151/2,E151/3)))</f>
        <v>348.43067999999994</v>
      </c>
      <c r="G151" s="65">
        <v>0</v>
      </c>
      <c r="H151" s="65">
        <v>755</v>
      </c>
      <c r="I151" s="34"/>
      <c r="K151" s="77">
        <f t="shared" si="2"/>
        <v>2.1668585556243216</v>
      </c>
      <c r="N151" s="34"/>
    </row>
    <row r="152" spans="1:20" s="35" customFormat="1" x14ac:dyDescent="0.25">
      <c r="A152" s="85"/>
      <c r="B152" s="87"/>
      <c r="C152" s="87"/>
      <c r="D152" s="87"/>
      <c r="E152" s="87"/>
      <c r="F152" s="87"/>
      <c r="G152" s="87"/>
      <c r="H152" s="86"/>
      <c r="I152" s="34"/>
      <c r="N152" s="34"/>
    </row>
    <row r="153" spans="1:20" ht="47.25" customHeight="1" x14ac:dyDescent="0.25">
      <c r="A153" s="242" t="s">
        <v>118</v>
      </c>
      <c r="B153" s="136" t="s">
        <v>174</v>
      </c>
      <c r="C153" s="136" t="s">
        <v>55</v>
      </c>
      <c r="D153" s="136" t="s">
        <v>229</v>
      </c>
      <c r="E153" s="136" t="s">
        <v>344</v>
      </c>
      <c r="F153" s="136" t="s">
        <v>56</v>
      </c>
      <c r="G153" s="216" t="s">
        <v>57</v>
      </c>
      <c r="H153" s="54" t="s">
        <v>336</v>
      </c>
      <c r="I153" s="34"/>
      <c r="T153" s="35"/>
    </row>
    <row r="154" spans="1:20" s="35" customFormat="1" hidden="1" x14ac:dyDescent="0.25">
      <c r="A154" s="243"/>
      <c r="B154" s="137"/>
      <c r="C154" s="137"/>
      <c r="D154" s="137"/>
      <c r="E154" s="137"/>
      <c r="F154" s="137"/>
      <c r="G154" s="217"/>
      <c r="H154" s="73">
        <v>0.5</v>
      </c>
      <c r="I154" s="34"/>
    </row>
    <row r="155" spans="1:20" s="68" customFormat="1" x14ac:dyDescent="0.25">
      <c r="A155" s="82" t="s">
        <v>322</v>
      </c>
      <c r="B155" s="83"/>
      <c r="C155" s="83"/>
      <c r="D155" s="83"/>
      <c r="E155" s="83"/>
      <c r="F155" s="83"/>
      <c r="G155" s="83"/>
      <c r="H155" s="84"/>
      <c r="I155" s="34"/>
    </row>
    <row r="156" spans="1:20" s="35" customFormat="1" x14ac:dyDescent="0.25">
      <c r="A156" s="82" t="s">
        <v>325</v>
      </c>
      <c r="B156" s="83"/>
      <c r="C156" s="83"/>
      <c r="D156" s="83"/>
      <c r="E156" s="83"/>
      <c r="F156" s="83"/>
      <c r="G156" s="83"/>
      <c r="H156" s="84"/>
      <c r="J156" s="80">
        <v>10.763999999999999</v>
      </c>
    </row>
    <row r="157" spans="1:20" s="35" customFormat="1" ht="15.75" customHeight="1" x14ac:dyDescent="0.25">
      <c r="A157" s="85">
        <v>1</v>
      </c>
      <c r="B157" s="86"/>
      <c r="C157" s="40" t="s">
        <v>326</v>
      </c>
      <c r="D157" s="74">
        <f>(50.9)*10.764</f>
        <v>547.88759999999991</v>
      </c>
      <c r="E157" s="80">
        <f>(0.75*(8.15+2.75))*10.764</f>
        <v>87.995699999999999</v>
      </c>
      <c r="F157" s="40">
        <f t="shared" ref="F157:F163" si="5">D157+E157</f>
        <v>635.88329999999996</v>
      </c>
      <c r="G157" s="53">
        <v>0</v>
      </c>
      <c r="H157" s="53">
        <v>940</v>
      </c>
      <c r="I157" s="34">
        <f>4.6*2.75+3.2*1+2.75*2.15+2.75*2.75+3.75*2.85+2.1*1.2+1.8*1.2+3*0.9+1.4*1.2</f>
        <v>49.072499999999998</v>
      </c>
      <c r="K157" s="35">
        <f>940/F157</f>
        <v>1.4782586679033716</v>
      </c>
      <c r="L157" s="214"/>
      <c r="M157" s="214"/>
      <c r="N157" s="34"/>
      <c r="T157" s="19"/>
    </row>
    <row r="158" spans="1:20" s="35" customFormat="1" ht="15.75" customHeight="1" x14ac:dyDescent="0.25">
      <c r="A158" s="85">
        <f>A157+1</f>
        <v>2</v>
      </c>
      <c r="B158" s="86"/>
      <c r="C158" s="65" t="s">
        <v>327</v>
      </c>
      <c r="D158" s="74">
        <f>(70.21)*10.764</f>
        <v>755.74043999999992</v>
      </c>
      <c r="E158" s="74">
        <f>(2.7+0.75*1.7)*10.764</f>
        <v>42.786899999999996</v>
      </c>
      <c r="F158" s="53">
        <f t="shared" si="5"/>
        <v>798.52733999999987</v>
      </c>
      <c r="G158" s="74">
        <f>(0.8*2.45+3.8*1.5+3.05*2.4+3.2*1.3+3.3*0.8)*10.764</f>
        <v>234.43992</v>
      </c>
      <c r="H158" s="53">
        <v>1460</v>
      </c>
      <c r="I158" s="34">
        <f>3.05*5.5+1.2*0.9+2.45*2.45+3.55*3.05+3.05*3.65+3*3.05+2.05*1.2+2.1*1.2*2+4.1*0.9+3.2*0.3</f>
        <v>67.117499999999993</v>
      </c>
      <c r="K158" s="35">
        <f>1460/F158</f>
        <v>1.8283657012920813</v>
      </c>
      <c r="L158" s="214">
        <f>(0.6*3+3.05*1.65)*10.764</f>
        <v>73.545029999999997</v>
      </c>
      <c r="M158" s="214"/>
      <c r="N158" s="34"/>
    </row>
    <row r="159" spans="1:20" s="35" customFormat="1" ht="15.75" customHeight="1" x14ac:dyDescent="0.25">
      <c r="A159" s="85">
        <f>A158+1</f>
        <v>3</v>
      </c>
      <c r="B159" s="86"/>
      <c r="C159" s="65" t="s">
        <v>327</v>
      </c>
      <c r="D159" s="74">
        <f>(70.21)*10.764</f>
        <v>755.74043999999992</v>
      </c>
      <c r="E159" s="74">
        <f>(2.7+0.75*1.7)*10.764</f>
        <v>42.786899999999996</v>
      </c>
      <c r="F159" s="53">
        <f t="shared" si="5"/>
        <v>798.52733999999987</v>
      </c>
      <c r="G159" s="74">
        <f>(0.8*2.45+3.8*1.5+3.05*2.4+3.2*1.3+3.3*0.8)*10.764</f>
        <v>234.43992</v>
      </c>
      <c r="H159" s="53">
        <v>1460</v>
      </c>
      <c r="I159" s="34"/>
      <c r="K159" s="68">
        <f>1460/F159</f>
        <v>1.8283657012920813</v>
      </c>
      <c r="L159" s="214"/>
      <c r="M159" s="214"/>
      <c r="N159" s="34"/>
    </row>
    <row r="160" spans="1:20" s="35" customFormat="1" ht="15.75" customHeight="1" x14ac:dyDescent="0.25">
      <c r="A160" s="85">
        <f>A159+1</f>
        <v>4</v>
      </c>
      <c r="B160" s="86"/>
      <c r="C160" s="65" t="s">
        <v>326</v>
      </c>
      <c r="D160" s="74">
        <f>(50.9)*10.764</f>
        <v>547.88759999999991</v>
      </c>
      <c r="E160" s="80">
        <f>(0.75*(8.15+2.75))*10.764</f>
        <v>87.995699999999999</v>
      </c>
      <c r="F160" s="53">
        <f t="shared" si="5"/>
        <v>635.88329999999996</v>
      </c>
      <c r="G160" s="53">
        <v>0</v>
      </c>
      <c r="H160" s="53">
        <v>940</v>
      </c>
      <c r="I160" s="34"/>
      <c r="K160" s="68">
        <f>940/F160</f>
        <v>1.4782586679033716</v>
      </c>
      <c r="L160" s="214"/>
      <c r="M160" s="214"/>
      <c r="N160" s="34"/>
    </row>
    <row r="161" spans="1:14" s="35" customFormat="1" x14ac:dyDescent="0.25">
      <c r="A161" s="85">
        <f>A160+1</f>
        <v>5</v>
      </c>
      <c r="B161" s="86"/>
      <c r="C161" s="65" t="s">
        <v>326</v>
      </c>
      <c r="D161" s="74">
        <f>(48.11)*10.764</f>
        <v>517.85604000000001</v>
      </c>
      <c r="E161" s="80">
        <f>(0.75*(8.15+2.75))*10.764</f>
        <v>87.995699999999999</v>
      </c>
      <c r="F161" s="65">
        <f t="shared" si="5"/>
        <v>605.85174000000006</v>
      </c>
      <c r="G161" s="65">
        <v>0</v>
      </c>
      <c r="H161" s="65">
        <v>890</v>
      </c>
      <c r="I161" s="34"/>
      <c r="K161" s="35">
        <f>935/F162</f>
        <v>1.4799151456225426</v>
      </c>
      <c r="L161" s="214"/>
      <c r="M161" s="214"/>
    </row>
    <row r="162" spans="1:14" s="35" customFormat="1" x14ac:dyDescent="0.25">
      <c r="A162" s="81">
        <v>6</v>
      </c>
      <c r="B162" s="81"/>
      <c r="C162" s="65" t="s">
        <v>326</v>
      </c>
      <c r="D162" s="74">
        <f>(50.52)*10.764</f>
        <v>543.79728</v>
      </c>
      <c r="E162" s="80">
        <f>(0.75*(8.15+2.75))*10.764</f>
        <v>87.995699999999999</v>
      </c>
      <c r="F162" s="53">
        <f t="shared" si="5"/>
        <v>631.79297999999994</v>
      </c>
      <c r="G162" s="53">
        <v>0</v>
      </c>
      <c r="H162" s="53">
        <v>935</v>
      </c>
      <c r="I162" s="34"/>
      <c r="N162" s="34"/>
    </row>
    <row r="163" spans="1:14" s="35" customFormat="1" x14ac:dyDescent="0.25">
      <c r="A163" s="81">
        <f>A162+1</f>
        <v>7</v>
      </c>
      <c r="B163" s="81"/>
      <c r="C163" s="65" t="s">
        <v>326</v>
      </c>
      <c r="D163" s="74">
        <f>(50.52)*10.764</f>
        <v>543.79728</v>
      </c>
      <c r="E163" s="80">
        <f>(0.75*(8.15+2.75))*10.764</f>
        <v>87.995699999999999</v>
      </c>
      <c r="F163" s="53">
        <f t="shared" si="5"/>
        <v>631.79297999999994</v>
      </c>
      <c r="G163" s="53">
        <v>0</v>
      </c>
      <c r="H163" s="53">
        <v>935</v>
      </c>
      <c r="I163" s="34"/>
      <c r="N163" s="34"/>
    </row>
    <row r="164" spans="1:14" s="35" customFormat="1" ht="15.75" customHeight="1" x14ac:dyDescent="0.25">
      <c r="A164" s="82" t="s">
        <v>328</v>
      </c>
      <c r="B164" s="83"/>
      <c r="C164" s="83"/>
      <c r="D164" s="83"/>
      <c r="E164" s="83"/>
      <c r="F164" s="83"/>
      <c r="G164" s="83"/>
      <c r="H164" s="84"/>
      <c r="I164" s="34"/>
      <c r="N164" s="34"/>
    </row>
    <row r="165" spans="1:14" s="35" customFormat="1" x14ac:dyDescent="0.25">
      <c r="A165" s="85">
        <v>1</v>
      </c>
      <c r="B165" s="86"/>
      <c r="C165" s="65" t="s">
        <v>326</v>
      </c>
      <c r="D165" s="74">
        <f>(50.9)*10.764</f>
        <v>547.88759999999991</v>
      </c>
      <c r="E165" s="80">
        <f>(0.75*(8.15+2.75))*10.764</f>
        <v>87.995699999999999</v>
      </c>
      <c r="F165" s="65">
        <f t="shared" ref="F165:F171" si="6">D165+E165</f>
        <v>635.88329999999996</v>
      </c>
      <c r="G165" s="65">
        <v>0</v>
      </c>
      <c r="H165" s="65">
        <v>940</v>
      </c>
      <c r="I165" s="34"/>
      <c r="J165" s="34">
        <f>6400000/H165</f>
        <v>6808.510638297872</v>
      </c>
      <c r="K165" s="75">
        <f>940/F165</f>
        <v>1.4782586679033716</v>
      </c>
      <c r="L165" s="35">
        <f>H165/F165</f>
        <v>1.4782586679033716</v>
      </c>
      <c r="N165" s="34"/>
    </row>
    <row r="166" spans="1:14" s="35" customFormat="1" x14ac:dyDescent="0.25">
      <c r="A166" s="85">
        <f>A165+1</f>
        <v>2</v>
      </c>
      <c r="B166" s="86"/>
      <c r="C166" s="65" t="s">
        <v>327</v>
      </c>
      <c r="D166" s="74">
        <f>(70.21)*10.764</f>
        <v>755.74043999999992</v>
      </c>
      <c r="E166" s="80">
        <f>(0.75*(3.05+3+3.05+2.7+1.7)+2.7)*10.764</f>
        <v>138.04829999999998</v>
      </c>
      <c r="F166" s="65">
        <f t="shared" si="6"/>
        <v>893.78873999999996</v>
      </c>
      <c r="G166" s="65">
        <v>0</v>
      </c>
      <c r="H166" s="65">
        <v>1350</v>
      </c>
      <c r="I166" s="34"/>
      <c r="J166" s="34">
        <f t="shared" ref="J166:J171" si="7">6400000/H166</f>
        <v>4740.7407407407409</v>
      </c>
      <c r="K166" s="75">
        <f>1305/F166</f>
        <v>1.4600765724571558</v>
      </c>
      <c r="L166" s="77">
        <f t="shared" ref="L166:L171" si="8">H166/F166</f>
        <v>1.5104240404729199</v>
      </c>
      <c r="N166" s="34"/>
    </row>
    <row r="167" spans="1:14" s="35" customFormat="1" ht="15.75" customHeight="1" x14ac:dyDescent="0.25">
      <c r="A167" s="85">
        <f>A166+1</f>
        <v>3</v>
      </c>
      <c r="B167" s="86"/>
      <c r="C167" s="65" t="s">
        <v>327</v>
      </c>
      <c r="D167" s="74">
        <f>(70.21)*10.764</f>
        <v>755.74043999999992</v>
      </c>
      <c r="E167" s="80">
        <f>(0.75*(3.05+3+3.05+2.7+1.7)+2.7)*10.764</f>
        <v>138.04829999999998</v>
      </c>
      <c r="F167" s="65">
        <f t="shared" si="6"/>
        <v>893.78873999999996</v>
      </c>
      <c r="G167" s="65">
        <v>0</v>
      </c>
      <c r="H167" s="65">
        <v>1350</v>
      </c>
      <c r="I167" s="34"/>
      <c r="J167" s="34">
        <f t="shared" si="7"/>
        <v>4740.7407407407409</v>
      </c>
      <c r="K167" s="75">
        <f>1305/F167</f>
        <v>1.4600765724571558</v>
      </c>
      <c r="L167" s="77">
        <f t="shared" si="8"/>
        <v>1.5104240404729199</v>
      </c>
    </row>
    <row r="168" spans="1:14" s="35" customFormat="1" ht="15.75" customHeight="1" x14ac:dyDescent="0.25">
      <c r="A168" s="85">
        <f>A167+1</f>
        <v>4</v>
      </c>
      <c r="B168" s="86"/>
      <c r="C168" s="65" t="s">
        <v>326</v>
      </c>
      <c r="D168" s="74">
        <f>(50.9)*10.764</f>
        <v>547.88759999999991</v>
      </c>
      <c r="E168" s="80">
        <f>(0.75*(8.15+2.75))*10.764</f>
        <v>87.995699999999999</v>
      </c>
      <c r="F168" s="65">
        <f t="shared" si="6"/>
        <v>635.88329999999996</v>
      </c>
      <c r="G168" s="65">
        <v>0</v>
      </c>
      <c r="H168" s="65">
        <v>940</v>
      </c>
      <c r="I168" s="34"/>
      <c r="J168" s="34">
        <f t="shared" si="7"/>
        <v>6808.510638297872</v>
      </c>
      <c r="K168" s="75">
        <f>940/F168</f>
        <v>1.4782586679033716</v>
      </c>
      <c r="L168" s="77">
        <f t="shared" si="8"/>
        <v>1.4782586679033716</v>
      </c>
    </row>
    <row r="169" spans="1:14" s="35" customFormat="1" ht="15.75" customHeight="1" x14ac:dyDescent="0.25">
      <c r="A169" s="85">
        <f>A168+1</f>
        <v>5</v>
      </c>
      <c r="B169" s="86"/>
      <c r="C169" s="65" t="s">
        <v>326</v>
      </c>
      <c r="D169" s="74">
        <f>(48.11)*10.764</f>
        <v>517.85604000000001</v>
      </c>
      <c r="E169" s="80">
        <f>(0.75*(8.15+2.75))*10.764</f>
        <v>87.995699999999999</v>
      </c>
      <c r="F169" s="65">
        <f t="shared" si="6"/>
        <v>605.85174000000006</v>
      </c>
      <c r="G169" s="65">
        <v>0</v>
      </c>
      <c r="H169" s="65">
        <v>890</v>
      </c>
      <c r="I169" s="34"/>
      <c r="J169" s="34">
        <f t="shared" si="7"/>
        <v>7191.0112359550558</v>
      </c>
      <c r="K169" s="75">
        <f>890/F169</f>
        <v>1.4690062621591216</v>
      </c>
      <c r="L169" s="77">
        <f t="shared" si="8"/>
        <v>1.4690062621591216</v>
      </c>
    </row>
    <row r="170" spans="1:14" s="35" customFormat="1" ht="15.75" customHeight="1" x14ac:dyDescent="0.25">
      <c r="A170" s="81">
        <v>6</v>
      </c>
      <c r="B170" s="81"/>
      <c r="C170" s="65" t="s">
        <v>326</v>
      </c>
      <c r="D170" s="74">
        <f>(50.52)*10.764</f>
        <v>543.79728</v>
      </c>
      <c r="E170" s="80">
        <f>(0.75*(8.15+2.75))*10.764</f>
        <v>87.995699999999999</v>
      </c>
      <c r="F170" s="65">
        <f t="shared" si="6"/>
        <v>631.79297999999994</v>
      </c>
      <c r="G170" s="65">
        <v>0</v>
      </c>
      <c r="H170" s="65">
        <v>935</v>
      </c>
      <c r="I170" s="34"/>
      <c r="J170" s="34">
        <f t="shared" si="7"/>
        <v>6844.9197860962568</v>
      </c>
      <c r="K170" s="75">
        <f>935/F170</f>
        <v>1.4799151456225426</v>
      </c>
      <c r="L170" s="77">
        <f t="shared" si="8"/>
        <v>1.4799151456225426</v>
      </c>
    </row>
    <row r="171" spans="1:14" s="35" customFormat="1" ht="15.75" customHeight="1" x14ac:dyDescent="0.25">
      <c r="A171" s="81">
        <f>A170+1</f>
        <v>7</v>
      </c>
      <c r="B171" s="81"/>
      <c r="C171" s="65" t="s">
        <v>326</v>
      </c>
      <c r="D171" s="74">
        <f>(50.52)*10.764</f>
        <v>543.79728</v>
      </c>
      <c r="E171" s="80">
        <f>(0.75*(8.15+2.75))*10.764</f>
        <v>87.995699999999999</v>
      </c>
      <c r="F171" s="65">
        <f t="shared" si="6"/>
        <v>631.79297999999994</v>
      </c>
      <c r="G171" s="65">
        <v>0</v>
      </c>
      <c r="H171" s="65">
        <v>935</v>
      </c>
      <c r="I171" s="34"/>
      <c r="J171" s="34">
        <f t="shared" si="7"/>
        <v>6844.9197860962568</v>
      </c>
      <c r="K171" s="75">
        <f>935/F171</f>
        <v>1.4799151456225426</v>
      </c>
      <c r="L171" s="77">
        <f t="shared" si="8"/>
        <v>1.4799151456225426</v>
      </c>
    </row>
    <row r="172" spans="1:14" s="35" customFormat="1" x14ac:dyDescent="0.25">
      <c r="A172" s="82" t="s">
        <v>329</v>
      </c>
      <c r="B172" s="83"/>
      <c r="C172" s="83"/>
      <c r="D172" s="83"/>
      <c r="E172" s="83"/>
      <c r="F172" s="83"/>
      <c r="G172" s="83"/>
      <c r="H172" s="84"/>
      <c r="I172" s="34">
        <f>7*12</f>
        <v>84</v>
      </c>
    </row>
    <row r="173" spans="1:14" s="68" customFormat="1" x14ac:dyDescent="0.25">
      <c r="A173" s="85">
        <v>1</v>
      </c>
      <c r="B173" s="86"/>
      <c r="C173" s="65" t="s">
        <v>326</v>
      </c>
      <c r="D173" s="74">
        <f>(50.9)*10.764</f>
        <v>547.88759999999991</v>
      </c>
      <c r="E173" s="80">
        <f>(0.75*(8.15+2.75))*10.764</f>
        <v>87.995699999999999</v>
      </c>
      <c r="F173" s="65">
        <f t="shared" ref="F173:F178" si="9">D173+E173</f>
        <v>635.88329999999996</v>
      </c>
      <c r="G173" s="65">
        <v>0</v>
      </c>
      <c r="H173" s="65">
        <v>940</v>
      </c>
      <c r="I173" s="34"/>
      <c r="N173" s="34"/>
    </row>
    <row r="174" spans="1:14" s="68" customFormat="1" x14ac:dyDescent="0.25">
      <c r="A174" s="85">
        <f>A173+1</f>
        <v>2</v>
      </c>
      <c r="B174" s="86"/>
      <c r="C174" s="65" t="s">
        <v>327</v>
      </c>
      <c r="D174" s="74">
        <f>(70.21)*10.764</f>
        <v>755.74043999999992</v>
      </c>
      <c r="E174" s="80">
        <f>(0.75*(3.05+3+3.05+2.7+1.7)+2.7)*10.764</f>
        <v>138.04829999999998</v>
      </c>
      <c r="F174" s="65">
        <f t="shared" si="9"/>
        <v>893.78873999999996</v>
      </c>
      <c r="G174" s="65">
        <v>0</v>
      </c>
      <c r="H174" s="65">
        <v>1350</v>
      </c>
      <c r="I174" s="34"/>
      <c r="N174" s="34"/>
    </row>
    <row r="175" spans="1:14" s="68" customFormat="1" ht="15.75" customHeight="1" x14ac:dyDescent="0.25">
      <c r="A175" s="85">
        <f>A174+1</f>
        <v>3</v>
      </c>
      <c r="B175" s="86"/>
      <c r="C175" s="65" t="s">
        <v>327</v>
      </c>
      <c r="D175" s="74">
        <f>(70.21)*10.764</f>
        <v>755.74043999999992</v>
      </c>
      <c r="E175" s="80">
        <f>(0.75*(3.05+3+3.05+2.7+1.7)+2.7)*10.764</f>
        <v>138.04829999999998</v>
      </c>
      <c r="F175" s="65">
        <f t="shared" si="9"/>
        <v>893.78873999999996</v>
      </c>
      <c r="G175" s="65">
        <v>0</v>
      </c>
      <c r="H175" s="65">
        <v>1350</v>
      </c>
      <c r="I175" s="34"/>
    </row>
    <row r="176" spans="1:14" s="68" customFormat="1" ht="15.75" customHeight="1" x14ac:dyDescent="0.25">
      <c r="A176" s="85">
        <f>A175+1</f>
        <v>4</v>
      </c>
      <c r="B176" s="86"/>
      <c r="C176" s="65" t="s">
        <v>326</v>
      </c>
      <c r="D176" s="74">
        <f>(50.9)*10.764</f>
        <v>547.88759999999991</v>
      </c>
      <c r="E176" s="80">
        <f>(0.75*(8.15+2.75))*10.764</f>
        <v>87.995699999999999</v>
      </c>
      <c r="F176" s="65">
        <f t="shared" si="9"/>
        <v>635.88329999999996</v>
      </c>
      <c r="G176" s="65">
        <v>0</v>
      </c>
      <c r="H176" s="65">
        <v>940</v>
      </c>
      <c r="I176" s="34"/>
    </row>
    <row r="177" spans="1:10" s="68" customFormat="1" ht="15.75" customHeight="1" x14ac:dyDescent="0.25">
      <c r="A177" s="85">
        <f>A176+1</f>
        <v>5</v>
      </c>
      <c r="B177" s="86"/>
      <c r="C177" s="65" t="s">
        <v>326</v>
      </c>
      <c r="D177" s="74">
        <f>(48.11)*10.764</f>
        <v>517.85604000000001</v>
      </c>
      <c r="E177" s="80">
        <f>(0.75*(8.15+2.75))*10.764</f>
        <v>87.995699999999999</v>
      </c>
      <c r="F177" s="65">
        <f t="shared" si="9"/>
        <v>605.85174000000006</v>
      </c>
      <c r="G177" s="65">
        <v>0</v>
      </c>
      <c r="H177" s="65">
        <v>890</v>
      </c>
      <c r="I177" s="34"/>
    </row>
    <row r="178" spans="1:10" s="68" customFormat="1" ht="15.75" customHeight="1" x14ac:dyDescent="0.25">
      <c r="A178" s="81">
        <v>6</v>
      </c>
      <c r="B178" s="81"/>
      <c r="C178" s="65" t="s">
        <v>326</v>
      </c>
      <c r="D178" s="74">
        <f>(50.52)*10.764</f>
        <v>543.79728</v>
      </c>
      <c r="E178" s="80">
        <f>(0.75*(8.15+2.75))*10.764</f>
        <v>87.995699999999999</v>
      </c>
      <c r="F178" s="65">
        <f t="shared" si="9"/>
        <v>631.79297999999994</v>
      </c>
      <c r="G178" s="65">
        <v>0</v>
      </c>
      <c r="H178" s="65">
        <v>935</v>
      </c>
      <c r="I178" s="34"/>
    </row>
    <row r="179" spans="1:10" s="68" customFormat="1" ht="15.75" customHeight="1" x14ac:dyDescent="0.25">
      <c r="A179" s="81">
        <f>A178+1</f>
        <v>7</v>
      </c>
      <c r="B179" s="81"/>
      <c r="C179" s="85" t="s">
        <v>330</v>
      </c>
      <c r="D179" s="87"/>
      <c r="E179" s="87"/>
      <c r="F179" s="87"/>
      <c r="G179" s="87"/>
      <c r="H179" s="86"/>
      <c r="I179" s="34"/>
    </row>
    <row r="180" spans="1:10" s="68" customFormat="1" ht="15.75" customHeight="1" x14ac:dyDescent="0.25">
      <c r="A180" s="82" t="s">
        <v>331</v>
      </c>
      <c r="B180" s="83"/>
      <c r="C180" s="83"/>
      <c r="D180" s="83"/>
      <c r="E180" s="83"/>
      <c r="F180" s="83"/>
      <c r="G180" s="83"/>
      <c r="H180" s="84"/>
      <c r="I180" s="34"/>
    </row>
    <row r="181" spans="1:10" s="35" customFormat="1" ht="15.75" customHeight="1" x14ac:dyDescent="0.25">
      <c r="A181" s="82" t="s">
        <v>332</v>
      </c>
      <c r="B181" s="83"/>
      <c r="C181" s="83"/>
      <c r="D181" s="83"/>
      <c r="E181" s="83"/>
      <c r="F181" s="83"/>
      <c r="G181" s="83"/>
      <c r="H181" s="84"/>
      <c r="I181" s="34"/>
    </row>
    <row r="182" spans="1:10" s="68" customFormat="1" ht="15.75" customHeight="1" x14ac:dyDescent="0.25">
      <c r="A182" s="82" t="s">
        <v>333</v>
      </c>
      <c r="B182" s="83"/>
      <c r="C182" s="83"/>
      <c r="D182" s="83"/>
      <c r="E182" s="83"/>
      <c r="F182" s="83"/>
      <c r="G182" s="83"/>
      <c r="H182" s="84"/>
      <c r="I182" s="34"/>
    </row>
    <row r="183" spans="1:10" s="35" customFormat="1" ht="15.75" customHeight="1" x14ac:dyDescent="0.25">
      <c r="A183" s="82" t="s">
        <v>325</v>
      </c>
      <c r="B183" s="83"/>
      <c r="C183" s="83"/>
      <c r="D183" s="83"/>
      <c r="E183" s="83"/>
      <c r="F183" s="83"/>
      <c r="G183" s="83"/>
      <c r="H183" s="84"/>
      <c r="I183" s="34"/>
      <c r="J183" s="35">
        <v>5400</v>
      </c>
    </row>
    <row r="184" spans="1:10" s="35" customFormat="1" ht="15.75" customHeight="1" x14ac:dyDescent="0.25">
      <c r="A184" s="85">
        <v>1</v>
      </c>
      <c r="B184" s="86"/>
      <c r="C184" s="65" t="s">
        <v>326</v>
      </c>
      <c r="D184" s="74">
        <f>(50.9)*10.764</f>
        <v>547.88759999999991</v>
      </c>
      <c r="E184" s="80">
        <f>(0.75*(8.15+2.75))*10.764</f>
        <v>87.995699999999999</v>
      </c>
      <c r="F184" s="65">
        <f t="shared" ref="F184:F190" si="10">D184+E184</f>
        <v>635.88329999999996</v>
      </c>
      <c r="G184" s="65">
        <v>0</v>
      </c>
      <c r="H184" s="65">
        <v>940</v>
      </c>
      <c r="I184" s="34"/>
      <c r="J184" s="35">
        <f>J$183*H184</f>
        <v>5076000</v>
      </c>
    </row>
    <row r="185" spans="1:10" s="35" customFormat="1" ht="15.75" customHeight="1" x14ac:dyDescent="0.25">
      <c r="A185" s="85">
        <f>A184+1</f>
        <v>2</v>
      </c>
      <c r="B185" s="86"/>
      <c r="C185" s="65" t="s">
        <v>326</v>
      </c>
      <c r="D185" s="74">
        <f>(50.52)*10.764</f>
        <v>543.79728</v>
      </c>
      <c r="E185" s="80">
        <f>(0.75*(8.15+2.75))*10.764</f>
        <v>87.995699999999999</v>
      </c>
      <c r="F185" s="65">
        <f t="shared" si="10"/>
        <v>631.79297999999994</v>
      </c>
      <c r="G185" s="65">
        <v>0</v>
      </c>
      <c r="H185" s="65">
        <v>935</v>
      </c>
      <c r="I185" s="34"/>
      <c r="J185" s="77">
        <f t="shared" ref="J185:J190" si="11">J$183*H185</f>
        <v>5049000</v>
      </c>
    </row>
    <row r="186" spans="1:10" s="68" customFormat="1" ht="15.75" customHeight="1" x14ac:dyDescent="0.25">
      <c r="A186" s="85">
        <f>A185+1</f>
        <v>3</v>
      </c>
      <c r="B186" s="86"/>
      <c r="C186" s="65" t="s">
        <v>326</v>
      </c>
      <c r="D186" s="74">
        <f>(50.52)*10.764</f>
        <v>543.79728</v>
      </c>
      <c r="E186" s="80">
        <f>(0.75*(8.15+2.75))*10.764</f>
        <v>87.995699999999999</v>
      </c>
      <c r="F186" s="65">
        <f t="shared" si="10"/>
        <v>631.79297999999994</v>
      </c>
      <c r="G186" s="65">
        <v>0</v>
      </c>
      <c r="H186" s="65">
        <v>935</v>
      </c>
      <c r="I186" s="34"/>
      <c r="J186" s="77">
        <f t="shared" si="11"/>
        <v>5049000</v>
      </c>
    </row>
    <row r="187" spans="1:10" s="68" customFormat="1" ht="15.75" customHeight="1" x14ac:dyDescent="0.25">
      <c r="A187" s="85">
        <f>A186+1</f>
        <v>4</v>
      </c>
      <c r="B187" s="86"/>
      <c r="C187" s="65" t="s">
        <v>326</v>
      </c>
      <c r="D187" s="74">
        <f>(48.11)*10.764</f>
        <v>517.85604000000001</v>
      </c>
      <c r="E187" s="80">
        <f>(0.75*(8.15+2.75))*10.764</f>
        <v>87.995699999999999</v>
      </c>
      <c r="F187" s="65">
        <f t="shared" si="10"/>
        <v>605.85174000000006</v>
      </c>
      <c r="G187" s="65">
        <v>0</v>
      </c>
      <c r="H187" s="65">
        <v>890</v>
      </c>
      <c r="I187" s="34"/>
      <c r="J187" s="77">
        <f t="shared" si="11"/>
        <v>4806000</v>
      </c>
    </row>
    <row r="188" spans="1:10" s="68" customFormat="1" ht="15.75" customHeight="1" x14ac:dyDescent="0.25">
      <c r="A188" s="85">
        <f>A187+1</f>
        <v>5</v>
      </c>
      <c r="B188" s="86"/>
      <c r="C188" s="65" t="s">
        <v>327</v>
      </c>
      <c r="D188" s="74">
        <f>(64.93)*10.764</f>
        <v>698.90652</v>
      </c>
      <c r="E188" s="80">
        <f>(0.75*(8.15+2.75+2.75))*10.764</f>
        <v>110.19645</v>
      </c>
      <c r="F188" s="65">
        <f t="shared" si="10"/>
        <v>809.10297000000003</v>
      </c>
      <c r="G188" s="65">
        <v>0</v>
      </c>
      <c r="H188" s="65">
        <v>1190</v>
      </c>
      <c r="I188" s="34">
        <f>4.9*2.75+3.2*1.2+2.75*2.15+2.75*3.35+3.75*2.75+3.05*2.75+1.8*1.2+2.1*1.2+4.6*0.9+0.4*1.2+1.75*1.3</f>
        <v>62.714999999999996</v>
      </c>
      <c r="J188" s="77">
        <f t="shared" si="11"/>
        <v>6426000</v>
      </c>
    </row>
    <row r="189" spans="1:10" s="68" customFormat="1" ht="15.75" customHeight="1" x14ac:dyDescent="0.25">
      <c r="A189" s="81">
        <v>6</v>
      </c>
      <c r="B189" s="81"/>
      <c r="C189" s="65" t="s">
        <v>327</v>
      </c>
      <c r="D189" s="74">
        <f>(74.72)*10.764</f>
        <v>804.28607999999997</v>
      </c>
      <c r="E189" s="80">
        <f>(0.75*(9+3.05+1.7))*10.764</f>
        <v>111.00375</v>
      </c>
      <c r="F189" s="65">
        <f t="shared" si="10"/>
        <v>915.28982999999994</v>
      </c>
      <c r="G189" s="65">
        <v>0</v>
      </c>
      <c r="H189" s="65">
        <v>1425</v>
      </c>
      <c r="I189" s="34"/>
      <c r="J189" s="77">
        <f t="shared" si="11"/>
        <v>7695000</v>
      </c>
    </row>
    <row r="190" spans="1:10" s="68" customFormat="1" ht="15.75" customHeight="1" x14ac:dyDescent="0.25">
      <c r="A190" s="81">
        <f>A189+1</f>
        <v>7</v>
      </c>
      <c r="B190" s="81"/>
      <c r="C190" s="65" t="s">
        <v>326</v>
      </c>
      <c r="D190" s="74">
        <f>(48.17)*10.764</f>
        <v>518.50188000000003</v>
      </c>
      <c r="E190" s="80">
        <f>(0.75*(5.8+2.15+2.75))*10.764</f>
        <v>86.381099999999975</v>
      </c>
      <c r="F190" s="65">
        <f t="shared" si="10"/>
        <v>604.88297999999998</v>
      </c>
      <c r="G190" s="65">
        <v>0</v>
      </c>
      <c r="H190" s="65">
        <v>890</v>
      </c>
      <c r="I190" s="34"/>
      <c r="J190" s="77">
        <f t="shared" si="11"/>
        <v>4806000</v>
      </c>
    </row>
    <row r="191" spans="1:10" s="68" customFormat="1" ht="15.75" customHeight="1" x14ac:dyDescent="0.25">
      <c r="A191" s="82" t="s">
        <v>328</v>
      </c>
      <c r="B191" s="83"/>
      <c r="C191" s="83"/>
      <c r="D191" s="83"/>
      <c r="E191" s="83"/>
      <c r="F191" s="83"/>
      <c r="G191" s="83"/>
      <c r="H191" s="84"/>
      <c r="I191" s="34"/>
    </row>
    <row r="192" spans="1:10" s="68" customFormat="1" ht="15.75" customHeight="1" x14ac:dyDescent="0.25">
      <c r="A192" s="85">
        <v>1</v>
      </c>
      <c r="B192" s="86"/>
      <c r="C192" s="65" t="s">
        <v>326</v>
      </c>
      <c r="D192" s="74">
        <f>(50.9)*10.764</f>
        <v>547.88759999999991</v>
      </c>
      <c r="E192" s="80">
        <f>(0.75*(8.15+2.75))*10.764</f>
        <v>87.995699999999999</v>
      </c>
      <c r="F192" s="65">
        <f t="shared" ref="F192:F198" si="12">D192+E192</f>
        <v>635.88329999999996</v>
      </c>
      <c r="G192" s="65">
        <v>0</v>
      </c>
      <c r="H192" s="65">
        <v>940</v>
      </c>
      <c r="I192" s="34"/>
    </row>
    <row r="193" spans="1:20" s="68" customFormat="1" ht="15.75" customHeight="1" x14ac:dyDescent="0.25">
      <c r="A193" s="85">
        <f>A192+1</f>
        <v>2</v>
      </c>
      <c r="B193" s="86"/>
      <c r="C193" s="65" t="s">
        <v>326</v>
      </c>
      <c r="D193" s="74">
        <f>(50.52)*10.764</f>
        <v>543.79728</v>
      </c>
      <c r="E193" s="80">
        <f>(0.75*(8.15+2.75))*10.764</f>
        <v>87.995699999999999</v>
      </c>
      <c r="F193" s="65">
        <f t="shared" si="12"/>
        <v>631.79297999999994</v>
      </c>
      <c r="G193" s="65">
        <v>0</v>
      </c>
      <c r="H193" s="65">
        <v>935</v>
      </c>
      <c r="I193" s="34"/>
    </row>
    <row r="194" spans="1:20" s="68" customFormat="1" ht="15.75" customHeight="1" x14ac:dyDescent="0.25">
      <c r="A194" s="85">
        <f>A193+1</f>
        <v>3</v>
      </c>
      <c r="B194" s="86"/>
      <c r="C194" s="65" t="s">
        <v>326</v>
      </c>
      <c r="D194" s="74">
        <f>(50.52)*10.764</f>
        <v>543.79728</v>
      </c>
      <c r="E194" s="80">
        <f>(0.75*(8.15+2.75))*10.764</f>
        <v>87.995699999999999</v>
      </c>
      <c r="F194" s="65">
        <f t="shared" si="12"/>
        <v>631.79297999999994</v>
      </c>
      <c r="G194" s="65">
        <v>0</v>
      </c>
      <c r="H194" s="65">
        <v>935</v>
      </c>
      <c r="I194" s="34"/>
    </row>
    <row r="195" spans="1:20" s="68" customFormat="1" ht="15.75" customHeight="1" x14ac:dyDescent="0.25">
      <c r="A195" s="85">
        <f>A194+1</f>
        <v>4</v>
      </c>
      <c r="B195" s="86"/>
      <c r="C195" s="65" t="s">
        <v>326</v>
      </c>
      <c r="D195" s="74">
        <f>(48.11)*10.764</f>
        <v>517.85604000000001</v>
      </c>
      <c r="E195" s="80">
        <f>(0.75*(8.15+2.75))*10.764</f>
        <v>87.995699999999999</v>
      </c>
      <c r="F195" s="65">
        <f t="shared" si="12"/>
        <v>605.85174000000006</v>
      </c>
      <c r="G195" s="65">
        <v>0</v>
      </c>
      <c r="H195" s="65">
        <v>890</v>
      </c>
      <c r="I195" s="34"/>
    </row>
    <row r="196" spans="1:20" s="68" customFormat="1" ht="15.75" customHeight="1" x14ac:dyDescent="0.25">
      <c r="A196" s="85">
        <f>A195+1</f>
        <v>5</v>
      </c>
      <c r="B196" s="86"/>
      <c r="C196" s="65" t="s">
        <v>327</v>
      </c>
      <c r="D196" s="74">
        <f>(64.93)*10.764</f>
        <v>698.90652</v>
      </c>
      <c r="E196" s="80">
        <f>(0.75*(8.15+2.75+2.75))*10.764</f>
        <v>110.19645</v>
      </c>
      <c r="F196" s="65">
        <f t="shared" si="12"/>
        <v>809.10297000000003</v>
      </c>
      <c r="G196" s="65">
        <v>0</v>
      </c>
      <c r="H196" s="65">
        <v>1190</v>
      </c>
      <c r="I196" s="34"/>
    </row>
    <row r="197" spans="1:20" s="68" customFormat="1" ht="15.75" customHeight="1" x14ac:dyDescent="0.25">
      <c r="A197" s="81">
        <v>6</v>
      </c>
      <c r="B197" s="81"/>
      <c r="C197" s="65" t="s">
        <v>327</v>
      </c>
      <c r="D197" s="74">
        <f>(74.72)*10.764</f>
        <v>804.28607999999997</v>
      </c>
      <c r="E197" s="80">
        <f>(0.75*(9+3.05+1.7))*10.764</f>
        <v>111.00375</v>
      </c>
      <c r="F197" s="65">
        <f t="shared" si="12"/>
        <v>915.28982999999994</v>
      </c>
      <c r="G197" s="65">
        <v>0</v>
      </c>
      <c r="H197" s="65">
        <v>1425</v>
      </c>
      <c r="I197" s="34"/>
    </row>
    <row r="198" spans="1:20" s="68" customFormat="1" ht="15.75" customHeight="1" x14ac:dyDescent="0.25">
      <c r="A198" s="81">
        <f>A197+1</f>
        <v>7</v>
      </c>
      <c r="B198" s="81"/>
      <c r="C198" s="65" t="s">
        <v>326</v>
      </c>
      <c r="D198" s="74">
        <f>(48.17)*10.764</f>
        <v>518.50188000000003</v>
      </c>
      <c r="E198" s="80">
        <f>(0.75*(5.8+2.15+2.75))*10.764</f>
        <v>86.381099999999975</v>
      </c>
      <c r="F198" s="65">
        <f t="shared" si="12"/>
        <v>604.88297999999998</v>
      </c>
      <c r="G198" s="65">
        <v>0</v>
      </c>
      <c r="H198" s="65">
        <v>890</v>
      </c>
      <c r="I198" s="34"/>
    </row>
    <row r="199" spans="1:20" s="68" customFormat="1" ht="15.75" customHeight="1" x14ac:dyDescent="0.25">
      <c r="A199" s="82" t="s">
        <v>329</v>
      </c>
      <c r="B199" s="83"/>
      <c r="C199" s="83"/>
      <c r="D199" s="83"/>
      <c r="E199" s="83"/>
      <c r="F199" s="83"/>
      <c r="G199" s="83"/>
      <c r="H199" s="84"/>
      <c r="I199" s="34"/>
    </row>
    <row r="200" spans="1:20" s="68" customFormat="1" ht="15.75" customHeight="1" x14ac:dyDescent="0.25">
      <c r="A200" s="85">
        <v>1</v>
      </c>
      <c r="B200" s="86"/>
      <c r="C200" s="65" t="s">
        <v>326</v>
      </c>
      <c r="D200" s="74">
        <f>(50.9)*10.764</f>
        <v>547.88759999999991</v>
      </c>
      <c r="E200" s="80">
        <f>(0.75*(8.15+2.75))*10.764</f>
        <v>87.995699999999999</v>
      </c>
      <c r="F200" s="65">
        <f>D200+E200</f>
        <v>635.88329999999996</v>
      </c>
      <c r="G200" s="65">
        <v>0</v>
      </c>
      <c r="H200" s="65">
        <v>940</v>
      </c>
      <c r="I200" s="34"/>
    </row>
    <row r="201" spans="1:20" s="68" customFormat="1" ht="15.75" customHeight="1" x14ac:dyDescent="0.25">
      <c r="A201" s="85" t="s">
        <v>334</v>
      </c>
      <c r="B201" s="86"/>
      <c r="C201" s="85" t="s">
        <v>330</v>
      </c>
      <c r="D201" s="87"/>
      <c r="E201" s="87"/>
      <c r="F201" s="87"/>
      <c r="G201" s="87"/>
      <c r="H201" s="86"/>
      <c r="I201" s="34"/>
    </row>
    <row r="202" spans="1:20" s="68" customFormat="1" ht="15.75" customHeight="1" x14ac:dyDescent="0.25">
      <c r="A202" s="85">
        <v>2</v>
      </c>
      <c r="B202" s="86"/>
      <c r="C202" s="65" t="s">
        <v>326</v>
      </c>
      <c r="D202" s="74">
        <f>(50.52)*10.764</f>
        <v>543.79728</v>
      </c>
      <c r="E202" s="80">
        <f>(0.75*(8.15+2.75))*10.764</f>
        <v>87.995699999999999</v>
      </c>
      <c r="F202" s="65">
        <f>D202+E202</f>
        <v>631.79297999999994</v>
      </c>
      <c r="G202" s="65">
        <v>0</v>
      </c>
      <c r="H202" s="65">
        <v>935</v>
      </c>
      <c r="I202" s="34"/>
    </row>
    <row r="203" spans="1:20" s="68" customFormat="1" ht="15.75" customHeight="1" x14ac:dyDescent="0.25">
      <c r="A203" s="85">
        <f>A202+1</f>
        <v>3</v>
      </c>
      <c r="B203" s="86"/>
      <c r="C203" s="65" t="s">
        <v>326</v>
      </c>
      <c r="D203" s="74">
        <f>(48.11)*10.764</f>
        <v>517.85604000000001</v>
      </c>
      <c r="E203" s="80">
        <f>(0.75*(8.15+2.75))*10.764</f>
        <v>87.995699999999999</v>
      </c>
      <c r="F203" s="65">
        <f>D203+E203</f>
        <v>605.85174000000006</v>
      </c>
      <c r="G203" s="65">
        <v>0</v>
      </c>
      <c r="H203" s="65">
        <v>890</v>
      </c>
      <c r="I203" s="34"/>
    </row>
    <row r="204" spans="1:20" s="68" customFormat="1" ht="15.75" customHeight="1" x14ac:dyDescent="0.25">
      <c r="A204" s="85">
        <f>A203+1</f>
        <v>4</v>
      </c>
      <c r="B204" s="86"/>
      <c r="C204" s="65" t="s">
        <v>327</v>
      </c>
      <c r="D204" s="74">
        <f>(64.93)*10.764</f>
        <v>698.90652</v>
      </c>
      <c r="E204" s="80">
        <f>(0.75*(8.15+2.75+2.75))*10.764</f>
        <v>110.19645</v>
      </c>
      <c r="F204" s="65">
        <f>D204+E204</f>
        <v>809.10297000000003</v>
      </c>
      <c r="G204" s="65">
        <v>0</v>
      </c>
      <c r="H204" s="65">
        <v>1190</v>
      </c>
      <c r="I204" s="34"/>
    </row>
    <row r="205" spans="1:20" s="68" customFormat="1" ht="15.75" customHeight="1" x14ac:dyDescent="0.25">
      <c r="A205" s="81">
        <v>5</v>
      </c>
      <c r="B205" s="81"/>
      <c r="C205" s="65" t="s">
        <v>327</v>
      </c>
      <c r="D205" s="74">
        <f>(74.72)*10.764</f>
        <v>804.28607999999997</v>
      </c>
      <c r="E205" s="80">
        <f>(0.75*(9+3.05+1.7))*10.764</f>
        <v>111.00375</v>
      </c>
      <c r="F205" s="65">
        <f>D205+E205</f>
        <v>915.28982999999994</v>
      </c>
      <c r="G205" s="65">
        <v>0</v>
      </c>
      <c r="H205" s="65">
        <v>1425</v>
      </c>
      <c r="I205" s="34"/>
    </row>
    <row r="206" spans="1:20" s="68" customFormat="1" ht="15.75" customHeight="1" x14ac:dyDescent="0.25">
      <c r="A206" s="81">
        <f>A205+1</f>
        <v>6</v>
      </c>
      <c r="B206" s="81"/>
      <c r="C206" s="65" t="s">
        <v>326</v>
      </c>
      <c r="D206" s="74">
        <f>(48.17)*10.764</f>
        <v>518.50188000000003</v>
      </c>
      <c r="E206" s="80">
        <f>(0.75*(5.8+2.15+2.75))*10.764</f>
        <v>86.381099999999975</v>
      </c>
      <c r="F206" s="65">
        <f>D206+E206</f>
        <v>604.88297999999998</v>
      </c>
      <c r="G206" s="65">
        <v>0</v>
      </c>
      <c r="H206" s="65">
        <v>890</v>
      </c>
      <c r="I206" s="34"/>
    </row>
    <row r="207" spans="1:20" s="68" customFormat="1" ht="15.75" customHeight="1" x14ac:dyDescent="0.25">
      <c r="A207" s="85"/>
      <c r="B207" s="87"/>
      <c r="C207" s="87"/>
      <c r="D207" s="87"/>
      <c r="E207" s="87"/>
      <c r="F207" s="87"/>
      <c r="G207" s="87"/>
      <c r="H207" s="86"/>
      <c r="I207" s="34"/>
    </row>
    <row r="208" spans="1:20" s="33" customFormat="1" x14ac:dyDescent="0.25">
      <c r="A208" s="155" t="s">
        <v>65</v>
      </c>
      <c r="B208" s="155"/>
      <c r="C208" s="155"/>
      <c r="D208" s="155"/>
      <c r="E208" s="155"/>
      <c r="F208" s="155"/>
      <c r="G208" s="155"/>
      <c r="H208" s="155"/>
      <c r="T208" s="35"/>
    </row>
    <row r="209" spans="1:20" s="33" customFormat="1" ht="31.5" customHeight="1" x14ac:dyDescent="0.25">
      <c r="A209" s="44" t="s">
        <v>149</v>
      </c>
      <c r="B209" s="152" t="s">
        <v>349</v>
      </c>
      <c r="C209" s="153"/>
      <c r="D209" s="153"/>
      <c r="E209" s="153"/>
      <c r="F209" s="153"/>
      <c r="G209" s="153"/>
      <c r="H209" s="154"/>
      <c r="T209" s="35"/>
    </row>
    <row r="210" spans="1:20" s="33" customFormat="1" x14ac:dyDescent="0.25">
      <c r="A210" s="44" t="s">
        <v>149</v>
      </c>
      <c r="B210" s="144" t="str">
        <f>(IF(H153="Saleable area Loading :","We have considered Saleable area of Flats as per our Calculation.","We considered Saleable area of Flat as per Builder area Sheet."))</f>
        <v>We considered Saleable area of Flat as per Builder area Sheet.</v>
      </c>
      <c r="C210" s="145"/>
      <c r="D210" s="145"/>
      <c r="E210" s="145"/>
      <c r="F210" s="145"/>
      <c r="G210" s="145"/>
      <c r="H210" s="146"/>
      <c r="T210" s="35"/>
    </row>
    <row r="211" spans="1:20" s="33" customFormat="1" x14ac:dyDescent="0.25">
      <c r="A211" s="44" t="s">
        <v>149</v>
      </c>
      <c r="B211" s="144" t="str">
        <f>(IF(H141="Saleable area Loading :","We have considered Saleable area of Commercial as per our Calculation.","We considered Saleable area of Commercial as per Builder area Sheet."))</f>
        <v>We considered Saleable area of Commercial as per Builder area Sheet.</v>
      </c>
      <c r="C211" s="145"/>
      <c r="D211" s="145"/>
      <c r="E211" s="145"/>
      <c r="F211" s="145"/>
      <c r="G211" s="145"/>
      <c r="H211" s="146"/>
    </row>
    <row r="212" spans="1:20" s="33" customFormat="1" x14ac:dyDescent="0.25">
      <c r="A212" s="44" t="s">
        <v>149</v>
      </c>
      <c r="B212" s="141" t="s">
        <v>120</v>
      </c>
      <c r="C212" s="142"/>
      <c r="D212" s="142"/>
      <c r="E212" s="142"/>
      <c r="F212" s="142"/>
      <c r="G212" s="142"/>
      <c r="H212" s="143"/>
    </row>
    <row r="213" spans="1:20" s="33" customFormat="1" x14ac:dyDescent="0.25">
      <c r="A213" s="44" t="s">
        <v>149</v>
      </c>
      <c r="B213" s="141" t="s">
        <v>343</v>
      </c>
      <c r="C213" s="142"/>
      <c r="D213" s="142"/>
      <c r="E213" s="142"/>
      <c r="F213" s="142"/>
      <c r="G213" s="142"/>
      <c r="H213" s="143"/>
    </row>
    <row r="214" spans="1:20" s="33" customFormat="1" x14ac:dyDescent="0.25">
      <c r="A214" s="44" t="s">
        <v>149</v>
      </c>
      <c r="B214" s="141" t="s">
        <v>148</v>
      </c>
      <c r="C214" s="142"/>
      <c r="D214" s="142"/>
      <c r="E214" s="142"/>
      <c r="F214" s="142"/>
      <c r="G214" s="142"/>
      <c r="H214" s="143"/>
    </row>
    <row r="215" spans="1:20" s="33" customFormat="1" x14ac:dyDescent="0.25">
      <c r="A215" s="44" t="s">
        <v>149</v>
      </c>
      <c r="B215" s="141" t="s">
        <v>121</v>
      </c>
      <c r="C215" s="142"/>
      <c r="D215" s="142"/>
      <c r="E215" s="142"/>
      <c r="F215" s="142"/>
      <c r="G215" s="142"/>
      <c r="H215" s="143"/>
    </row>
    <row r="216" spans="1:20" s="33" customFormat="1" ht="34.5" hidden="1" customHeight="1" x14ac:dyDescent="0.25">
      <c r="A216" s="44" t="s">
        <v>149</v>
      </c>
      <c r="B216" s="141" t="s">
        <v>150</v>
      </c>
      <c r="C216" s="142"/>
      <c r="D216" s="142"/>
      <c r="E216" s="142"/>
      <c r="F216" s="142"/>
      <c r="G216" s="142"/>
      <c r="H216" s="143"/>
    </row>
    <row r="217" spans="1:20" s="33" customFormat="1" x14ac:dyDescent="0.25">
      <c r="A217" s="44" t="s">
        <v>149</v>
      </c>
      <c r="B217" s="141" t="s">
        <v>122</v>
      </c>
      <c r="C217" s="142"/>
      <c r="D217" s="142"/>
      <c r="E217" s="142"/>
      <c r="F217" s="142"/>
      <c r="G217" s="142"/>
      <c r="H217" s="143"/>
    </row>
    <row r="218" spans="1:20" s="33" customFormat="1" ht="32.25" hidden="1" customHeight="1" x14ac:dyDescent="0.25">
      <c r="A218" s="50" t="s">
        <v>149</v>
      </c>
      <c r="B218" s="147" t="s">
        <v>175</v>
      </c>
      <c r="C218" s="148"/>
      <c r="D218" s="148"/>
      <c r="E218" s="148"/>
      <c r="F218" s="148"/>
      <c r="G218" s="148"/>
      <c r="H218" s="149"/>
    </row>
    <row r="219" spans="1:20" s="33" customFormat="1" hidden="1" x14ac:dyDescent="0.25">
      <c r="A219" s="55" t="s">
        <v>149</v>
      </c>
      <c r="B219" s="147" t="s">
        <v>230</v>
      </c>
      <c r="C219" s="148"/>
      <c r="D219" s="148"/>
      <c r="E219" s="148"/>
      <c r="F219" s="148"/>
      <c r="G219" s="148"/>
      <c r="H219" s="149"/>
    </row>
    <row r="220" spans="1:20" x14ac:dyDescent="0.25">
      <c r="A220" s="113" t="s">
        <v>58</v>
      </c>
      <c r="B220" s="113"/>
      <c r="C220" s="113"/>
      <c r="D220" s="113"/>
      <c r="E220" s="113"/>
      <c r="F220" s="113"/>
      <c r="G220" s="113"/>
      <c r="H220" s="113"/>
      <c r="T220" s="33"/>
    </row>
    <row r="221" spans="1:20" x14ac:dyDescent="0.25">
      <c r="A221" s="93" t="s">
        <v>59</v>
      </c>
      <c r="B221" s="93"/>
      <c r="C221" s="93"/>
      <c r="D221" s="93"/>
      <c r="E221" s="93"/>
      <c r="F221" s="93"/>
      <c r="G221" s="93"/>
      <c r="H221" s="93"/>
      <c r="T221" s="33"/>
    </row>
    <row r="222" spans="1:20" ht="15.75" customHeight="1" x14ac:dyDescent="0.25">
      <c r="A222" s="135" t="s">
        <v>60</v>
      </c>
      <c r="B222" s="135"/>
      <c r="C222" s="135"/>
      <c r="D222" s="135"/>
      <c r="E222" s="135"/>
      <c r="F222" s="135"/>
      <c r="G222" s="135"/>
      <c r="H222" s="135"/>
      <c r="T222" s="33"/>
    </row>
    <row r="223" spans="1:20" x14ac:dyDescent="0.25">
      <c r="A223" s="93" t="s">
        <v>61</v>
      </c>
      <c r="B223" s="93"/>
      <c r="C223" s="93"/>
      <c r="D223" s="93"/>
      <c r="E223" s="93"/>
      <c r="F223" s="93"/>
      <c r="G223" s="93"/>
      <c r="H223" s="93"/>
    </row>
    <row r="224" spans="1:20" x14ac:dyDescent="0.25">
      <c r="A224" s="93" t="s">
        <v>62</v>
      </c>
      <c r="B224" s="93"/>
      <c r="C224" s="93"/>
      <c r="D224" s="93"/>
      <c r="E224" s="93"/>
      <c r="F224" s="93"/>
      <c r="G224" s="93"/>
      <c r="H224" s="93"/>
    </row>
    <row r="225" spans="1:8" x14ac:dyDescent="0.25">
      <c r="A225" s="93" t="s">
        <v>123</v>
      </c>
      <c r="B225" s="93"/>
      <c r="C225" s="93"/>
      <c r="D225" s="93"/>
      <c r="E225" s="93"/>
      <c r="F225" s="93"/>
      <c r="G225" s="93"/>
      <c r="H225" s="93"/>
    </row>
    <row r="226" spans="1:8" ht="33.950000000000003" customHeight="1" x14ac:dyDescent="0.25">
      <c r="A226" s="99" t="s">
        <v>124</v>
      </c>
      <c r="B226" s="99"/>
      <c r="C226" s="99"/>
      <c r="D226" s="99"/>
      <c r="E226" s="99"/>
      <c r="F226" s="99"/>
      <c r="G226" s="99"/>
      <c r="H226" s="99"/>
    </row>
    <row r="227" spans="1:8" x14ac:dyDescent="0.25">
      <c r="A227" s="167" t="s">
        <v>74</v>
      </c>
      <c r="B227" s="167"/>
      <c r="C227" s="167" t="s">
        <v>310</v>
      </c>
      <c r="D227" s="167"/>
      <c r="E227" s="167" t="s">
        <v>104</v>
      </c>
      <c r="F227" s="167"/>
      <c r="G227" s="167" t="s">
        <v>348</v>
      </c>
      <c r="H227" s="167"/>
    </row>
    <row r="228" spans="1:8" x14ac:dyDescent="0.25">
      <c r="A228" s="166" t="s">
        <v>76</v>
      </c>
      <c r="B228" s="166"/>
      <c r="C228" s="166"/>
      <c r="D228" s="166"/>
      <c r="E228" s="166"/>
      <c r="F228" s="166"/>
      <c r="G228" s="166"/>
      <c r="H228" s="166"/>
    </row>
    <row r="229" spans="1:8" x14ac:dyDescent="0.25">
      <c r="A229" s="166"/>
      <c r="B229" s="166"/>
      <c r="C229" s="166"/>
      <c r="D229" s="166"/>
      <c r="E229" s="166"/>
      <c r="F229" s="166"/>
      <c r="G229" s="166"/>
      <c r="H229" s="166"/>
    </row>
    <row r="230" spans="1:8" x14ac:dyDescent="0.25">
      <c r="A230" s="166"/>
      <c r="B230" s="166"/>
      <c r="C230" s="166"/>
      <c r="D230" s="166"/>
      <c r="E230" s="166"/>
      <c r="F230" s="166"/>
      <c r="G230" s="166"/>
      <c r="H230" s="166"/>
    </row>
    <row r="231" spans="1:8" x14ac:dyDescent="0.25">
      <c r="A231" s="166"/>
      <c r="B231" s="166"/>
      <c r="C231" s="166"/>
      <c r="D231" s="166"/>
      <c r="E231" s="166"/>
      <c r="F231" s="166"/>
      <c r="G231" s="166"/>
      <c r="H231" s="166"/>
    </row>
    <row r="232" spans="1:8" x14ac:dyDescent="0.25">
      <c r="A232" s="36" t="s">
        <v>63</v>
      </c>
      <c r="B232" s="37"/>
      <c r="C232" s="37"/>
      <c r="D232" s="36" t="str">
        <f>E9</f>
        <v>S M Elite</v>
      </c>
      <c r="F232" s="37"/>
      <c r="G232" s="37"/>
      <c r="H232" s="37"/>
    </row>
    <row r="233" spans="1:8" x14ac:dyDescent="0.25">
      <c r="A233" s="37"/>
      <c r="B233" s="37"/>
      <c r="C233" s="37"/>
      <c r="D233" s="37"/>
      <c r="E233" s="37"/>
      <c r="F233" s="37"/>
      <c r="G233" s="37"/>
      <c r="H233" s="37"/>
    </row>
    <row r="234" spans="1:8" x14ac:dyDescent="0.25">
      <c r="A234" s="37"/>
      <c r="B234" s="37"/>
      <c r="C234" s="37"/>
      <c r="D234" s="37"/>
      <c r="E234" s="37"/>
      <c r="F234" s="37"/>
      <c r="G234" s="37"/>
      <c r="H234" s="37"/>
    </row>
    <row r="235" spans="1:8" ht="15" customHeight="1" x14ac:dyDescent="0.25"/>
    <row r="275" spans="1:1" x14ac:dyDescent="0.25">
      <c r="A275" s="39" t="s">
        <v>160</v>
      </c>
    </row>
    <row r="318" spans="1:1" x14ac:dyDescent="0.25">
      <c r="A318" s="39" t="s">
        <v>64</v>
      </c>
    </row>
  </sheetData>
  <mergeCells count="386">
    <mergeCell ref="C74:H74"/>
    <mergeCell ref="A76:B76"/>
    <mergeCell ref="C76:H76"/>
    <mergeCell ref="A77:B77"/>
    <mergeCell ref="E77:F77"/>
    <mergeCell ref="G77:H77"/>
    <mergeCell ref="A78:B78"/>
    <mergeCell ref="E78:F87"/>
    <mergeCell ref="G78:H87"/>
    <mergeCell ref="A79:B79"/>
    <mergeCell ref="A80:B80"/>
    <mergeCell ref="A81:B81"/>
    <mergeCell ref="A82:B82"/>
    <mergeCell ref="A83:B83"/>
    <mergeCell ref="A84:B84"/>
    <mergeCell ref="A85:B85"/>
    <mergeCell ref="A86:B86"/>
    <mergeCell ref="A87:B87"/>
    <mergeCell ref="B219:H219"/>
    <mergeCell ref="A121:E121"/>
    <mergeCell ref="A115:B115"/>
    <mergeCell ref="A137:B137"/>
    <mergeCell ref="E137:F137"/>
    <mergeCell ref="A126:E126"/>
    <mergeCell ref="G137:H137"/>
    <mergeCell ref="A132:B132"/>
    <mergeCell ref="C132:D132"/>
    <mergeCell ref="E132:F132"/>
    <mergeCell ref="G132:H132"/>
    <mergeCell ref="A136:B136"/>
    <mergeCell ref="C136:D136"/>
    <mergeCell ref="E136:F136"/>
    <mergeCell ref="G136:H136"/>
    <mergeCell ref="B216:H216"/>
    <mergeCell ref="A175:B175"/>
    <mergeCell ref="A165:B165"/>
    <mergeCell ref="A157:B157"/>
    <mergeCell ref="A149:B149"/>
    <mergeCell ref="A148:B148"/>
    <mergeCell ref="A152:H152"/>
    <mergeCell ref="A153:A154"/>
    <mergeCell ref="F153:F154"/>
    <mergeCell ref="D141:D142"/>
    <mergeCell ref="A120:E120"/>
    <mergeCell ref="A119:E119"/>
    <mergeCell ref="A116:E116"/>
    <mergeCell ref="F120:H120"/>
    <mergeCell ref="G141:G142"/>
    <mergeCell ref="F116:H116"/>
    <mergeCell ref="F121:H121"/>
    <mergeCell ref="E134:F134"/>
    <mergeCell ref="A139:H139"/>
    <mergeCell ref="C138:D138"/>
    <mergeCell ref="E138:F138"/>
    <mergeCell ref="L161:M161"/>
    <mergeCell ref="A166:B166"/>
    <mergeCell ref="A163:B163"/>
    <mergeCell ref="A173:B173"/>
    <mergeCell ref="A40:B40"/>
    <mergeCell ref="C40:H40"/>
    <mergeCell ref="F141:F142"/>
    <mergeCell ref="C131:D131"/>
    <mergeCell ref="E131:F131"/>
    <mergeCell ref="B141:B142"/>
    <mergeCell ref="A141:A142"/>
    <mergeCell ref="C153:C154"/>
    <mergeCell ref="G153:G154"/>
    <mergeCell ref="L160:M160"/>
    <mergeCell ref="L157:M157"/>
    <mergeCell ref="A158:B158"/>
    <mergeCell ref="G138:H138"/>
    <mergeCell ref="L158:M158"/>
    <mergeCell ref="A159:B159"/>
    <mergeCell ref="L159:M159"/>
    <mergeCell ref="C55:H55"/>
    <mergeCell ref="A160:B160"/>
    <mergeCell ref="A91:B91"/>
    <mergeCell ref="A49:B49"/>
    <mergeCell ref="A104:B104"/>
    <mergeCell ref="A39:B39"/>
    <mergeCell ref="C39:H39"/>
    <mergeCell ref="A46:D46"/>
    <mergeCell ref="L149:M149"/>
    <mergeCell ref="L148:M148"/>
    <mergeCell ref="L147:M147"/>
    <mergeCell ref="L146:M146"/>
    <mergeCell ref="A99:B99"/>
    <mergeCell ref="C135:D135"/>
    <mergeCell ref="E135:F135"/>
    <mergeCell ref="G135:H135"/>
    <mergeCell ref="A117:E117"/>
    <mergeCell ref="A145:H145"/>
    <mergeCell ref="E141:E142"/>
    <mergeCell ref="A106:B106"/>
    <mergeCell ref="A47:D47"/>
    <mergeCell ref="A48:H48"/>
    <mergeCell ref="D64:H64"/>
    <mergeCell ref="A64:C64"/>
    <mergeCell ref="A98:B98"/>
    <mergeCell ref="C104:H104"/>
    <mergeCell ref="A45:D45"/>
    <mergeCell ref="C49:H49"/>
    <mergeCell ref="A38:H38"/>
    <mergeCell ref="A37:B37"/>
    <mergeCell ref="C37:E37"/>
    <mergeCell ref="A42:D42"/>
    <mergeCell ref="E42:H42"/>
    <mergeCell ref="A41:H41"/>
    <mergeCell ref="A67:C67"/>
    <mergeCell ref="A68:C68"/>
    <mergeCell ref="D67:H67"/>
    <mergeCell ref="D68:H68"/>
    <mergeCell ref="A44:D44"/>
    <mergeCell ref="E44:H44"/>
    <mergeCell ref="E45:H45"/>
    <mergeCell ref="E46:H46"/>
    <mergeCell ref="E47:H47"/>
    <mergeCell ref="C57:H57"/>
    <mergeCell ref="F37:H37"/>
    <mergeCell ref="C59:E59"/>
    <mergeCell ref="G59:H59"/>
    <mergeCell ref="A65:C66"/>
    <mergeCell ref="D65:H65"/>
    <mergeCell ref="D66:H66"/>
    <mergeCell ref="C51:E51"/>
    <mergeCell ref="G50:H50"/>
    <mergeCell ref="A36:B36"/>
    <mergeCell ref="C36:E36"/>
    <mergeCell ref="A31:D31"/>
    <mergeCell ref="E31:H31"/>
    <mergeCell ref="A32:D32"/>
    <mergeCell ref="E32:H32"/>
    <mergeCell ref="A28:D28"/>
    <mergeCell ref="E28:H28"/>
    <mergeCell ref="C33:E33"/>
    <mergeCell ref="F36:H36"/>
    <mergeCell ref="F33:H33"/>
    <mergeCell ref="A34:B34"/>
    <mergeCell ref="A33:B33"/>
    <mergeCell ref="C34:E34"/>
    <mergeCell ref="A35:B35"/>
    <mergeCell ref="C35:E35"/>
    <mergeCell ref="F34:H34"/>
    <mergeCell ref="F35:H35"/>
    <mergeCell ref="E27:H27"/>
    <mergeCell ref="A29:D29"/>
    <mergeCell ref="E29:H29"/>
    <mergeCell ref="A26:D26"/>
    <mergeCell ref="E26:H26"/>
    <mergeCell ref="A25:D25"/>
    <mergeCell ref="E25:H25"/>
    <mergeCell ref="A30:D30"/>
    <mergeCell ref="E30:H30"/>
    <mergeCell ref="A27:D27"/>
    <mergeCell ref="E20:F20"/>
    <mergeCell ref="G20:H20"/>
    <mergeCell ref="A21:B21"/>
    <mergeCell ref="C21:D21"/>
    <mergeCell ref="E21:F21"/>
    <mergeCell ref="G21:H21"/>
    <mergeCell ref="A22:B22"/>
    <mergeCell ref="C22:D22"/>
    <mergeCell ref="E22:F22"/>
    <mergeCell ref="G22:H22"/>
    <mergeCell ref="E14:H14"/>
    <mergeCell ref="A15:D15"/>
    <mergeCell ref="A11:D11"/>
    <mergeCell ref="E11:H11"/>
    <mergeCell ref="A23:D24"/>
    <mergeCell ref="E23:H24"/>
    <mergeCell ref="E15:H15"/>
    <mergeCell ref="A16:B16"/>
    <mergeCell ref="C16:H16"/>
    <mergeCell ref="C17:H17"/>
    <mergeCell ref="A18:B18"/>
    <mergeCell ref="C18:H18"/>
    <mergeCell ref="A13:D13"/>
    <mergeCell ref="E13:H13"/>
    <mergeCell ref="A12:D12"/>
    <mergeCell ref="E12:H12"/>
    <mergeCell ref="A17:B17"/>
    <mergeCell ref="A14:D14"/>
    <mergeCell ref="A19:B19"/>
    <mergeCell ref="C19:D19"/>
    <mergeCell ref="E19:F19"/>
    <mergeCell ref="G19:H19"/>
    <mergeCell ref="A20:B20"/>
    <mergeCell ref="C20:D20"/>
    <mergeCell ref="A1:H1"/>
    <mergeCell ref="A2:H2"/>
    <mergeCell ref="A3:D3"/>
    <mergeCell ref="E3:H3"/>
    <mergeCell ref="A5:D5"/>
    <mergeCell ref="A9:D9"/>
    <mergeCell ref="E9:H9"/>
    <mergeCell ref="A10:D10"/>
    <mergeCell ref="E10:H10"/>
    <mergeCell ref="E5:H5"/>
    <mergeCell ref="A6:D6"/>
    <mergeCell ref="E6:H6"/>
    <mergeCell ref="A7:D7"/>
    <mergeCell ref="E7:H7"/>
    <mergeCell ref="A8:D8"/>
    <mergeCell ref="E8:H8"/>
    <mergeCell ref="A4:D4"/>
    <mergeCell ref="E4:H4"/>
    <mergeCell ref="A90:B90"/>
    <mergeCell ref="A88:B88"/>
    <mergeCell ref="C88:H88"/>
    <mergeCell ref="A96:B96"/>
    <mergeCell ref="A69:C69"/>
    <mergeCell ref="D69:H69"/>
    <mergeCell ref="C90:H90"/>
    <mergeCell ref="A93:B93"/>
    <mergeCell ref="A95:B95"/>
    <mergeCell ref="E91:F91"/>
    <mergeCell ref="A70:C70"/>
    <mergeCell ref="D70:H70"/>
    <mergeCell ref="A73:C73"/>
    <mergeCell ref="D73:H73"/>
    <mergeCell ref="A71:C71"/>
    <mergeCell ref="D72:H72"/>
    <mergeCell ref="A92:B92"/>
    <mergeCell ref="G91:H91"/>
    <mergeCell ref="E92:F101"/>
    <mergeCell ref="G92:H101"/>
    <mergeCell ref="A100:B100"/>
    <mergeCell ref="A101:B101"/>
    <mergeCell ref="A94:B94"/>
    <mergeCell ref="A74:B74"/>
    <mergeCell ref="A228:H231"/>
    <mergeCell ref="A227:B227"/>
    <mergeCell ref="E227:F227"/>
    <mergeCell ref="C227:D227"/>
    <mergeCell ref="G227:H227"/>
    <mergeCell ref="A129:H129"/>
    <mergeCell ref="A127:E127"/>
    <mergeCell ref="F127:H127"/>
    <mergeCell ref="A128:E128"/>
    <mergeCell ref="F128:H128"/>
    <mergeCell ref="A135:B135"/>
    <mergeCell ref="A170:B170"/>
    <mergeCell ref="A131:B131"/>
    <mergeCell ref="A223:H223"/>
    <mergeCell ref="A133:H133"/>
    <mergeCell ref="A226:H226"/>
    <mergeCell ref="A224:H224"/>
    <mergeCell ref="A220:H220"/>
    <mergeCell ref="G134:H134"/>
    <mergeCell ref="C141:C142"/>
    <mergeCell ref="B153:B154"/>
    <mergeCell ref="A221:H221"/>
    <mergeCell ref="B214:H214"/>
    <mergeCell ref="A174:B174"/>
    <mergeCell ref="E105:F105"/>
    <mergeCell ref="G105:H105"/>
    <mergeCell ref="A122:E122"/>
    <mergeCell ref="F122:H122"/>
    <mergeCell ref="A124:E124"/>
    <mergeCell ref="F119:H119"/>
    <mergeCell ref="A123:E123"/>
    <mergeCell ref="E106:F115"/>
    <mergeCell ref="A113:B113"/>
    <mergeCell ref="A114:B114"/>
    <mergeCell ref="A105:B105"/>
    <mergeCell ref="G106:H115"/>
    <mergeCell ref="A107:B107"/>
    <mergeCell ref="A108:B108"/>
    <mergeCell ref="A109:B109"/>
    <mergeCell ref="F118:H118"/>
    <mergeCell ref="A118:E118"/>
    <mergeCell ref="B209:H209"/>
    <mergeCell ref="B210:H210"/>
    <mergeCell ref="B212:H212"/>
    <mergeCell ref="B213:H213"/>
    <mergeCell ref="A208:H208"/>
    <mergeCell ref="A188:B188"/>
    <mergeCell ref="A189:B189"/>
    <mergeCell ref="A190:B190"/>
    <mergeCell ref="C201:H201"/>
    <mergeCell ref="A207:H207"/>
    <mergeCell ref="A200:B200"/>
    <mergeCell ref="A201:B201"/>
    <mergeCell ref="A202:B202"/>
    <mergeCell ref="A203:B203"/>
    <mergeCell ref="A204:B204"/>
    <mergeCell ref="A205:B205"/>
    <mergeCell ref="A206:B206"/>
    <mergeCell ref="A191:H191"/>
    <mergeCell ref="A192:B192"/>
    <mergeCell ref="A193:B193"/>
    <mergeCell ref="A194:B194"/>
    <mergeCell ref="A195:B195"/>
    <mergeCell ref="A196:B196"/>
    <mergeCell ref="A197:B197"/>
    <mergeCell ref="A225:H225"/>
    <mergeCell ref="A222:H222"/>
    <mergeCell ref="A162:B162"/>
    <mergeCell ref="A134:B134"/>
    <mergeCell ref="D153:D154"/>
    <mergeCell ref="E153:E154"/>
    <mergeCell ref="A110:B110"/>
    <mergeCell ref="A111:B111"/>
    <mergeCell ref="A112:B112"/>
    <mergeCell ref="F117:H117"/>
    <mergeCell ref="G131:H131"/>
    <mergeCell ref="F123:H123"/>
    <mergeCell ref="C130:D130"/>
    <mergeCell ref="C137:D137"/>
    <mergeCell ref="A156:H156"/>
    <mergeCell ref="A171:B171"/>
    <mergeCell ref="A168:B168"/>
    <mergeCell ref="B217:H217"/>
    <mergeCell ref="B215:H215"/>
    <mergeCell ref="B211:H211"/>
    <mergeCell ref="B218:H218"/>
    <mergeCell ref="A138:B138"/>
    <mergeCell ref="A176:B176"/>
    <mergeCell ref="A144:H144"/>
    <mergeCell ref="G52:H52"/>
    <mergeCell ref="A51:B51"/>
    <mergeCell ref="A61:H61"/>
    <mergeCell ref="A62:C62"/>
    <mergeCell ref="A63:C63"/>
    <mergeCell ref="D63:H63"/>
    <mergeCell ref="G60:H60"/>
    <mergeCell ref="A54:B55"/>
    <mergeCell ref="C54:E54"/>
    <mergeCell ref="G54:H54"/>
    <mergeCell ref="A56:B57"/>
    <mergeCell ref="C56:E56"/>
    <mergeCell ref="G56:H56"/>
    <mergeCell ref="A58:B59"/>
    <mergeCell ref="C58:E58"/>
    <mergeCell ref="G58:H58"/>
    <mergeCell ref="G51:H51"/>
    <mergeCell ref="A52:B53"/>
    <mergeCell ref="C53:H53"/>
    <mergeCell ref="C52:E52"/>
    <mergeCell ref="I15:P15"/>
    <mergeCell ref="F126:H126"/>
    <mergeCell ref="F124:H124"/>
    <mergeCell ref="A169:B169"/>
    <mergeCell ref="A140:H140"/>
    <mergeCell ref="G130:H130"/>
    <mergeCell ref="A125:E125"/>
    <mergeCell ref="A147:B147"/>
    <mergeCell ref="A60:B60"/>
    <mergeCell ref="C60:E60"/>
    <mergeCell ref="D62:H62"/>
    <mergeCell ref="F125:H125"/>
    <mergeCell ref="E130:F130"/>
    <mergeCell ref="A130:B130"/>
    <mergeCell ref="C134:D134"/>
    <mergeCell ref="D71:H71"/>
    <mergeCell ref="A72:C72"/>
    <mergeCell ref="E43:H43"/>
    <mergeCell ref="A43:D43"/>
    <mergeCell ref="A102:B102"/>
    <mergeCell ref="C102:H102"/>
    <mergeCell ref="A97:B97"/>
    <mergeCell ref="A50:B50"/>
    <mergeCell ref="C50:E50"/>
    <mergeCell ref="A143:H143"/>
    <mergeCell ref="A150:B150"/>
    <mergeCell ref="A151:B151"/>
    <mergeCell ref="A155:H155"/>
    <mergeCell ref="A161:B161"/>
    <mergeCell ref="A164:H164"/>
    <mergeCell ref="A167:B167"/>
    <mergeCell ref="A178:B178"/>
    <mergeCell ref="C179:H179"/>
    <mergeCell ref="A146:B146"/>
    <mergeCell ref="A177:B177"/>
    <mergeCell ref="A172:H172"/>
    <mergeCell ref="A179:B179"/>
    <mergeCell ref="A198:B198"/>
    <mergeCell ref="A199:H199"/>
    <mergeCell ref="A181:H181"/>
    <mergeCell ref="A183:H183"/>
    <mergeCell ref="A186:B186"/>
    <mergeCell ref="A187:B187"/>
    <mergeCell ref="A185:B185"/>
    <mergeCell ref="A184:B184"/>
    <mergeCell ref="A180:H180"/>
    <mergeCell ref="A182:H182"/>
  </mergeCells>
  <dataValidations count="16">
    <dataValidation type="list" allowBlank="1" showInputMessage="1" showErrorMessage="1" sqref="E5:H5">
      <formula1>OFFSET($L$3,1,MATCH($E4,$L$3:$P$3,0)-1,10,1)</formula1>
    </dataValidation>
    <dataValidation type="list" allowBlank="1" showInputMessage="1" showErrorMessage="1" sqref="A17:B17">
      <formula1>"CTS No,Survey No,Plot No,Gut No,FP No,"</formula1>
    </dataValidation>
    <dataValidation type="list" allowBlank="1" showInputMessage="1" showErrorMessage="1" sqref="G20:H20">
      <formula1>$S$13:$W$13</formula1>
    </dataValidation>
    <dataValidation type="list" allowBlank="1" showInputMessage="1" showErrorMessage="1" sqref="E141:E142">
      <formula1>"Attached Loft area,Attached Otla area,Attached Mezzanine area"</formula1>
    </dataValidation>
    <dataValidation type="list" allowBlank="1" showInputMessage="1" showErrorMessage="1" sqref="G227:H227">
      <formula1>"Kunal Kadam,Shruti Tathare,Pranita Mhatre,Shruti Fule,Pooja Kawale,Mansee Mohite,Anjali Kamble,Diptee Gotawade, Sachin Sawant"</formula1>
    </dataValidation>
    <dataValidation type="list" allowBlank="1" showInputMessage="1" showErrorMessage="1" sqref="F116:H116">
      <formula1>"On Saleable Area,On Builtup Area,On Carpet Area,On Plot Area"</formula1>
    </dataValidation>
    <dataValidation type="list" allowBlank="1" showInputMessage="1" showErrorMessage="1" sqref="F127:H127">
      <formula1>OFFSET($S$116,1,MATCH($G20,$S$116:$W$116,0)-1,15,1)</formula1>
    </dataValidation>
    <dataValidation type="list" allowBlank="1" showInputMessage="1" showErrorMessage="1" sqref="B141:B142">
      <formula1>"Shop No. (Sale Plan),Sale / Rehab,Sale / Mhada"</formula1>
    </dataValidation>
    <dataValidation type="list" allowBlank="1" showInputMessage="1" showErrorMessage="1" sqref="B153:B154">
      <formula1>"Flat No. (Sale Plan),Sale / Rehab,Sale / Mhada"</formula1>
    </dataValidation>
    <dataValidation type="list" allowBlank="1" showInputMessage="1" showErrorMessage="1" sqref="C21:D21">
      <formula1>OFFSET($S$13,1,MATCH($G20,$S$13:$W$13,0)-1,15,1)</formula1>
    </dataValidation>
    <dataValidation type="list" allowBlank="1" showInputMessage="1" showErrorMessage="1" sqref="Y13">
      <formula1>$D$5:$H$5</formula1>
    </dataValidation>
    <dataValidation type="list" allowBlank="1" showInputMessage="1" showErrorMessage="1" sqref="E153:E154">
      <formula1>"Fungible area,Balcony Area+Chajja Area,Cornice Area,AP Area,WS Area"</formula1>
    </dataValidation>
    <dataValidation type="list" allowBlank="1" showInputMessage="1" showErrorMessage="1" sqref="H142 H154">
      <formula1>".45,.50,.55,.60"</formula1>
    </dataValidation>
    <dataValidation type="list" allowBlank="1" showInputMessage="1" showErrorMessage="1" sqref="E4:H4">
      <formula1>$L$3:$P$3</formula1>
    </dataValidation>
    <dataValidation type="list" allowBlank="1" showInputMessage="1" showErrorMessage="1" sqref="C49:H49">
      <formula1>OFFSET($S$49,1,MATCH($G20,$S$49:$W$49,0)-1,15,1)</formula1>
    </dataValidation>
    <dataValidation type="whole" allowBlank="1" showInputMessage="1" showErrorMessage="1" sqref="C97 C83">
      <formula1>0</formula1>
      <formula2>H75</formula2>
    </dataValidation>
  </dataValidations>
  <hyperlinks>
    <hyperlink ref="C40" r:id="rId1"/>
  </hyperlinks>
  <printOptions horizontalCentered="1"/>
  <pageMargins left="0.39370078740157483" right="0.39370078740157483" top="0.82677165354330717" bottom="0.78740157480314965" header="0.15748031496062992" footer="0.19685039370078741"/>
  <pageSetup paperSize="2" orientation="portrait" r:id="rId2"/>
  <headerFooter>
    <oddHeader>&amp;C&amp;G</oddHeader>
    <oddFooter>&amp;L&amp;"Times New Roman,Bold"&amp;12Ref No: &amp;F&amp;C&amp;G&amp;R&amp;"Times New Roman,Bold"&amp;12&amp;P</oddFooter>
  </headerFooter>
  <rowBreaks count="4" manualBreakCount="4">
    <brk id="217" max="7" man="1"/>
    <brk id="231" max="16383" man="1"/>
    <brk id="274" max="16383" man="1"/>
    <brk id="317" max="16383" man="1"/>
  </rowBreaks>
  <drawing r:id="rId3"/>
  <legacyDrawing r:id="rId4"/>
  <legacyDrawingHF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I16"/>
  <sheetViews>
    <sheetView zoomScale="85" zoomScaleNormal="85" workbookViewId="0">
      <selection activeCell="K3" sqref="K3"/>
    </sheetView>
  </sheetViews>
  <sheetFormatPr defaultColWidth="8.7109375" defaultRowHeight="15" x14ac:dyDescent="0.25"/>
  <cols>
    <col min="1" max="1" width="8.7109375" style="1"/>
    <col min="2" max="2" width="22.140625" style="1" customWidth="1"/>
    <col min="3" max="3" width="37" style="1" customWidth="1"/>
    <col min="4" max="5" width="11.42578125" style="1" customWidth="1"/>
    <col min="6" max="6" width="14" style="1" customWidth="1"/>
    <col min="7" max="7" width="20" style="1" customWidth="1"/>
    <col min="8" max="8" width="16.42578125" style="1" customWidth="1"/>
    <col min="9" max="16384" width="8.7109375" style="1"/>
  </cols>
  <sheetData>
    <row r="1" spans="1:9" ht="15" customHeight="1" x14ac:dyDescent="0.25"/>
    <row r="2" spans="1:9" ht="15" customHeight="1" x14ac:dyDescent="0.25">
      <c r="A2" s="2"/>
      <c r="B2" s="2"/>
      <c r="C2" s="2"/>
      <c r="D2" s="2"/>
      <c r="E2" s="2"/>
      <c r="F2" s="2"/>
      <c r="G2" s="2"/>
      <c r="H2" s="2"/>
    </row>
    <row r="3" spans="1:9" ht="15.75" customHeight="1" x14ac:dyDescent="0.25">
      <c r="A3" s="2"/>
      <c r="B3" s="244" t="s">
        <v>105</v>
      </c>
      <c r="C3" s="244"/>
      <c r="D3" s="244"/>
      <c r="E3" s="244"/>
      <c r="F3" s="244"/>
      <c r="G3" s="244"/>
      <c r="H3" s="244"/>
    </row>
    <row r="4" spans="1:9" x14ac:dyDescent="0.25">
      <c r="A4" s="2"/>
      <c r="B4" s="3" t="s">
        <v>106</v>
      </c>
      <c r="C4" s="3" t="s">
        <v>107</v>
      </c>
      <c r="D4" s="3" t="s">
        <v>66</v>
      </c>
      <c r="E4" s="3" t="s">
        <v>108</v>
      </c>
      <c r="F4" s="3" t="s">
        <v>114</v>
      </c>
      <c r="G4" s="3" t="s">
        <v>115</v>
      </c>
      <c r="H4" s="3" t="s">
        <v>109</v>
      </c>
    </row>
    <row r="5" spans="1:9" ht="15" customHeight="1" x14ac:dyDescent="0.25">
      <c r="A5" s="2"/>
      <c r="B5" s="5" t="s">
        <v>110</v>
      </c>
      <c r="C5" s="6"/>
      <c r="D5" s="5"/>
      <c r="E5" s="5"/>
      <c r="F5" s="7">
        <f>E5*1.6</f>
        <v>0</v>
      </c>
      <c r="G5" s="7" t="e">
        <f>H5/F5</f>
        <v>#DIV/0!</v>
      </c>
      <c r="H5" s="8"/>
    </row>
    <row r="6" spans="1:9" x14ac:dyDescent="0.25">
      <c r="A6" s="2"/>
      <c r="B6" s="5" t="s">
        <v>110</v>
      </c>
      <c r="C6" s="9"/>
      <c r="D6" s="5"/>
      <c r="E6" s="5"/>
      <c r="F6" s="7">
        <f t="shared" ref="F6:F11" si="0">E6*1.6</f>
        <v>0</v>
      </c>
      <c r="G6" s="7" t="e">
        <f t="shared" ref="G6:G11" si="1">H6/F6</f>
        <v>#DIV/0!</v>
      </c>
      <c r="H6" s="8"/>
    </row>
    <row r="7" spans="1:9" ht="15" customHeight="1" x14ac:dyDescent="0.25">
      <c r="A7" s="2"/>
      <c r="B7" s="5" t="s">
        <v>110</v>
      </c>
      <c r="C7" s="6"/>
      <c r="D7" s="5"/>
      <c r="E7" s="5"/>
      <c r="F7" s="7">
        <f t="shared" si="0"/>
        <v>0</v>
      </c>
      <c r="G7" s="7" t="e">
        <f t="shared" si="1"/>
        <v>#DIV/0!</v>
      </c>
      <c r="H7" s="8"/>
    </row>
    <row r="8" spans="1:9" x14ac:dyDescent="0.25">
      <c r="A8" s="2"/>
      <c r="B8" s="5" t="s">
        <v>110</v>
      </c>
      <c r="C8" s="9"/>
      <c r="D8" s="5"/>
      <c r="E8" s="5"/>
      <c r="F8" s="7">
        <f t="shared" si="0"/>
        <v>0</v>
      </c>
      <c r="G8" s="7" t="e">
        <f t="shared" si="1"/>
        <v>#DIV/0!</v>
      </c>
      <c r="H8" s="8"/>
    </row>
    <row r="9" spans="1:9" ht="15" customHeight="1" x14ac:dyDescent="0.25">
      <c r="A9" s="2"/>
      <c r="B9" s="5" t="s">
        <v>110</v>
      </c>
      <c r="C9" s="9"/>
      <c r="D9" s="5"/>
      <c r="E9" s="5"/>
      <c r="F9" s="7">
        <f t="shared" si="0"/>
        <v>0</v>
      </c>
      <c r="G9" s="7" t="e">
        <f t="shared" si="1"/>
        <v>#DIV/0!</v>
      </c>
      <c r="H9" s="8"/>
    </row>
    <row r="10" spans="1:9" ht="15" customHeight="1" x14ac:dyDescent="0.25">
      <c r="A10" s="2"/>
      <c r="B10" s="5" t="s">
        <v>111</v>
      </c>
      <c r="C10" s="6"/>
      <c r="D10" s="5"/>
      <c r="E10" s="5"/>
      <c r="F10" s="7">
        <f t="shared" si="0"/>
        <v>0</v>
      </c>
      <c r="G10" s="7" t="e">
        <f t="shared" si="1"/>
        <v>#DIV/0!</v>
      </c>
      <c r="H10" s="8"/>
    </row>
    <row r="11" spans="1:9" ht="15" customHeight="1" x14ac:dyDescent="0.25">
      <c r="A11" s="2"/>
      <c r="B11" s="5" t="s">
        <v>111</v>
      </c>
      <c r="C11" s="6"/>
      <c r="D11" s="5"/>
      <c r="E11" s="5"/>
      <c r="F11" s="7">
        <f t="shared" si="0"/>
        <v>0</v>
      </c>
      <c r="G11" s="7" t="e">
        <f t="shared" si="1"/>
        <v>#DIV/0!</v>
      </c>
      <c r="H11" s="8"/>
    </row>
    <row r="12" spans="1:9" ht="15" customHeight="1" x14ac:dyDescent="0.25">
      <c r="A12" s="2"/>
      <c r="B12" s="10" t="s">
        <v>112</v>
      </c>
      <c r="C12" s="5"/>
      <c r="D12" s="5"/>
      <c r="E12" s="5"/>
      <c r="F12" s="5"/>
      <c r="G12" s="11" t="e">
        <f>AVERAGE(G5:G11)</f>
        <v>#DIV/0!</v>
      </c>
      <c r="H12" s="5"/>
    </row>
    <row r="13" spans="1:9" ht="15" customHeight="1" x14ac:dyDescent="0.25">
      <c r="B13" s="10" t="s">
        <v>113</v>
      </c>
      <c r="C13" s="5"/>
      <c r="D13" s="5"/>
      <c r="E13" s="5"/>
      <c r="F13" s="12"/>
      <c r="G13" s="10"/>
      <c r="H13" s="10"/>
      <c r="I13" s="4"/>
    </row>
    <row r="14" spans="1:9" ht="15" customHeight="1" x14ac:dyDescent="0.25"/>
    <row r="15" spans="1:9" ht="15" customHeight="1" x14ac:dyDescent="0.25"/>
    <row r="16" spans="1:9" ht="15" customHeight="1" x14ac:dyDescent="0.25"/>
  </sheetData>
  <mergeCells count="1">
    <mergeCell ref="B3:H3"/>
  </mergeCells>
  <pageMargins left="0.7" right="0.7" top="0.75" bottom="0.75" header="0.3" footer="0.3"/>
  <pageSetup orientation="portrait" horizontalDpi="300" verticalDpi="3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B3:K69"/>
  <sheetViews>
    <sheetView topLeftCell="A55" zoomScale="130" zoomScaleNormal="130" workbookViewId="0">
      <selection activeCell="C43" sqref="C43:D69"/>
    </sheetView>
  </sheetViews>
  <sheetFormatPr defaultRowHeight="15" x14ac:dyDescent="0.25"/>
  <cols>
    <col min="4" max="4" width="13.85546875" bestFit="1" customWidth="1"/>
    <col min="5" max="5" width="10.42578125" bestFit="1" customWidth="1"/>
    <col min="6" max="6" width="12.42578125" bestFit="1" customWidth="1"/>
    <col min="7" max="7" width="18.140625" customWidth="1"/>
    <col min="8" max="8" width="10.5703125" bestFit="1" customWidth="1"/>
  </cols>
  <sheetData>
    <row r="3" spans="2:11" x14ac:dyDescent="0.25">
      <c r="J3">
        <v>1</v>
      </c>
      <c r="K3">
        <v>2</v>
      </c>
    </row>
    <row r="4" spans="2:11" x14ac:dyDescent="0.25">
      <c r="B4" s="51"/>
      <c r="C4" s="51" t="s">
        <v>11</v>
      </c>
      <c r="D4" s="52" t="s">
        <v>176</v>
      </c>
      <c r="E4" s="52" t="s">
        <v>186</v>
      </c>
      <c r="F4" s="52" t="s">
        <v>169</v>
      </c>
      <c r="G4" s="52" t="s">
        <v>191</v>
      </c>
      <c r="H4" s="52" t="s">
        <v>209</v>
      </c>
      <c r="J4" t="s">
        <v>191</v>
      </c>
      <c r="K4" t="s">
        <v>207</v>
      </c>
    </row>
    <row r="5" spans="2:11" x14ac:dyDescent="0.25">
      <c r="B5" s="51"/>
      <c r="C5" s="51"/>
      <c r="D5" s="52" t="s">
        <v>177</v>
      </c>
      <c r="E5" s="52" t="s">
        <v>184</v>
      </c>
      <c r="F5" s="52" t="s">
        <v>206</v>
      </c>
      <c r="G5" s="52" t="s">
        <v>192</v>
      </c>
      <c r="H5" s="52" t="s">
        <v>210</v>
      </c>
    </row>
    <row r="6" spans="2:11" x14ac:dyDescent="0.25">
      <c r="B6" s="51"/>
      <c r="C6" s="51"/>
      <c r="D6" s="52" t="s">
        <v>178</v>
      </c>
      <c r="E6" s="52" t="s">
        <v>185</v>
      </c>
      <c r="F6" s="52" t="s">
        <v>207</v>
      </c>
      <c r="G6" s="52" t="s">
        <v>193</v>
      </c>
      <c r="H6" s="52" t="s">
        <v>223</v>
      </c>
    </row>
    <row r="7" spans="2:11" x14ac:dyDescent="0.25">
      <c r="B7" s="51"/>
      <c r="C7" s="51"/>
      <c r="D7" s="52" t="s">
        <v>179</v>
      </c>
      <c r="E7" s="52" t="s">
        <v>187</v>
      </c>
      <c r="F7" s="52" t="s">
        <v>208</v>
      </c>
      <c r="G7" s="52" t="s">
        <v>194</v>
      </c>
      <c r="H7" s="52" t="s">
        <v>211</v>
      </c>
    </row>
    <row r="8" spans="2:11" x14ac:dyDescent="0.25">
      <c r="B8" s="51"/>
      <c r="C8" s="51"/>
      <c r="D8" s="52" t="s">
        <v>180</v>
      </c>
      <c r="E8" s="52" t="s">
        <v>188</v>
      </c>
      <c r="F8" s="52"/>
      <c r="G8" s="52" t="s">
        <v>195</v>
      </c>
      <c r="H8" s="52" t="s">
        <v>212</v>
      </c>
    </row>
    <row r="9" spans="2:11" x14ac:dyDescent="0.25">
      <c r="B9" s="51"/>
      <c r="C9" s="51"/>
      <c r="D9" s="52" t="s">
        <v>181</v>
      </c>
      <c r="E9" s="52" t="s">
        <v>186</v>
      </c>
      <c r="F9" s="52"/>
      <c r="G9" s="52" t="s">
        <v>196</v>
      </c>
      <c r="H9" s="52" t="s">
        <v>213</v>
      </c>
    </row>
    <row r="10" spans="2:11" x14ac:dyDescent="0.25">
      <c r="B10" s="51"/>
      <c r="C10" s="51"/>
      <c r="D10" s="52" t="s">
        <v>182</v>
      </c>
      <c r="E10" s="52" t="s">
        <v>189</v>
      </c>
      <c r="F10" s="52"/>
      <c r="G10" s="52" t="s">
        <v>197</v>
      </c>
      <c r="H10" s="52" t="s">
        <v>214</v>
      </c>
    </row>
    <row r="11" spans="2:11" x14ac:dyDescent="0.25">
      <c r="B11" s="51"/>
      <c r="C11" s="51"/>
      <c r="D11" s="52" t="s">
        <v>183</v>
      </c>
      <c r="E11" s="52" t="s">
        <v>190</v>
      </c>
      <c r="F11" s="52"/>
      <c r="G11" s="52" t="s">
        <v>198</v>
      </c>
      <c r="H11" s="52" t="s">
        <v>215</v>
      </c>
    </row>
    <row r="12" spans="2:11" x14ac:dyDescent="0.25">
      <c r="B12" s="51"/>
      <c r="C12" s="51"/>
      <c r="D12" s="52"/>
      <c r="E12" s="52"/>
      <c r="F12" s="52"/>
      <c r="G12" s="52" t="s">
        <v>199</v>
      </c>
      <c r="H12" s="52" t="s">
        <v>216</v>
      </c>
    </row>
    <row r="13" spans="2:11" x14ac:dyDescent="0.25">
      <c r="B13" s="51"/>
      <c r="C13" s="51"/>
      <c r="D13" s="52"/>
      <c r="E13" s="52"/>
      <c r="F13" s="52"/>
      <c r="G13" s="52" t="s">
        <v>200</v>
      </c>
      <c r="H13" s="52" t="s">
        <v>217</v>
      </c>
    </row>
    <row r="14" spans="2:11" x14ac:dyDescent="0.25">
      <c r="B14" s="51"/>
      <c r="C14" s="51"/>
      <c r="D14" s="52"/>
      <c r="E14" s="52"/>
      <c r="F14" s="52"/>
      <c r="G14" s="52" t="s">
        <v>201</v>
      </c>
      <c r="H14" s="52" t="s">
        <v>218</v>
      </c>
    </row>
    <row r="15" spans="2:11" x14ac:dyDescent="0.25">
      <c r="B15" s="51"/>
      <c r="C15" s="51"/>
      <c r="D15" s="52"/>
      <c r="E15" s="52"/>
      <c r="F15" s="52"/>
      <c r="G15" s="52" t="s">
        <v>202</v>
      </c>
      <c r="H15" s="52" t="s">
        <v>219</v>
      </c>
    </row>
    <row r="16" spans="2:11" x14ac:dyDescent="0.25">
      <c r="B16" s="51"/>
      <c r="C16" s="51"/>
      <c r="D16" s="52"/>
      <c r="E16" s="52"/>
      <c r="F16" s="52"/>
      <c r="G16" s="52" t="s">
        <v>203</v>
      </c>
      <c r="H16" s="52" t="s">
        <v>220</v>
      </c>
    </row>
    <row r="17" spans="2:8" x14ac:dyDescent="0.25">
      <c r="B17" s="51"/>
      <c r="C17" s="51"/>
      <c r="D17" s="52"/>
      <c r="E17" s="52"/>
      <c r="F17" s="52"/>
      <c r="G17" s="52" t="s">
        <v>204</v>
      </c>
      <c r="H17" s="52" t="s">
        <v>221</v>
      </c>
    </row>
    <row r="18" spans="2:8" x14ac:dyDescent="0.25">
      <c r="B18" s="51"/>
      <c r="C18" s="51"/>
      <c r="D18" s="52"/>
      <c r="E18" s="52"/>
      <c r="F18" s="52"/>
      <c r="G18" s="52" t="s">
        <v>205</v>
      </c>
      <c r="H18" s="52" t="s">
        <v>222</v>
      </c>
    </row>
    <row r="24" spans="2:8" x14ac:dyDescent="0.25">
      <c r="C24" t="s">
        <v>166</v>
      </c>
    </row>
    <row r="25" spans="2:8" x14ac:dyDescent="0.25">
      <c r="C25" t="s">
        <v>224</v>
      </c>
    </row>
    <row r="26" spans="2:8" x14ac:dyDescent="0.25">
      <c r="C26" t="s">
        <v>225</v>
      </c>
    </row>
    <row r="27" spans="2:8" x14ac:dyDescent="0.25">
      <c r="C27" t="s">
        <v>226</v>
      </c>
    </row>
    <row r="28" spans="2:8" x14ac:dyDescent="0.25">
      <c r="C28" t="s">
        <v>227</v>
      </c>
    </row>
    <row r="29" spans="2:8" x14ac:dyDescent="0.25">
      <c r="C29" t="s">
        <v>228</v>
      </c>
    </row>
    <row r="30" spans="2:8" x14ac:dyDescent="0.25">
      <c r="C30" t="s">
        <v>166</v>
      </c>
    </row>
    <row r="33" spans="3:11" x14ac:dyDescent="0.25">
      <c r="J33">
        <v>1</v>
      </c>
      <c r="K33">
        <v>2</v>
      </c>
    </row>
    <row r="34" spans="3:11" x14ac:dyDescent="0.25">
      <c r="C34" s="56" t="s">
        <v>234</v>
      </c>
      <c r="D34" s="52" t="s">
        <v>232</v>
      </c>
      <c r="E34" s="52" t="s">
        <v>237</v>
      </c>
      <c r="F34" s="52" t="s">
        <v>235</v>
      </c>
      <c r="G34" s="52" t="s">
        <v>236</v>
      </c>
      <c r="H34" s="52" t="s">
        <v>238</v>
      </c>
      <c r="J34" t="s">
        <v>191</v>
      </c>
      <c r="K34" t="s">
        <v>207</v>
      </c>
    </row>
    <row r="35" spans="3:11" x14ac:dyDescent="0.25">
      <c r="C35" s="51" t="s">
        <v>233</v>
      </c>
      <c r="D35" s="52" t="s">
        <v>167</v>
      </c>
      <c r="E35" s="52" t="s">
        <v>242</v>
      </c>
      <c r="F35" s="52" t="s">
        <v>244</v>
      </c>
      <c r="G35" s="52" t="s">
        <v>246</v>
      </c>
      <c r="H35" s="52"/>
    </row>
    <row r="36" spans="3:11" x14ac:dyDescent="0.25">
      <c r="C36" s="51"/>
      <c r="D36" s="52" t="s">
        <v>239</v>
      </c>
      <c r="E36" s="52" t="s">
        <v>243</v>
      </c>
      <c r="F36" s="52" t="s">
        <v>245</v>
      </c>
      <c r="G36" s="52" t="s">
        <v>247</v>
      </c>
      <c r="H36" s="52"/>
    </row>
    <row r="37" spans="3:11" x14ac:dyDescent="0.25">
      <c r="C37" s="51"/>
      <c r="D37" s="52" t="s">
        <v>240</v>
      </c>
      <c r="E37" s="52"/>
      <c r="F37" s="52"/>
      <c r="G37" s="52" t="s">
        <v>248</v>
      </c>
      <c r="H37" s="52"/>
    </row>
    <row r="38" spans="3:11" x14ac:dyDescent="0.25">
      <c r="C38" s="51"/>
      <c r="D38" s="52" t="s">
        <v>241</v>
      </c>
      <c r="E38" s="52"/>
      <c r="F38" s="52"/>
      <c r="G38" s="52" t="s">
        <v>248</v>
      </c>
      <c r="H38" s="52"/>
    </row>
    <row r="39" spans="3:11" x14ac:dyDescent="0.25">
      <c r="C39" s="51"/>
      <c r="D39" s="52"/>
      <c r="E39" s="52"/>
      <c r="F39" s="52"/>
      <c r="G39" s="52" t="s">
        <v>249</v>
      </c>
      <c r="H39" s="52"/>
    </row>
    <row r="40" spans="3:11" x14ac:dyDescent="0.25">
      <c r="C40" s="51"/>
      <c r="D40" s="52"/>
      <c r="E40" s="52"/>
      <c r="F40" s="52"/>
      <c r="G40" s="52" t="s">
        <v>250</v>
      </c>
      <c r="H40" s="52"/>
    </row>
    <row r="41" spans="3:11" x14ac:dyDescent="0.25">
      <c r="C41" s="51"/>
      <c r="D41" s="52"/>
      <c r="E41" s="52"/>
      <c r="F41" s="52"/>
      <c r="G41" s="52"/>
      <c r="H41" s="52"/>
    </row>
    <row r="43" spans="3:11" x14ac:dyDescent="0.25">
      <c r="C43" t="s">
        <v>251</v>
      </c>
    </row>
    <row r="44" spans="3:11" x14ac:dyDescent="0.25">
      <c r="C44" t="s">
        <v>169</v>
      </c>
      <c r="D44" t="s">
        <v>252</v>
      </c>
    </row>
    <row r="45" spans="3:11" x14ac:dyDescent="0.25">
      <c r="D45" t="s">
        <v>253</v>
      </c>
    </row>
    <row r="46" spans="3:11" x14ac:dyDescent="0.25">
      <c r="D46" t="s">
        <v>254</v>
      </c>
    </row>
    <row r="47" spans="3:11" x14ac:dyDescent="0.25">
      <c r="D47" t="s">
        <v>255</v>
      </c>
    </row>
    <row r="48" spans="3:11" x14ac:dyDescent="0.25">
      <c r="D48" t="s">
        <v>256</v>
      </c>
    </row>
    <row r="49" spans="3:4" x14ac:dyDescent="0.25">
      <c r="C49" t="s">
        <v>176</v>
      </c>
      <c r="D49" t="s">
        <v>257</v>
      </c>
    </row>
    <row r="50" spans="3:4" x14ac:dyDescent="0.25">
      <c r="D50" t="s">
        <v>258</v>
      </c>
    </row>
    <row r="51" spans="3:4" x14ac:dyDescent="0.25">
      <c r="D51" t="s">
        <v>259</v>
      </c>
    </row>
    <row r="52" spans="3:4" x14ac:dyDescent="0.25">
      <c r="D52" t="s">
        <v>262</v>
      </c>
    </row>
    <row r="53" spans="3:4" x14ac:dyDescent="0.25">
      <c r="D53" t="s">
        <v>260</v>
      </c>
    </row>
    <row r="54" spans="3:4" x14ac:dyDescent="0.25">
      <c r="D54" t="s">
        <v>261</v>
      </c>
    </row>
    <row r="55" spans="3:4" x14ac:dyDescent="0.25">
      <c r="D55" t="s">
        <v>263</v>
      </c>
    </row>
    <row r="56" spans="3:4" x14ac:dyDescent="0.25">
      <c r="D56" t="s">
        <v>264</v>
      </c>
    </row>
    <row r="57" spans="3:4" x14ac:dyDescent="0.25">
      <c r="D57" t="s">
        <v>265</v>
      </c>
    </row>
    <row r="58" spans="3:4" x14ac:dyDescent="0.25">
      <c r="D58" t="s">
        <v>267</v>
      </c>
    </row>
    <row r="59" spans="3:4" x14ac:dyDescent="0.25">
      <c r="D59" t="s">
        <v>276</v>
      </c>
    </row>
    <row r="60" spans="3:4" x14ac:dyDescent="0.25">
      <c r="C60" t="s">
        <v>191</v>
      </c>
      <c r="D60" t="s">
        <v>268</v>
      </c>
    </row>
    <row r="61" spans="3:4" x14ac:dyDescent="0.25">
      <c r="D61" t="s">
        <v>266</v>
      </c>
    </row>
    <row r="62" spans="3:4" x14ac:dyDescent="0.25">
      <c r="D62" t="s">
        <v>256</v>
      </c>
    </row>
    <row r="63" spans="3:4" x14ac:dyDescent="0.25">
      <c r="D63" t="s">
        <v>269</v>
      </c>
    </row>
    <row r="64" spans="3:4" x14ac:dyDescent="0.25">
      <c r="D64" t="s">
        <v>270</v>
      </c>
    </row>
    <row r="65" spans="3:4" x14ac:dyDescent="0.25">
      <c r="D65" t="s">
        <v>271</v>
      </c>
    </row>
    <row r="66" spans="3:4" x14ac:dyDescent="0.25">
      <c r="D66" t="s">
        <v>272</v>
      </c>
    </row>
    <row r="67" spans="3:4" x14ac:dyDescent="0.25">
      <c r="C67" t="s">
        <v>186</v>
      </c>
      <c r="D67" t="s">
        <v>273</v>
      </c>
    </row>
    <row r="68" spans="3:4" x14ac:dyDescent="0.25">
      <c r="D68" t="s">
        <v>274</v>
      </c>
    </row>
    <row r="69" spans="3:4" x14ac:dyDescent="0.25">
      <c r="D69" t="s">
        <v>275</v>
      </c>
    </row>
  </sheetData>
  <dataValidations count="2">
    <dataValidation type="list" allowBlank="1" showInputMessage="1" showErrorMessage="1" sqref="J4 J34">
      <formula1>$D$4:$H$4</formula1>
    </dataValidation>
    <dataValidation type="list" allowBlank="1" showInputMessage="1" showErrorMessage="1" sqref="K4 K34">
      <formula1>OFFSET($D$4,1,MATCH($J4,$D$4:$H$4,0)-1,15,1)</formula1>
    </dataValidation>
  </dataValidation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2:C16"/>
  <sheetViews>
    <sheetView workbookViewId="0">
      <selection activeCell="C22" sqref="C22"/>
    </sheetView>
  </sheetViews>
  <sheetFormatPr defaultRowHeight="15" x14ac:dyDescent="0.25"/>
  <cols>
    <col min="2" max="2" width="3" bestFit="1" customWidth="1"/>
    <col min="3" max="3" width="130" customWidth="1"/>
  </cols>
  <sheetData>
    <row r="2" spans="2:3" ht="15" customHeight="1" x14ac:dyDescent="0.25">
      <c r="B2" s="57">
        <v>1</v>
      </c>
      <c r="C2" s="60" t="s">
        <v>281</v>
      </c>
    </row>
    <row r="3" spans="2:3" x14ac:dyDescent="0.25">
      <c r="B3" s="57">
        <v>2</v>
      </c>
      <c r="C3" s="58" t="s">
        <v>282</v>
      </c>
    </row>
    <row r="4" spans="2:3" x14ac:dyDescent="0.25">
      <c r="B4" s="57">
        <v>3</v>
      </c>
      <c r="C4" s="59" t="s">
        <v>283</v>
      </c>
    </row>
    <row r="5" spans="2:3" ht="30" x14ac:dyDescent="0.25">
      <c r="B5" s="57">
        <v>4</v>
      </c>
      <c r="C5" s="58" t="s">
        <v>284</v>
      </c>
    </row>
    <row r="6" spans="2:3" x14ac:dyDescent="0.25">
      <c r="B6" s="57">
        <v>5</v>
      </c>
      <c r="C6" s="59" t="s">
        <v>285</v>
      </c>
    </row>
    <row r="7" spans="2:3" ht="30" x14ac:dyDescent="0.25">
      <c r="B7" s="57">
        <v>6</v>
      </c>
      <c r="C7" s="58" t="s">
        <v>286</v>
      </c>
    </row>
    <row r="8" spans="2:3" ht="90" x14ac:dyDescent="0.25">
      <c r="B8" s="57">
        <v>7</v>
      </c>
      <c r="C8" s="58" t="s">
        <v>287</v>
      </c>
    </row>
    <row r="9" spans="2:3" x14ac:dyDescent="0.25">
      <c r="B9" s="57">
        <v>8</v>
      </c>
      <c r="C9" s="59" t="s">
        <v>288</v>
      </c>
    </row>
    <row r="10" spans="2:3" x14ac:dyDescent="0.25">
      <c r="B10" s="57">
        <v>9</v>
      </c>
      <c r="C10" s="59" t="s">
        <v>289</v>
      </c>
    </row>
    <row r="11" spans="2:3" x14ac:dyDescent="0.25">
      <c r="B11" s="57">
        <v>10</v>
      </c>
      <c r="C11" s="59" t="s">
        <v>290</v>
      </c>
    </row>
    <row r="12" spans="2:3" x14ac:dyDescent="0.25">
      <c r="B12" s="57">
        <v>11</v>
      </c>
      <c r="C12" s="59" t="s">
        <v>291</v>
      </c>
    </row>
    <row r="13" spans="2:3" x14ac:dyDescent="0.25">
      <c r="B13" s="57">
        <v>12</v>
      </c>
      <c r="C13" s="59" t="s">
        <v>292</v>
      </c>
    </row>
    <row r="14" spans="2:3" x14ac:dyDescent="0.25">
      <c r="B14" s="57">
        <v>13</v>
      </c>
      <c r="C14" s="59" t="s">
        <v>293</v>
      </c>
    </row>
    <row r="15" spans="2:3" x14ac:dyDescent="0.25">
      <c r="B15" s="57">
        <v>14</v>
      </c>
      <c r="C15" s="59"/>
    </row>
    <row r="16" spans="2:3" x14ac:dyDescent="0.25">
      <c r="B16" s="57">
        <v>15</v>
      </c>
      <c r="C16" s="59"/>
    </row>
  </sheetData>
  <pageMargins left="0.7" right="0.7" top="0.75" bottom="0.75" header="0.3" footer="0.3"/>
  <legacy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1</vt:i4>
      </vt:variant>
    </vt:vector>
  </HeadingPairs>
  <TitlesOfParts>
    <vt:vector size="5" baseType="lpstr">
      <vt:lpstr>Report</vt:lpstr>
      <vt:lpstr>valuation</vt:lpstr>
      <vt:lpstr>Research</vt:lpstr>
      <vt:lpstr>Remarks</vt:lpstr>
      <vt:lpstr>Report!Print_Area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VSJC-06</cp:lastModifiedBy>
  <cp:lastPrinted>2025-08-18T07:19:42Z</cp:lastPrinted>
  <dcterms:created xsi:type="dcterms:W3CDTF">2019-07-16T09:29:46Z</dcterms:created>
  <dcterms:modified xsi:type="dcterms:W3CDTF">2025-08-18T07:23:36Z</dcterms:modified>
</cp:coreProperties>
</file>