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20-08-2025\Axis Mira Road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I101" i="1"/>
  <c r="D100" i="1"/>
  <c r="D101" i="1"/>
  <c r="D102" i="1"/>
  <c r="I99" i="1"/>
  <c r="D99" i="1"/>
  <c r="J99" i="1" s="1"/>
  <c r="C93" i="1" l="1"/>
  <c r="E93" i="1"/>
  <c r="C59" i="1" l="1"/>
  <c r="J71" i="1"/>
  <c r="J70" i="1"/>
  <c r="H60" i="1"/>
  <c r="D66" i="1" l="1"/>
  <c r="D72" i="1"/>
  <c r="J64" i="1"/>
  <c r="D73" i="1"/>
  <c r="D69" i="1"/>
  <c r="J65" i="1"/>
  <c r="C64" i="1" s="1"/>
  <c r="D64" i="1" s="1"/>
  <c r="J63" i="1"/>
  <c r="D68" i="1"/>
  <c r="D71" i="1"/>
  <c r="D67" i="1"/>
  <c r="J66" i="1"/>
  <c r="J67" i="1" s="1"/>
  <c r="J72" i="1" s="1"/>
  <c r="D70" i="1"/>
  <c r="G46" i="1"/>
  <c r="G47" i="1" s="1"/>
  <c r="O99" i="1"/>
  <c r="J68" i="1" l="1"/>
  <c r="J69" i="1" s="1"/>
  <c r="A105" i="1"/>
  <c r="A106" i="1" s="1"/>
  <c r="A107" i="1" s="1"/>
  <c r="A108" i="1" s="1"/>
  <c r="A109" i="1" s="1"/>
  <c r="A110" i="1" s="1"/>
  <c r="J73" i="1" l="1"/>
  <c r="P99" i="1"/>
  <c r="E64" i="1" l="1"/>
  <c r="D65" i="1"/>
  <c r="G64" i="1"/>
  <c r="G62" i="1" s="1"/>
  <c r="N99" i="1"/>
  <c r="I59" i="1" l="1"/>
  <c r="C62" i="1"/>
  <c r="D58" i="1"/>
  <c r="C13" i="1" l="1"/>
  <c r="E40" i="1" l="1"/>
  <c r="E41" i="1" s="1"/>
  <c r="E3" i="1" l="1"/>
  <c r="D56" i="1" s="1"/>
  <c r="G99" i="1" l="1"/>
  <c r="G100" i="1" s="1"/>
  <c r="G101" i="1" s="1"/>
  <c r="G102" i="1" s="1"/>
  <c r="O100" i="1" l="1"/>
  <c r="E24" i="1"/>
  <c r="E22" i="1"/>
  <c r="A99" i="1" l="1"/>
  <c r="P100" i="1"/>
  <c r="P101" i="1" s="1"/>
  <c r="P102" i="1" s="1"/>
  <c r="O101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100" i="1" l="1"/>
  <c r="A100" i="1" s="1"/>
  <c r="N101" i="1"/>
  <c r="A101" i="1" s="1"/>
  <c r="O102" i="1"/>
  <c r="N102" i="1" s="1"/>
  <c r="G12" i="5"/>
  <c r="A102" i="1" l="1"/>
  <c r="E7" i="1" l="1"/>
  <c r="D123" i="1" l="1"/>
  <c r="F90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<sst xmlns="http://schemas.openxmlformats.org/spreadsheetml/2006/main" count="284" uniqueCount="230">
  <si>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</si>
  <si>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</si>
  <si>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</si>
  <si>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</si>
  <si>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</si>
  <si>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</si>
  <si>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</si>
  <si>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</si>
  <si>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</si>
  <si>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</si>
  <si>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</si>
  <si>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</si>
  <si>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</si>
  <si>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</si>
  <si>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</si>
  <si>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</si>
  <si>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</si>
  <si>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</si>
  <si>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</si>
  <si>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</si>
  <si>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</si>
  <si>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</si>
  <si>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</si>
  <si>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</si>
  <si>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</si>
  <si>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</si>
  <si>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</si>
  <si>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</si>
  <si>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</si>
  <si>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</si>
  <si>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</si>
  <si>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</si>
  <si>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</si>
  <si>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</si>
  <si>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</si>
  <si>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</si>
  <si>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</si>
  <si>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</si>
  <si>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</si>
  <si>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</si>
  <si>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</si>
  <si>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</si>
  <si>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</si>
  <si>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</si>
  <si>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</si>
  <si>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</si>
  <si>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</si>
  <si>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</si>
  <si>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</si>
  <si>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</si>
  <si>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</si>
  <si>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</si>
  <si>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</si>
  <si>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</si>
  <si>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</si>
  <si>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</si>
  <si>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</si>
  <si>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</si>
  <si>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</si>
  <si>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</si>
  <si>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</si>
  <si>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</si>
  <si>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</si>
  <si>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</si>
  <si>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</si>
  <si>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</si>
  <si>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</si>
  <si>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</si>
  <si>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</si>
  <si>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</si>
  <si>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</si>
  <si>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</si>
  <si>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</si>
  <si>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</si>
  <si>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</si>
  <si>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</si>
  <si>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</si>
  <si>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</si>
  <si>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</si>
  <si>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</si>
  <si>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</si>
  <si>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</si>
  <si>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</si>
  <si>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</si>
  <si>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</si>
  <si>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</si>
  <si>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</si>
  <si>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</si>
  <si>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</si>
  <si>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</si>
  <si>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</si>
  <si>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</si>
  <si>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</si>
  <si>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</si>
  <si>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</si>
  <si>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</si>
  <si>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</si>
  <si>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</si>
  <si>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</si>
  <si>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</si>
  <si>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</si>
  <si>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</si>
  <si>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</si>
  <si>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</si>
  <si>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</si>
  <si>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</si>
  <si>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</si>
  <si>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</si>
  <si>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</si>
  <si>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</si>
  <si>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</si>
  <si>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</si>
  <si>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</si>
  <si>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</si>
  <si>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</si>
  <si>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</si>
  <si>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</si>
  <si>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</si>
  <si>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</si>
  <si>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</si>
  <si>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</si>
  <si>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</si>
  <si>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</si>
  <si>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</si>
  <si>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</si>
  <si>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</si>
  <si>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</si>
  <si>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</si>
  <si>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</si>
  <si>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</si>
  <si>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</si>
  <si>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</si>
  <si>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</si>
  <si>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</si>
  <si>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</si>
  <si>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</si>
  <si>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</si>
  <si>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</si>
  <si>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</si>
  <si>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</si>
  <si>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</si>
  <si>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</si>
  <si>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</si>
  <si>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</si>
  <si>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</si>
  <si>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</si>
  <si>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</si>
  <si>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</si>
  <si>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</si>
  <si>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</si>
  <si>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</si>
  <si>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</si>
  <si>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</si>
  <si>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</si>
  <si>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</si>
  <si>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</si>
  <si>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</si>
  <si>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</si>
  <si>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</si>
  <si>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</si>
  <si>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</si>
  <si>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</si>
  <si>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</si>
  <si>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</si>
  <si>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</si>
  <si>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</si>
  <si>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</si>
  <si>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</si>
  <si>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</si>
  <si>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</si>
  <si>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</si>
  <si>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</si>
  <si>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</si>
  <si>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</si>
  <si>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</si>
  <si>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</si>
  <si>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</si>
  <si>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</si>
  <si>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</si>
  <si>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</si>
  <si>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</si>
  <si>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</si>
  <si>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</si>
  <si>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</si>
  <si>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</si>
  <si>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</si>
  <si>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</si>
  <si>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</si>
  <si>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M/s.Bhoir Associates</t>
  </si>
  <si>
    <t>Siddhivinayak Darshan</t>
  </si>
  <si>
    <t>Dahivali</t>
  </si>
  <si>
    <t>Karjat</t>
  </si>
  <si>
    <t>Raigad</t>
  </si>
  <si>
    <t xml:space="preserve">Residential </t>
  </si>
  <si>
    <t>S.R-03/21-22</t>
  </si>
  <si>
    <t>Bldg/KT-1/S.R.03/21-22</t>
  </si>
  <si>
    <t>Valid Up to:  G/St +1st to 5th Floor</t>
  </si>
  <si>
    <t>G/St + 1st to 5th Floor</t>
  </si>
  <si>
    <t>G/St +1st to 5th Floor</t>
  </si>
  <si>
    <t>Ground Floor For Parking</t>
  </si>
  <si>
    <t>1BHK</t>
  </si>
  <si>
    <t>1st to 5th Floor</t>
  </si>
  <si>
    <t>Flats</t>
  </si>
  <si>
    <t>Flats - 20</t>
  </si>
  <si>
    <t>Matoshri Hospital</t>
  </si>
  <si>
    <t>Dahivali Road</t>
  </si>
  <si>
    <t>Open Plot</t>
  </si>
  <si>
    <t>2.1km. From Karjat Railway Station</t>
  </si>
  <si>
    <t>Not Registered on RERA</t>
  </si>
  <si>
    <t>174/3</t>
  </si>
  <si>
    <t>Survey No</t>
  </si>
  <si>
    <t>We considered Saleable area as per builder area sheet.</t>
  </si>
  <si>
    <t>Builder Saleable area</t>
  </si>
  <si>
    <t>Building</t>
  </si>
  <si>
    <t>Vrindavan pride karjat</t>
  </si>
  <si>
    <t>On Site, we meet Mr. Dilip (9823575826).</t>
  </si>
  <si>
    <t xml:space="preserve">130/22-23
</t>
  </si>
  <si>
    <t xml:space="preserve">Full O. Certificate No.: </t>
  </si>
  <si>
    <t>3600 to 4000</t>
  </si>
  <si>
    <t xml:space="preserve">Smith pal </t>
  </si>
  <si>
    <t>Completed.</t>
  </si>
  <si>
    <t>200000/-</t>
  </si>
  <si>
    <t>All work completed. OC received.</t>
  </si>
  <si>
    <t>Location Link</t>
  </si>
  <si>
    <t>Latitude, Longitude</t>
  </si>
  <si>
    <t>18.908183,73.33641</t>
  </si>
  <si>
    <t>https://goo.gl/maps/KMk8gRNhemCH9PQb7</t>
  </si>
  <si>
    <t>Office No. 1031, Wing J, Akshar Business Park, Plot No. 03 Sector 25, Near APMC Market,
Vashi, Navi Mumbai, Maharashtra 400703 TEL: 022-46090378/79/80
E mail : vsjcapf@gmail.com. Web site : www.vsjadon.com</t>
  </si>
  <si>
    <t>Naynesh Sunil Lovanshi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</si>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</sst>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0.00000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63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18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8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68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0" xfId="1" applyFont="1" applyFill="1"/>
    <xf numFmtId="14" fontId="7" fillId="3" borderId="0" xfId="1" applyNumberFormat="1" applyFont="1" applyFill="1"/>
    <xf numFmtId="0" fontId="12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3" fillId="0" borderId="1" xfId="8" applyBorder="1" applyAlignment="1" applyProtection="1">
      <alignment horizontal="left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0" fillId="0" borderId="22" xfId="0" applyNumberFormat="1" applyFont="1" applyBorder="1" applyAlignment="1" applyProtection="1">
      <alignment vertical="top" wrapText="1"/>
      <protection locked="0"/>
    </xf>
    <xf numFmtId="1" fontId="10" fillId="0" borderId="1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2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2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17" fillId="0" borderId="22" xfId="0" applyNumberFormat="1" applyFont="1" applyBorder="1" applyAlignment="1" applyProtection="1">
      <alignment vertical="top" wrapText="1"/>
      <protection locked="0"/>
    </xf>
    <xf numFmtId="1" fontId="17" fillId="0" borderId="10" xfId="0" applyNumberFormat="1" applyFont="1" applyBorder="1" applyAlignment="1" applyProtection="1">
      <alignment vertical="top" wrapText="1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10" xfId="1" applyFont="1" applyBorder="1" applyAlignment="1" applyProtection="1">
      <alignment horizontal="left" vertical="top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2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/>
      <protection locked="0"/>
    </xf>
    <xf numFmtId="9" fontId="13" fillId="0" borderId="9" xfId="1" applyNumberFormat="1" applyFont="1" applyBorder="1" applyAlignment="1" applyProtection="1">
      <alignment horizontal="center" vertical="center" wrapText="1"/>
      <protection locked="0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13" fillId="0" borderId="9" xfId="1" applyFont="1" applyBorder="1" applyAlignment="1" applyProtection="1">
      <alignment horizontal="center" vertical="center" wrapText="1"/>
      <protection locked="0"/>
    </xf>
    <xf numFmtId="0" fontId="13" fillId="0" borderId="26" xfId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181</xdr:row>
      <xdr:rowOff>198440</xdr:rowOff>
    </xdr:from>
    <xdr:to>
      <xdr:col>7</xdr:col>
      <xdr:colOff>497248</xdr:colOff>
      <xdr:row>196</xdr:row>
      <xdr:rowOff>78065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36298190"/>
          <a:ext cx="537404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7</xdr:col>
      <xdr:colOff>440098</xdr:colOff>
      <xdr:row>181</xdr:row>
      <xdr:rowOff>79650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19150" y="35385375"/>
          <a:ext cx="573599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165100</xdr:colOff>
      <xdr:row>123</xdr:row>
      <xdr:rowOff>101600</xdr:rowOff>
    </xdr:from>
    <xdr:to>
      <xdr:col>7</xdr:col>
      <xdr:colOff>645514</xdr:colOff>
      <xdr:row>152</xdr:row>
      <xdr:rowOff>21612</xdr:rowOff>
    </xdr:to>
    <xdr:grpSp>
      <xdr:nvGrpSpPr>
        <xdr:cNvPr id="3" name="Group 2"/>
        <xdr:cNvGrpSpPr/>
      </xdr:nvGrpSpPr>
      <xdr:grpSpPr>
        <a:xfrm>
          <a:off x="165100" y="22332950"/>
          <a:ext cx="6455764" cy="5622312"/>
          <a:chOff x="165100" y="22332950"/>
          <a:chExt cx="6455764" cy="5622312"/>
        </a:xfrm>
      </xdr:grpSpPr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1001" y="2521926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1" y="22332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5100" y="2521926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1001" y="22332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8051" y="22332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8051" y="2521926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Mk8gRNhemCH9PQb7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66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17" customWidth="1"/>
    <col min="2" max="2" width="12" style="17" customWidth="1"/>
    <col min="3" max="3" width="12.7265625" style="17" customWidth="1"/>
    <col min="4" max="4" width="14.1796875" style="17" customWidth="1"/>
    <col min="5" max="7" width="11.7265625" style="17" customWidth="1"/>
    <col min="8" max="8" width="12.453125" style="17" customWidth="1"/>
    <col min="9" max="9" width="17.453125" style="8" customWidth="1"/>
    <col min="10" max="10" width="11.453125" style="8" customWidth="1"/>
    <col min="11" max="11" width="11.26953125" style="8" bestFit="1" customWidth="1"/>
    <col min="12" max="12" width="10.54296875" style="8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7265625" style="8" customWidth="1"/>
    <col min="249" max="249" width="9.81640625" style="8" customWidth="1"/>
    <col min="250" max="250" width="14.453125" style="8" customWidth="1"/>
    <col min="251" max="251" width="7.2695312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7265625" style="8" customWidth="1"/>
    <col min="505" max="505" width="9.81640625" style="8" customWidth="1"/>
    <col min="506" max="506" width="14.453125" style="8" customWidth="1"/>
    <col min="507" max="507" width="7.2695312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7265625" style="8" customWidth="1"/>
    <col min="761" max="761" width="9.81640625" style="8" customWidth="1"/>
    <col min="762" max="762" width="14.453125" style="8" customWidth="1"/>
    <col min="763" max="763" width="7.2695312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7265625" style="8" customWidth="1"/>
    <col min="1017" max="1017" width="9.81640625" style="8" customWidth="1"/>
    <col min="1018" max="1018" width="14.453125" style="8" customWidth="1"/>
    <col min="1019" max="1019" width="7.2695312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7265625" style="8" customWidth="1"/>
    <col min="1273" max="1273" width="9.81640625" style="8" customWidth="1"/>
    <col min="1274" max="1274" width="14.453125" style="8" customWidth="1"/>
    <col min="1275" max="1275" width="7.2695312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7265625" style="8" customWidth="1"/>
    <col min="1529" max="1529" width="9.81640625" style="8" customWidth="1"/>
    <col min="1530" max="1530" width="14.453125" style="8" customWidth="1"/>
    <col min="1531" max="1531" width="7.2695312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7265625" style="8" customWidth="1"/>
    <col min="1785" max="1785" width="9.81640625" style="8" customWidth="1"/>
    <col min="1786" max="1786" width="14.453125" style="8" customWidth="1"/>
    <col min="1787" max="1787" width="7.2695312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7265625" style="8" customWidth="1"/>
    <col min="2041" max="2041" width="9.81640625" style="8" customWidth="1"/>
    <col min="2042" max="2042" width="14.453125" style="8" customWidth="1"/>
    <col min="2043" max="2043" width="7.2695312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7265625" style="8" customWidth="1"/>
    <col min="2297" max="2297" width="9.81640625" style="8" customWidth="1"/>
    <col min="2298" max="2298" width="14.453125" style="8" customWidth="1"/>
    <col min="2299" max="2299" width="7.2695312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7265625" style="8" customWidth="1"/>
    <col min="2553" max="2553" width="9.81640625" style="8" customWidth="1"/>
    <col min="2554" max="2554" width="14.453125" style="8" customWidth="1"/>
    <col min="2555" max="2555" width="7.2695312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7265625" style="8" customWidth="1"/>
    <col min="2809" max="2809" width="9.81640625" style="8" customWidth="1"/>
    <col min="2810" max="2810" width="14.453125" style="8" customWidth="1"/>
    <col min="2811" max="2811" width="7.2695312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7265625" style="8" customWidth="1"/>
    <col min="3065" max="3065" width="9.81640625" style="8" customWidth="1"/>
    <col min="3066" max="3066" width="14.453125" style="8" customWidth="1"/>
    <col min="3067" max="3067" width="7.2695312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7265625" style="8" customWidth="1"/>
    <col min="3321" max="3321" width="9.81640625" style="8" customWidth="1"/>
    <col min="3322" max="3322" width="14.453125" style="8" customWidth="1"/>
    <col min="3323" max="3323" width="7.2695312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7265625" style="8" customWidth="1"/>
    <col min="3577" max="3577" width="9.81640625" style="8" customWidth="1"/>
    <col min="3578" max="3578" width="14.453125" style="8" customWidth="1"/>
    <col min="3579" max="3579" width="7.2695312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7265625" style="8" customWidth="1"/>
    <col min="3833" max="3833" width="9.81640625" style="8" customWidth="1"/>
    <col min="3834" max="3834" width="14.453125" style="8" customWidth="1"/>
    <col min="3835" max="3835" width="7.2695312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7265625" style="8" customWidth="1"/>
    <col min="4089" max="4089" width="9.81640625" style="8" customWidth="1"/>
    <col min="4090" max="4090" width="14.453125" style="8" customWidth="1"/>
    <col min="4091" max="4091" width="7.2695312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7265625" style="8" customWidth="1"/>
    <col min="4345" max="4345" width="9.81640625" style="8" customWidth="1"/>
    <col min="4346" max="4346" width="14.453125" style="8" customWidth="1"/>
    <col min="4347" max="4347" width="7.2695312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7265625" style="8" customWidth="1"/>
    <col min="4601" max="4601" width="9.81640625" style="8" customWidth="1"/>
    <col min="4602" max="4602" width="14.453125" style="8" customWidth="1"/>
    <col min="4603" max="4603" width="7.2695312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7265625" style="8" customWidth="1"/>
    <col min="4857" max="4857" width="9.81640625" style="8" customWidth="1"/>
    <col min="4858" max="4858" width="14.453125" style="8" customWidth="1"/>
    <col min="4859" max="4859" width="7.2695312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7265625" style="8" customWidth="1"/>
    <col min="5113" max="5113" width="9.81640625" style="8" customWidth="1"/>
    <col min="5114" max="5114" width="14.453125" style="8" customWidth="1"/>
    <col min="5115" max="5115" width="7.2695312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7265625" style="8" customWidth="1"/>
    <col min="5369" max="5369" width="9.81640625" style="8" customWidth="1"/>
    <col min="5370" max="5370" width="14.453125" style="8" customWidth="1"/>
    <col min="5371" max="5371" width="7.2695312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7265625" style="8" customWidth="1"/>
    <col min="5625" max="5625" width="9.81640625" style="8" customWidth="1"/>
    <col min="5626" max="5626" width="14.453125" style="8" customWidth="1"/>
    <col min="5627" max="5627" width="7.2695312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7265625" style="8" customWidth="1"/>
    <col min="5881" max="5881" width="9.81640625" style="8" customWidth="1"/>
    <col min="5882" max="5882" width="14.453125" style="8" customWidth="1"/>
    <col min="5883" max="5883" width="7.2695312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7265625" style="8" customWidth="1"/>
    <col min="6137" max="6137" width="9.81640625" style="8" customWidth="1"/>
    <col min="6138" max="6138" width="14.453125" style="8" customWidth="1"/>
    <col min="6139" max="6139" width="7.2695312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7265625" style="8" customWidth="1"/>
    <col min="6393" max="6393" width="9.81640625" style="8" customWidth="1"/>
    <col min="6394" max="6394" width="14.453125" style="8" customWidth="1"/>
    <col min="6395" max="6395" width="7.2695312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7265625" style="8" customWidth="1"/>
    <col min="6649" max="6649" width="9.81640625" style="8" customWidth="1"/>
    <col min="6650" max="6650" width="14.453125" style="8" customWidth="1"/>
    <col min="6651" max="6651" width="7.2695312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7265625" style="8" customWidth="1"/>
    <col min="6905" max="6905" width="9.81640625" style="8" customWidth="1"/>
    <col min="6906" max="6906" width="14.453125" style="8" customWidth="1"/>
    <col min="6907" max="6907" width="7.2695312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7265625" style="8" customWidth="1"/>
    <col min="7161" max="7161" width="9.81640625" style="8" customWidth="1"/>
    <col min="7162" max="7162" width="14.453125" style="8" customWidth="1"/>
    <col min="7163" max="7163" width="7.2695312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7265625" style="8" customWidth="1"/>
    <col min="7417" max="7417" width="9.81640625" style="8" customWidth="1"/>
    <col min="7418" max="7418" width="14.453125" style="8" customWidth="1"/>
    <col min="7419" max="7419" width="7.2695312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7265625" style="8" customWidth="1"/>
    <col min="7673" max="7673" width="9.81640625" style="8" customWidth="1"/>
    <col min="7674" max="7674" width="14.453125" style="8" customWidth="1"/>
    <col min="7675" max="7675" width="7.2695312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7265625" style="8" customWidth="1"/>
    <col min="7929" max="7929" width="9.81640625" style="8" customWidth="1"/>
    <col min="7930" max="7930" width="14.453125" style="8" customWidth="1"/>
    <col min="7931" max="7931" width="7.2695312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7265625" style="8" customWidth="1"/>
    <col min="8185" max="8185" width="9.81640625" style="8" customWidth="1"/>
    <col min="8186" max="8186" width="14.453125" style="8" customWidth="1"/>
    <col min="8187" max="8187" width="7.2695312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7265625" style="8" customWidth="1"/>
    <col min="8441" max="8441" width="9.81640625" style="8" customWidth="1"/>
    <col min="8442" max="8442" width="14.453125" style="8" customWidth="1"/>
    <col min="8443" max="8443" width="7.2695312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7265625" style="8" customWidth="1"/>
    <col min="8697" max="8697" width="9.81640625" style="8" customWidth="1"/>
    <col min="8698" max="8698" width="14.453125" style="8" customWidth="1"/>
    <col min="8699" max="8699" width="7.2695312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7265625" style="8" customWidth="1"/>
    <col min="8953" max="8953" width="9.81640625" style="8" customWidth="1"/>
    <col min="8954" max="8954" width="14.453125" style="8" customWidth="1"/>
    <col min="8955" max="8955" width="7.2695312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7265625" style="8" customWidth="1"/>
    <col min="9209" max="9209" width="9.81640625" style="8" customWidth="1"/>
    <col min="9210" max="9210" width="14.453125" style="8" customWidth="1"/>
    <col min="9211" max="9211" width="7.2695312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7265625" style="8" customWidth="1"/>
    <col min="9465" max="9465" width="9.81640625" style="8" customWidth="1"/>
    <col min="9466" max="9466" width="14.453125" style="8" customWidth="1"/>
    <col min="9467" max="9467" width="7.2695312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7265625" style="8" customWidth="1"/>
    <col min="9721" max="9721" width="9.81640625" style="8" customWidth="1"/>
    <col min="9722" max="9722" width="14.453125" style="8" customWidth="1"/>
    <col min="9723" max="9723" width="7.2695312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7265625" style="8" customWidth="1"/>
    <col min="9977" max="9977" width="9.81640625" style="8" customWidth="1"/>
    <col min="9978" max="9978" width="14.453125" style="8" customWidth="1"/>
    <col min="9979" max="9979" width="7.2695312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7265625" style="8" customWidth="1"/>
    <col min="10233" max="10233" width="9.81640625" style="8" customWidth="1"/>
    <col min="10234" max="10234" width="14.453125" style="8" customWidth="1"/>
    <col min="10235" max="10235" width="7.2695312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7265625" style="8" customWidth="1"/>
    <col min="10489" max="10489" width="9.81640625" style="8" customWidth="1"/>
    <col min="10490" max="10490" width="14.453125" style="8" customWidth="1"/>
    <col min="10491" max="10491" width="7.2695312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7265625" style="8" customWidth="1"/>
    <col min="10745" max="10745" width="9.81640625" style="8" customWidth="1"/>
    <col min="10746" max="10746" width="14.453125" style="8" customWidth="1"/>
    <col min="10747" max="10747" width="7.2695312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7265625" style="8" customWidth="1"/>
    <col min="11001" max="11001" width="9.81640625" style="8" customWidth="1"/>
    <col min="11002" max="11002" width="14.453125" style="8" customWidth="1"/>
    <col min="11003" max="11003" width="7.2695312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7265625" style="8" customWidth="1"/>
    <col min="11257" max="11257" width="9.81640625" style="8" customWidth="1"/>
    <col min="11258" max="11258" width="14.453125" style="8" customWidth="1"/>
    <col min="11259" max="11259" width="7.2695312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7265625" style="8" customWidth="1"/>
    <col min="11513" max="11513" width="9.81640625" style="8" customWidth="1"/>
    <col min="11514" max="11514" width="14.453125" style="8" customWidth="1"/>
    <col min="11515" max="11515" width="7.2695312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7265625" style="8" customWidth="1"/>
    <col min="11769" max="11769" width="9.81640625" style="8" customWidth="1"/>
    <col min="11770" max="11770" width="14.453125" style="8" customWidth="1"/>
    <col min="11771" max="11771" width="7.2695312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7265625" style="8" customWidth="1"/>
    <col min="12025" max="12025" width="9.81640625" style="8" customWidth="1"/>
    <col min="12026" max="12026" width="14.453125" style="8" customWidth="1"/>
    <col min="12027" max="12027" width="7.2695312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7265625" style="8" customWidth="1"/>
    <col min="12281" max="12281" width="9.81640625" style="8" customWidth="1"/>
    <col min="12282" max="12282" width="14.453125" style="8" customWidth="1"/>
    <col min="12283" max="12283" width="7.2695312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7265625" style="8" customWidth="1"/>
    <col min="12537" max="12537" width="9.81640625" style="8" customWidth="1"/>
    <col min="12538" max="12538" width="14.453125" style="8" customWidth="1"/>
    <col min="12539" max="12539" width="7.2695312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7265625" style="8" customWidth="1"/>
    <col min="12793" max="12793" width="9.81640625" style="8" customWidth="1"/>
    <col min="12794" max="12794" width="14.453125" style="8" customWidth="1"/>
    <col min="12795" max="12795" width="7.2695312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7265625" style="8" customWidth="1"/>
    <col min="13049" max="13049" width="9.81640625" style="8" customWidth="1"/>
    <col min="13050" max="13050" width="14.453125" style="8" customWidth="1"/>
    <col min="13051" max="13051" width="7.2695312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7265625" style="8" customWidth="1"/>
    <col min="13305" max="13305" width="9.81640625" style="8" customWidth="1"/>
    <col min="13306" max="13306" width="14.453125" style="8" customWidth="1"/>
    <col min="13307" max="13307" width="7.2695312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7265625" style="8" customWidth="1"/>
    <col min="13561" max="13561" width="9.81640625" style="8" customWidth="1"/>
    <col min="13562" max="13562" width="14.453125" style="8" customWidth="1"/>
    <col min="13563" max="13563" width="7.2695312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7265625" style="8" customWidth="1"/>
    <col min="13817" max="13817" width="9.81640625" style="8" customWidth="1"/>
    <col min="13818" max="13818" width="14.453125" style="8" customWidth="1"/>
    <col min="13819" max="13819" width="7.2695312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7265625" style="8" customWidth="1"/>
    <col min="14073" max="14073" width="9.81640625" style="8" customWidth="1"/>
    <col min="14074" max="14074" width="14.453125" style="8" customWidth="1"/>
    <col min="14075" max="14075" width="7.2695312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7265625" style="8" customWidth="1"/>
    <col min="14329" max="14329" width="9.81640625" style="8" customWidth="1"/>
    <col min="14330" max="14330" width="14.453125" style="8" customWidth="1"/>
    <col min="14331" max="14331" width="7.2695312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7265625" style="8" customWidth="1"/>
    <col min="14585" max="14585" width="9.81640625" style="8" customWidth="1"/>
    <col min="14586" max="14586" width="14.453125" style="8" customWidth="1"/>
    <col min="14587" max="14587" width="7.2695312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7265625" style="8" customWidth="1"/>
    <col min="14841" max="14841" width="9.81640625" style="8" customWidth="1"/>
    <col min="14842" max="14842" width="14.453125" style="8" customWidth="1"/>
    <col min="14843" max="14843" width="7.2695312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7265625" style="8" customWidth="1"/>
    <col min="15097" max="15097" width="9.81640625" style="8" customWidth="1"/>
    <col min="15098" max="15098" width="14.453125" style="8" customWidth="1"/>
    <col min="15099" max="15099" width="7.2695312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7265625" style="8" customWidth="1"/>
    <col min="15353" max="15353" width="9.81640625" style="8" customWidth="1"/>
    <col min="15354" max="15354" width="14.453125" style="8" customWidth="1"/>
    <col min="15355" max="15355" width="7.2695312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7265625" style="8" customWidth="1"/>
    <col min="15609" max="15609" width="9.81640625" style="8" customWidth="1"/>
    <col min="15610" max="15610" width="14.453125" style="8" customWidth="1"/>
    <col min="15611" max="15611" width="7.2695312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7265625" style="8" customWidth="1"/>
    <col min="15865" max="15865" width="9.81640625" style="8" customWidth="1"/>
    <col min="15866" max="15866" width="14.453125" style="8" customWidth="1"/>
    <col min="15867" max="15867" width="7.2695312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7265625" style="8" customWidth="1"/>
    <col min="16121" max="16121" width="9.81640625" style="8" customWidth="1"/>
    <col min="16122" max="16122" width="14.453125" style="8" customWidth="1"/>
    <col min="16123" max="16123" width="7.2695312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21" t="s">
        <v>227</v>
      </c>
      <c r="B1" s="121"/>
      <c r="C1" s="121"/>
      <c r="D1" s="121"/>
      <c r="E1" s="121"/>
      <c r="F1" s="121"/>
      <c r="G1" s="121"/>
      <c r="H1" s="121"/>
    </row>
    <row r="2" spans="1:8" ht="16.5" customHeight="1" x14ac:dyDescent="0.35">
      <c r="A2" s="60" t="s">
        <v>0</v>
      </c>
      <c r="B2" s="60"/>
      <c r="C2" s="60"/>
      <c r="D2" s="60"/>
      <c r="E2" s="60"/>
      <c r="F2" s="60"/>
      <c r="G2" s="60"/>
      <c r="H2" s="60"/>
    </row>
    <row r="3" spans="1:8" x14ac:dyDescent="0.35">
      <c r="A3" s="75" t="s">
        <v>1</v>
      </c>
      <c r="B3" s="75"/>
      <c r="C3" s="75"/>
      <c r="D3" s="75"/>
      <c r="E3" s="122" t="str">
        <f ca="1">TEXT(TODAY(),"DD/MM/YYYY")</f>
        <v>20/08/2025</v>
      </c>
      <c r="F3" s="122"/>
      <c r="G3" s="122"/>
      <c r="H3" s="122"/>
    </row>
    <row r="4" spans="1:8" ht="15" customHeight="1" x14ac:dyDescent="0.35">
      <c r="A4" s="75" t="s">
        <v>2</v>
      </c>
      <c r="B4" s="75"/>
      <c r="C4" s="75"/>
      <c r="D4" s="75"/>
      <c r="E4" s="115" t="s">
        <v>187</v>
      </c>
      <c r="F4" s="115"/>
      <c r="G4" s="115"/>
      <c r="H4" s="115"/>
    </row>
    <row r="5" spans="1:8" x14ac:dyDescent="0.35">
      <c r="A5" s="75" t="s">
        <v>3</v>
      </c>
      <c r="B5" s="75"/>
      <c r="C5" s="75"/>
      <c r="D5" s="75"/>
      <c r="E5" s="122">
        <v>45881</v>
      </c>
      <c r="F5" s="122"/>
      <c r="G5" s="122"/>
      <c r="H5" s="122"/>
    </row>
    <row r="6" spans="1:8" ht="16.5" customHeight="1" x14ac:dyDescent="0.35">
      <c r="A6" s="75" t="s">
        <v>4</v>
      </c>
      <c r="B6" s="75"/>
      <c r="C6" s="75"/>
      <c r="D6" s="75"/>
      <c r="E6" s="92" t="s">
        <v>188</v>
      </c>
      <c r="F6" s="92"/>
      <c r="G6" s="92"/>
      <c r="H6" s="92"/>
    </row>
    <row r="7" spans="1:8" ht="15" customHeight="1" x14ac:dyDescent="0.35">
      <c r="A7" s="75" t="s">
        <v>5</v>
      </c>
      <c r="B7" s="75"/>
      <c r="C7" s="75"/>
      <c r="D7" s="75"/>
      <c r="E7" s="92" t="str">
        <f>E6</f>
        <v>M/s.Bhoir Associates</v>
      </c>
      <c r="F7" s="92"/>
      <c r="G7" s="92"/>
      <c r="H7" s="92"/>
    </row>
    <row r="8" spans="1:8" x14ac:dyDescent="0.35">
      <c r="A8" s="75" t="s">
        <v>6</v>
      </c>
      <c r="B8" s="75"/>
      <c r="C8" s="75"/>
      <c r="D8" s="75"/>
      <c r="E8" s="91" t="s">
        <v>189</v>
      </c>
      <c r="F8" s="75"/>
      <c r="G8" s="75"/>
      <c r="H8" s="75"/>
    </row>
    <row r="9" spans="1:8" x14ac:dyDescent="0.35">
      <c r="A9" s="75" t="s">
        <v>158</v>
      </c>
      <c r="B9" s="75"/>
      <c r="C9" s="75"/>
      <c r="D9" s="75"/>
      <c r="E9" s="75">
        <v>9819885585</v>
      </c>
      <c r="F9" s="75"/>
      <c r="G9" s="75"/>
      <c r="H9" s="75"/>
    </row>
    <row r="10" spans="1:8" x14ac:dyDescent="0.35">
      <c r="A10" s="90" t="s">
        <v>7</v>
      </c>
      <c r="B10" s="90"/>
      <c r="C10" s="90"/>
      <c r="D10" s="90"/>
      <c r="E10" s="90" t="s">
        <v>159</v>
      </c>
      <c r="F10" s="90"/>
      <c r="G10" s="90"/>
      <c r="H10" s="90"/>
    </row>
    <row r="11" spans="1:8" ht="32.25" customHeight="1" x14ac:dyDescent="0.35">
      <c r="A11" s="75" t="s">
        <v>8</v>
      </c>
      <c r="B11" s="75"/>
      <c r="C11" s="75"/>
      <c r="D11" s="75"/>
      <c r="E11" s="84" t="s">
        <v>141</v>
      </c>
      <c r="F11" s="84"/>
      <c r="G11" s="84"/>
      <c r="H11" s="84"/>
    </row>
    <row r="12" spans="1:8" x14ac:dyDescent="0.35">
      <c r="A12" s="75" t="s">
        <v>9</v>
      </c>
      <c r="B12" s="75"/>
      <c r="C12" s="75"/>
      <c r="D12" s="75"/>
      <c r="E12" s="84" t="s">
        <v>208</v>
      </c>
      <c r="F12" s="90"/>
      <c r="G12" s="90"/>
      <c r="H12" s="90"/>
    </row>
    <row r="13" spans="1:8" ht="32.25" customHeight="1" x14ac:dyDescent="0.35">
      <c r="A13" s="92" t="s">
        <v>10</v>
      </c>
      <c r="B13" s="92"/>
      <c r="C13" s="9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Siddhivinayak Darshan, Survey No.174/3, near Matoshri Hospital, Dahivali Road, Dahivali, Karjat, Karjat, Raigad.</v>
      </c>
      <c r="D13" s="92"/>
      <c r="E13" s="92"/>
      <c r="F13" s="92"/>
      <c r="G13" s="92"/>
      <c r="H13" s="92"/>
    </row>
    <row r="14" spans="1:8" x14ac:dyDescent="0.35">
      <c r="A14" s="92" t="s">
        <v>210</v>
      </c>
      <c r="B14" s="92"/>
      <c r="C14" s="84" t="s">
        <v>209</v>
      </c>
      <c r="D14" s="84"/>
      <c r="E14" s="84"/>
      <c r="F14" s="84"/>
      <c r="G14" s="84"/>
      <c r="H14" s="84"/>
    </row>
    <row r="15" spans="1:8" ht="15.75" customHeight="1" x14ac:dyDescent="0.35">
      <c r="A15" s="92" t="s">
        <v>11</v>
      </c>
      <c r="B15" s="92"/>
      <c r="C15" s="90" t="s">
        <v>205</v>
      </c>
      <c r="D15" s="90"/>
      <c r="E15" s="92" t="s">
        <v>101</v>
      </c>
      <c r="F15" s="92"/>
      <c r="G15" s="84" t="s">
        <v>190</v>
      </c>
      <c r="H15" s="84"/>
    </row>
    <row r="16" spans="1:8" x14ac:dyDescent="0.35">
      <c r="A16" s="75" t="s">
        <v>13</v>
      </c>
      <c r="B16" s="75"/>
      <c r="C16" s="84" t="s">
        <v>191</v>
      </c>
      <c r="D16" s="84"/>
      <c r="E16" s="92" t="s">
        <v>12</v>
      </c>
      <c r="F16" s="92"/>
      <c r="G16" s="116" t="s">
        <v>192</v>
      </c>
      <c r="H16" s="116"/>
    </row>
    <row r="17" spans="1:8" x14ac:dyDescent="0.35">
      <c r="A17" s="75" t="s">
        <v>102</v>
      </c>
      <c r="B17" s="75"/>
      <c r="C17" s="84" t="s">
        <v>191</v>
      </c>
      <c r="D17" s="84"/>
      <c r="E17" s="92" t="s">
        <v>14</v>
      </c>
      <c r="F17" s="92"/>
      <c r="G17" s="84">
        <v>410201</v>
      </c>
      <c r="H17" s="84"/>
    </row>
    <row r="18" spans="1:8" ht="32.25" customHeight="1" x14ac:dyDescent="0.35">
      <c r="A18" s="75" t="s">
        <v>160</v>
      </c>
      <c r="B18" s="75"/>
      <c r="C18" s="117" t="s">
        <v>204</v>
      </c>
      <c r="D18" s="117"/>
      <c r="E18" s="92" t="s">
        <v>15</v>
      </c>
      <c r="F18" s="92"/>
      <c r="G18" s="84" t="s">
        <v>207</v>
      </c>
      <c r="H18" s="84"/>
    </row>
    <row r="19" spans="1:8" ht="15" customHeight="1" x14ac:dyDescent="0.35">
      <c r="A19" s="92" t="s">
        <v>106</v>
      </c>
      <c r="B19" s="92"/>
      <c r="C19" s="92"/>
      <c r="D19" s="92"/>
      <c r="E19" s="90" t="s">
        <v>16</v>
      </c>
      <c r="F19" s="90"/>
      <c r="G19" s="90"/>
      <c r="H19" s="90"/>
    </row>
    <row r="20" spans="1:8" ht="18.75" customHeight="1" x14ac:dyDescent="0.35">
      <c r="A20" s="92"/>
      <c r="B20" s="92"/>
      <c r="C20" s="92"/>
      <c r="D20" s="92"/>
      <c r="E20" s="90"/>
      <c r="F20" s="90"/>
      <c r="G20" s="90"/>
      <c r="H20" s="90"/>
    </row>
    <row r="21" spans="1:8" ht="15" customHeight="1" x14ac:dyDescent="0.35">
      <c r="A21" s="92" t="s">
        <v>17</v>
      </c>
      <c r="B21" s="92"/>
      <c r="C21" s="92"/>
      <c r="D21" s="92"/>
      <c r="E21" s="84" t="s">
        <v>18</v>
      </c>
      <c r="F21" s="84"/>
      <c r="G21" s="84"/>
      <c r="H21" s="84"/>
    </row>
    <row r="22" spans="1:8" ht="15" customHeight="1" x14ac:dyDescent="0.35">
      <c r="A22" s="75" t="s">
        <v>19</v>
      </c>
      <c r="B22" s="75"/>
      <c r="C22" s="75"/>
      <c r="D22" s="75"/>
      <c r="E22" s="84" t="str">
        <f>IF(AND(G16="Mumbai"),"Upper Class","Middle Class")</f>
        <v>Middle Class</v>
      </c>
      <c r="F22" s="84"/>
      <c r="G22" s="84"/>
      <c r="H22" s="84"/>
    </row>
    <row r="23" spans="1:8" x14ac:dyDescent="0.35">
      <c r="A23" s="75" t="s">
        <v>20</v>
      </c>
      <c r="B23" s="75"/>
      <c r="C23" s="75"/>
      <c r="D23" s="75"/>
      <c r="E23" s="84" t="s">
        <v>21</v>
      </c>
      <c r="F23" s="84"/>
      <c r="G23" s="84"/>
      <c r="H23" s="84"/>
    </row>
    <row r="24" spans="1:8" ht="15.75" customHeight="1" x14ac:dyDescent="0.35">
      <c r="A24" s="75" t="s">
        <v>22</v>
      </c>
      <c r="B24" s="75"/>
      <c r="C24" s="75"/>
      <c r="D24" s="75"/>
      <c r="E24" s="84" t="str">
        <f>IF(AND(G16="Mumbai"),"Developed","Developing")</f>
        <v>Developing</v>
      </c>
      <c r="F24" s="84"/>
      <c r="G24" s="84"/>
      <c r="H24" s="84"/>
    </row>
    <row r="25" spans="1:8" x14ac:dyDescent="0.35">
      <c r="A25" s="75" t="s">
        <v>23</v>
      </c>
      <c r="B25" s="75"/>
      <c r="C25" s="75"/>
      <c r="D25" s="75"/>
      <c r="E25" s="84" t="s">
        <v>24</v>
      </c>
      <c r="F25" s="84"/>
      <c r="G25" s="84"/>
      <c r="H25" s="84"/>
    </row>
    <row r="26" spans="1:8" x14ac:dyDescent="0.35">
      <c r="A26" s="75" t="s">
        <v>113</v>
      </c>
      <c r="B26" s="75"/>
      <c r="C26" s="75"/>
      <c r="D26" s="75"/>
      <c r="E26" s="84" t="s">
        <v>114</v>
      </c>
      <c r="F26" s="84"/>
      <c r="G26" s="84"/>
      <c r="H26" s="84"/>
    </row>
    <row r="27" spans="1:8" ht="15" customHeight="1" x14ac:dyDescent="0.35">
      <c r="A27" s="92" t="s">
        <v>33</v>
      </c>
      <c r="B27" s="92"/>
      <c r="C27" s="92"/>
      <c r="D27" s="92"/>
      <c r="E27" s="115" t="s">
        <v>193</v>
      </c>
      <c r="F27" s="115"/>
      <c r="G27" s="115"/>
      <c r="H27" s="115"/>
    </row>
    <row r="28" spans="1:8" x14ac:dyDescent="0.35">
      <c r="A28" s="92" t="s">
        <v>125</v>
      </c>
      <c r="B28" s="92"/>
      <c r="C28" s="92"/>
      <c r="D28" s="92"/>
      <c r="E28" s="92" t="s">
        <v>34</v>
      </c>
      <c r="F28" s="92"/>
      <c r="G28" s="92"/>
      <c r="H28" s="92"/>
    </row>
    <row r="29" spans="1:8" s="11" customFormat="1" x14ac:dyDescent="0.35">
      <c r="A29" s="114" t="s">
        <v>126</v>
      </c>
      <c r="B29" s="114"/>
      <c r="C29" s="112" t="s">
        <v>29</v>
      </c>
      <c r="D29" s="112"/>
      <c r="E29" s="112"/>
      <c r="F29" s="112" t="s">
        <v>31</v>
      </c>
      <c r="G29" s="112"/>
      <c r="H29" s="112"/>
    </row>
    <row r="30" spans="1:8" s="11" customFormat="1" x14ac:dyDescent="0.35">
      <c r="A30" s="113" t="s">
        <v>25</v>
      </c>
      <c r="B30" s="113" t="s">
        <v>30</v>
      </c>
      <c r="C30" s="111" t="s">
        <v>30</v>
      </c>
      <c r="D30" s="111"/>
      <c r="E30" s="111"/>
      <c r="F30" s="111" t="s">
        <v>214</v>
      </c>
      <c r="G30" s="111"/>
      <c r="H30" s="111"/>
    </row>
    <row r="31" spans="1:8" x14ac:dyDescent="0.35">
      <c r="A31" s="113" t="s">
        <v>26</v>
      </c>
      <c r="B31" s="113" t="s">
        <v>30</v>
      </c>
      <c r="C31" s="111" t="s">
        <v>30</v>
      </c>
      <c r="D31" s="111"/>
      <c r="E31" s="111"/>
      <c r="F31" s="111" t="s">
        <v>213</v>
      </c>
      <c r="G31" s="111"/>
      <c r="H31" s="111"/>
    </row>
    <row r="32" spans="1:8" s="11" customFormat="1" x14ac:dyDescent="0.35">
      <c r="A32" s="113" t="s">
        <v>28</v>
      </c>
      <c r="B32" s="113" t="s">
        <v>30</v>
      </c>
      <c r="C32" s="111" t="s">
        <v>30</v>
      </c>
      <c r="D32" s="111"/>
      <c r="E32" s="111"/>
      <c r="F32" s="111" t="s">
        <v>206</v>
      </c>
      <c r="G32" s="111"/>
      <c r="H32" s="111"/>
    </row>
    <row r="33" spans="1:8" x14ac:dyDescent="0.35">
      <c r="A33" s="113" t="s">
        <v>27</v>
      </c>
      <c r="B33" s="113" t="s">
        <v>30</v>
      </c>
      <c r="C33" s="111" t="s">
        <v>30</v>
      </c>
      <c r="D33" s="111"/>
      <c r="E33" s="111"/>
      <c r="F33" s="111" t="s">
        <v>205</v>
      </c>
      <c r="G33" s="111"/>
      <c r="H33" s="111"/>
    </row>
    <row r="34" spans="1:8" x14ac:dyDescent="0.35">
      <c r="A34" s="75" t="s">
        <v>32</v>
      </c>
      <c r="B34" s="75"/>
      <c r="C34" s="75"/>
      <c r="D34" s="75"/>
      <c r="E34" s="75"/>
      <c r="F34" s="75"/>
      <c r="G34" s="75"/>
      <c r="H34" s="75"/>
    </row>
    <row r="35" spans="1:8" ht="15.75" customHeight="1" x14ac:dyDescent="0.35">
      <c r="A35" s="60" t="s">
        <v>224</v>
      </c>
      <c r="B35" s="60"/>
      <c r="C35" s="63" t="s">
        <v>225</v>
      </c>
      <c r="D35" s="62"/>
      <c r="E35" s="62"/>
      <c r="F35" s="62"/>
      <c r="G35" s="62"/>
      <c r="H35" s="62"/>
    </row>
    <row r="36" spans="1:8" x14ac:dyDescent="0.35">
      <c r="A36" s="60" t="s">
        <v>223</v>
      </c>
      <c r="B36" s="60"/>
      <c r="C36" s="61" t="s">
        <v>226</v>
      </c>
      <c r="D36" s="62"/>
      <c r="E36" s="62"/>
      <c r="F36" s="62"/>
      <c r="G36" s="62"/>
      <c r="H36" s="62"/>
    </row>
    <row r="37" spans="1:8" x14ac:dyDescent="0.35">
      <c r="A37" s="91" t="s">
        <v>35</v>
      </c>
      <c r="B37" s="91"/>
      <c r="C37" s="91"/>
      <c r="D37" s="91"/>
      <c r="E37" s="91"/>
      <c r="F37" s="91"/>
      <c r="G37" s="91"/>
      <c r="H37" s="91"/>
    </row>
    <row r="38" spans="1:8" x14ac:dyDescent="0.35">
      <c r="A38" s="75" t="s">
        <v>36</v>
      </c>
      <c r="B38" s="75"/>
      <c r="C38" s="75"/>
      <c r="D38" s="75"/>
      <c r="E38" s="78">
        <v>405</v>
      </c>
      <c r="F38" s="78"/>
      <c r="G38" s="78"/>
      <c r="H38" s="78"/>
    </row>
    <row r="39" spans="1:8" x14ac:dyDescent="0.35">
      <c r="A39" s="75" t="s">
        <v>37</v>
      </c>
      <c r="B39" s="75"/>
      <c r="C39" s="75"/>
      <c r="D39" s="75"/>
      <c r="E39" s="87">
        <v>2.23</v>
      </c>
      <c r="F39" s="87"/>
      <c r="G39" s="87"/>
      <c r="H39" s="87"/>
    </row>
    <row r="40" spans="1:8" x14ac:dyDescent="0.35">
      <c r="A40" s="75" t="s">
        <v>38</v>
      </c>
      <c r="B40" s="75"/>
      <c r="C40" s="75"/>
      <c r="D40" s="75"/>
      <c r="E40" s="87">
        <f>E42/E38-E39</f>
        <v>9.5061728395062772E-3</v>
      </c>
      <c r="F40" s="87"/>
      <c r="G40" s="87"/>
      <c r="H40" s="87"/>
    </row>
    <row r="41" spans="1:8" x14ac:dyDescent="0.35">
      <c r="A41" s="75" t="s">
        <v>39</v>
      </c>
      <c r="B41" s="75"/>
      <c r="C41" s="75"/>
      <c r="D41" s="75"/>
      <c r="E41" s="87">
        <f>E39+E40</f>
        <v>2.2395061728395063</v>
      </c>
      <c r="F41" s="87"/>
      <c r="G41" s="87"/>
      <c r="H41" s="87"/>
    </row>
    <row r="42" spans="1:8" x14ac:dyDescent="0.35">
      <c r="A42" s="75" t="s">
        <v>124</v>
      </c>
      <c r="B42" s="75"/>
      <c r="C42" s="75"/>
      <c r="D42" s="75"/>
      <c r="E42" s="88">
        <v>907</v>
      </c>
      <c r="F42" s="88"/>
      <c r="G42" s="88"/>
      <c r="H42" s="88"/>
    </row>
    <row r="43" spans="1:8" x14ac:dyDescent="0.35">
      <c r="A43" s="90" t="s">
        <v>40</v>
      </c>
      <c r="B43" s="90"/>
      <c r="C43" s="90"/>
      <c r="D43" s="90"/>
      <c r="E43" s="89" t="s">
        <v>159</v>
      </c>
      <c r="F43" s="89"/>
      <c r="G43" s="89"/>
      <c r="H43" s="89"/>
    </row>
    <row r="44" spans="1:8" x14ac:dyDescent="0.35">
      <c r="A44" s="91" t="s">
        <v>41</v>
      </c>
      <c r="B44" s="91"/>
      <c r="C44" s="91"/>
      <c r="D44" s="91"/>
      <c r="E44" s="91"/>
      <c r="F44" s="91"/>
      <c r="G44" s="91"/>
      <c r="H44" s="91"/>
    </row>
    <row r="45" spans="1:8" x14ac:dyDescent="0.35">
      <c r="A45" s="92" t="s">
        <v>42</v>
      </c>
      <c r="B45" s="92"/>
      <c r="C45" s="125" t="s">
        <v>194</v>
      </c>
      <c r="D45" s="125"/>
      <c r="E45" s="125"/>
      <c r="F45" s="59" t="s">
        <v>43</v>
      </c>
      <c r="G45" s="83">
        <v>44308</v>
      </c>
      <c r="H45" s="83"/>
    </row>
    <row r="46" spans="1:8" x14ac:dyDescent="0.35">
      <c r="A46" s="75" t="s">
        <v>44</v>
      </c>
      <c r="B46" s="75"/>
      <c r="C46" s="125" t="str">
        <f>C45</f>
        <v>S.R-03/21-22</v>
      </c>
      <c r="D46" s="125"/>
      <c r="E46" s="125"/>
      <c r="F46" s="49" t="s">
        <v>43</v>
      </c>
      <c r="G46" s="83">
        <f>G45</f>
        <v>44308</v>
      </c>
      <c r="H46" s="83"/>
    </row>
    <row r="47" spans="1:8" s="10" customFormat="1" x14ac:dyDescent="0.35">
      <c r="A47" s="84" t="s">
        <v>45</v>
      </c>
      <c r="B47" s="84"/>
      <c r="C47" s="125" t="s">
        <v>195</v>
      </c>
      <c r="D47" s="76"/>
      <c r="E47" s="76"/>
      <c r="F47" s="13" t="s">
        <v>43</v>
      </c>
      <c r="G47" s="83">
        <f>G46</f>
        <v>44308</v>
      </c>
      <c r="H47" s="83"/>
    </row>
    <row r="48" spans="1:8" s="10" customFormat="1" x14ac:dyDescent="0.35">
      <c r="A48" s="84"/>
      <c r="B48" s="84"/>
      <c r="C48" s="146" t="s">
        <v>196</v>
      </c>
      <c r="D48" s="147"/>
      <c r="E48" s="147"/>
      <c r="F48" s="147"/>
      <c r="G48" s="147"/>
      <c r="H48" s="148"/>
    </row>
    <row r="49" spans="1:14" ht="34.5" customHeight="1" x14ac:dyDescent="0.35">
      <c r="A49" s="131" t="s">
        <v>217</v>
      </c>
      <c r="B49" s="131"/>
      <c r="C49" s="132" t="s">
        <v>216</v>
      </c>
      <c r="D49" s="133"/>
      <c r="E49" s="133" t="s">
        <v>46</v>
      </c>
      <c r="F49" s="14" t="s">
        <v>43</v>
      </c>
      <c r="G49" s="145">
        <v>44567</v>
      </c>
      <c r="H49" s="145"/>
    </row>
    <row r="50" spans="1:14" x14ac:dyDescent="0.35">
      <c r="A50" s="129" t="s">
        <v>48</v>
      </c>
      <c r="B50" s="129"/>
      <c r="C50" s="129"/>
      <c r="D50" s="129"/>
      <c r="E50" s="129"/>
      <c r="F50" s="129"/>
      <c r="G50" s="129"/>
      <c r="H50" s="129"/>
    </row>
    <row r="51" spans="1:14" x14ac:dyDescent="0.35">
      <c r="A51" s="92" t="s">
        <v>123</v>
      </c>
      <c r="B51" s="92"/>
      <c r="C51" s="92"/>
      <c r="D51" s="75">
        <f>E42</f>
        <v>907</v>
      </c>
      <c r="E51" s="75"/>
      <c r="F51" s="75"/>
      <c r="G51" s="75"/>
      <c r="H51" s="75"/>
    </row>
    <row r="52" spans="1:14" x14ac:dyDescent="0.35">
      <c r="A52" s="84" t="s">
        <v>49</v>
      </c>
      <c r="B52" s="90"/>
      <c r="C52" s="90"/>
      <c r="D52" s="90" t="s">
        <v>203</v>
      </c>
      <c r="E52" s="90"/>
      <c r="F52" s="90"/>
      <c r="G52" s="90"/>
      <c r="H52" s="90"/>
      <c r="I52" s="39"/>
    </row>
    <row r="53" spans="1:14" ht="15.75" customHeight="1" x14ac:dyDescent="0.35">
      <c r="A53" s="80" t="s">
        <v>50</v>
      </c>
      <c r="B53" s="81"/>
      <c r="C53" s="82"/>
      <c r="D53" s="79" t="s">
        <v>198</v>
      </c>
      <c r="E53" s="79"/>
      <c r="F53" s="79"/>
      <c r="G53" s="79"/>
      <c r="H53" s="79"/>
    </row>
    <row r="54" spans="1:14" ht="15.75" customHeight="1" x14ac:dyDescent="0.35">
      <c r="A54" s="80" t="s">
        <v>121</v>
      </c>
      <c r="B54" s="81"/>
      <c r="C54" s="81"/>
      <c r="D54" s="142" t="s">
        <v>197</v>
      </c>
      <c r="E54" s="143"/>
      <c r="F54" s="143"/>
      <c r="G54" s="143"/>
      <c r="H54" s="144"/>
    </row>
    <row r="55" spans="1:14" ht="15.75" customHeight="1" x14ac:dyDescent="0.35">
      <c r="A55" s="75" t="s">
        <v>47</v>
      </c>
      <c r="B55" s="75"/>
      <c r="C55" s="75"/>
      <c r="D55" s="104" t="s">
        <v>220</v>
      </c>
      <c r="E55" s="104"/>
      <c r="F55" s="104"/>
      <c r="G55" s="104"/>
      <c r="H55" s="104"/>
      <c r="J55" s="38"/>
      <c r="K55" s="39"/>
      <c r="N55" s="39"/>
    </row>
    <row r="56" spans="1:14" ht="15.75" customHeight="1" x14ac:dyDescent="0.35">
      <c r="A56" s="75" t="s">
        <v>119</v>
      </c>
      <c r="B56" s="75"/>
      <c r="C56" s="75"/>
      <c r="D56" s="109" t="str">
        <f ca="1">(IF(G49="NA","60 Years After Completion",IF(G49&lt;&gt;"NA",""&amp;60-ROUNDDOWN((E3-G49)/360,0)&amp;" Years"," ")))</f>
        <v>57 Years</v>
      </c>
      <c r="E56" s="109"/>
      <c r="F56" s="109"/>
      <c r="G56" s="109"/>
      <c r="H56" s="109"/>
      <c r="N56" s="39"/>
    </row>
    <row r="57" spans="1:14" ht="15.75" customHeight="1" x14ac:dyDescent="0.35">
      <c r="A57" s="75" t="s">
        <v>120</v>
      </c>
      <c r="B57" s="75"/>
      <c r="C57" s="75"/>
      <c r="D57" s="92" t="s">
        <v>24</v>
      </c>
      <c r="E57" s="92"/>
      <c r="F57" s="92"/>
      <c r="G57" s="92"/>
      <c r="H57" s="92"/>
      <c r="J57" s="19"/>
      <c r="K57" s="19"/>
    </row>
    <row r="58" spans="1:14" ht="15.75" customHeight="1" thickBot="1" x14ac:dyDescent="0.4">
      <c r="A58" s="110" t="s">
        <v>118</v>
      </c>
      <c r="B58" s="110"/>
      <c r="C58" s="110"/>
      <c r="D58" s="95" t="str">
        <f ca="1">(IF(G64&gt;95%,"Nothing",IF(G64&gt;0%,"Cement, Aggregate, Steel, etc",IF(G64=0%,"Work not yet Started"))))</f>
        <v>Nothing</v>
      </c>
      <c r="E58" s="95"/>
      <c r="F58" s="95"/>
      <c r="G58" s="95"/>
      <c r="H58" s="95"/>
      <c r="J58" s="19"/>
    </row>
    <row r="59" spans="1:14" ht="15.75" customHeight="1" x14ac:dyDescent="0.35">
      <c r="A59" s="99" t="s">
        <v>179</v>
      </c>
      <c r="B59" s="100"/>
      <c r="C59" s="101" t="str">
        <f>D54</f>
        <v>G/St + 1st to 5th Floor</v>
      </c>
      <c r="D59" s="102"/>
      <c r="E59" s="102"/>
      <c r="F59" s="102"/>
      <c r="G59" s="102"/>
      <c r="H59" s="103"/>
      <c r="I59" s="42" t="str">
        <f ca="1">(IF(E64&gt;99%,"All work completed. Please provide OC.",IF(E64&gt;89.8%,"Plinth, RCC, Brick, Plaster, Flooring, Painting work Completed. Finishing work is in process.",IF(E64&lt;94%,(IF(C64=0,"Work not yet Started.",IF(D64=25%,"Piling work in process",IF(D64=50%,"Excavation work in process",IF(D64=100%,"Excavation work Completed. ","0")))&amp;(IF(C65=0%,"",IF(C65=J66,"Footing work is process",IF(C65=J67,"Footing work Completed",IF(C65=J68,"1st Basement Completed",IF(C65=J69,"1st &amp; 2nd Basement Completed",IF(C65=J70,"1st to 3rd Basement Completed",IF(C65=J71,"1st to 4th Basement Completed",IF(C65=J72,"Plinth work is process",IF(C65=J73,"Plinth work completed","0")))))))))))&amp;(IF(C66=(D60+F60+H60),", RCC Slab",IF(C66&gt;0,", RCC upto "&amp;C66&amp;" Slab",""))&amp;(IF(C67=H60,", Brickwork",IF(C67&gt;0,", Brickwork upto "&amp;C67&amp;" Floor",""))&amp;(IF(C68=H60,", Internal Plaster",IF(C68&gt;0,", Internal Plaster upto "&amp;C68&amp;" Floor",""))&amp;(IF(C69=H60,", External Plaster",IF(C69&gt;0,", External Plaster upto "&amp;C69&amp;" Floor",""))&amp;(IF(C70=H60,", Flooring",IF(C70&gt;0,", Flooring upto "&amp;C70&amp;" Floor",""))&amp;(IF(C71=H60,", Painting",IF(C71&gt;0,", Painting upto "&amp;C71&amp;" Floor",""))&amp;(IF(C72&gt;0,", Finishing upto "&amp;C72&amp;" Floor","")&amp;(IF(C66&gt;0.5," Completed",""))))))))))))))</f>
        <v>All work completed. Please provide OC.</v>
      </c>
      <c r="J59" s="20"/>
    </row>
    <row r="60" spans="1:14" x14ac:dyDescent="0.35">
      <c r="A60" s="47" t="s">
        <v>181</v>
      </c>
      <c r="B60" s="50">
        <v>0</v>
      </c>
      <c r="C60" s="50" t="s">
        <v>100</v>
      </c>
      <c r="D60" s="50">
        <v>1</v>
      </c>
      <c r="E60" s="50" t="s">
        <v>99</v>
      </c>
      <c r="F60" s="50">
        <v>0</v>
      </c>
      <c r="G60" s="50" t="s">
        <v>112</v>
      </c>
      <c r="H60" s="48">
        <f ca="1">--TRIM(RIGHT(SUBSTITUTE(LEFT(C59,_xlfn.AGGREGATE(16,6,FIND({0,1,2,3,4,5,6,7,8,9},C59,ROW(INDIRECT("1:"&amp;LEN(C59)))),1))," ",REPT(" ",LEN(C59))),LEN(C59)))</f>
        <v>5</v>
      </c>
      <c r="I60" s="19"/>
      <c r="J60" s="21"/>
    </row>
    <row r="61" spans="1:14" ht="16.5" customHeight="1" x14ac:dyDescent="0.35">
      <c r="A61" s="97" t="s">
        <v>122</v>
      </c>
      <c r="B61" s="98"/>
      <c r="C61" s="93" t="s">
        <v>140</v>
      </c>
      <c r="D61" s="93"/>
      <c r="E61" s="93"/>
      <c r="F61" s="93"/>
      <c r="G61" s="93"/>
      <c r="H61" s="94"/>
      <c r="I61" s="19" t="s">
        <v>140</v>
      </c>
      <c r="J61" s="21"/>
    </row>
    <row r="62" spans="1:14" ht="32" customHeight="1" thickBot="1" x14ac:dyDescent="0.4">
      <c r="A62" s="155" t="s">
        <v>117</v>
      </c>
      <c r="B62" s="156"/>
      <c r="C62" s="157">
        <f ca="1">E64</f>
        <v>1</v>
      </c>
      <c r="D62" s="158"/>
      <c r="E62" s="159" t="s">
        <v>116</v>
      </c>
      <c r="F62" s="158"/>
      <c r="G62" s="157">
        <f ca="1">G64</f>
        <v>1</v>
      </c>
      <c r="H62" s="160"/>
      <c r="I62" s="19"/>
      <c r="J62" s="21"/>
    </row>
    <row r="63" spans="1:14" ht="15.75" hidden="1" customHeight="1" x14ac:dyDescent="0.35">
      <c r="A63" s="85" t="s">
        <v>51</v>
      </c>
      <c r="B63" s="86"/>
      <c r="C63" s="52" t="s">
        <v>178</v>
      </c>
      <c r="D63" s="52" t="s">
        <v>115</v>
      </c>
      <c r="E63" s="86" t="s">
        <v>117</v>
      </c>
      <c r="F63" s="86"/>
      <c r="G63" s="86" t="s">
        <v>116</v>
      </c>
      <c r="H63" s="96"/>
      <c r="I63" s="37" t="s">
        <v>180</v>
      </c>
      <c r="J63" s="22">
        <f ca="1">H60*25%</f>
        <v>1.25</v>
      </c>
    </row>
    <row r="64" spans="1:14" hidden="1" x14ac:dyDescent="0.35">
      <c r="A64" s="85" t="s">
        <v>167</v>
      </c>
      <c r="B64" s="86"/>
      <c r="C64" s="53">
        <f ca="1">J65</f>
        <v>5</v>
      </c>
      <c r="D64" s="54">
        <f ca="1">((100/H60)*C64)/100</f>
        <v>1</v>
      </c>
      <c r="E64" s="105">
        <f ca="1">(((C65/H60*10)+(40/(D60+F60+H60)*C66)+(7.5/(H60)*C67)+(7.5/(H60)*C68)+(10/H60*C69)+(10/H60*C70)+(5/H60*C71)+(5/H60*C72)+(5/H60*C73))/100)</f>
        <v>1</v>
      </c>
      <c r="F64" s="105"/>
      <c r="G64" s="105">
        <f ca="1">((((C64/H60)*20)+((C65/H60)*25)+(30/(H60+F60+D60)*C66)+(5/H60*C67)+(5/H60*C68)+(5/H60*C69)+(5/H60*C70)+(0/H60*C71)+(0/H60*C72)+(5/H60*C73))/100)</f>
        <v>1</v>
      </c>
      <c r="H64" s="107"/>
      <c r="I64" s="37" t="s">
        <v>135</v>
      </c>
      <c r="J64" s="41">
        <f ca="1">H60*50%</f>
        <v>2.5</v>
      </c>
    </row>
    <row r="65" spans="1:13" hidden="1" x14ac:dyDescent="0.35">
      <c r="A65" s="85" t="s">
        <v>52</v>
      </c>
      <c r="B65" s="86"/>
      <c r="C65" s="55">
        <v>5</v>
      </c>
      <c r="D65" s="54">
        <f ca="1">((100/H60)*C65)/100</f>
        <v>1</v>
      </c>
      <c r="E65" s="105"/>
      <c r="F65" s="105"/>
      <c r="G65" s="105"/>
      <c r="H65" s="107"/>
      <c r="I65" s="37" t="s">
        <v>136</v>
      </c>
      <c r="J65" s="41">
        <f ca="1">H60</f>
        <v>5</v>
      </c>
    </row>
    <row r="66" spans="1:13" ht="15.75" hidden="1" customHeight="1" x14ac:dyDescent="0.35">
      <c r="A66" s="85" t="s">
        <v>168</v>
      </c>
      <c r="B66" s="86"/>
      <c r="C66" s="55">
        <v>6</v>
      </c>
      <c r="D66" s="54">
        <f ca="1">((100/(D60+F60+H60))*C66)/100</f>
        <v>1</v>
      </c>
      <c r="E66" s="105"/>
      <c r="F66" s="105"/>
      <c r="G66" s="105"/>
      <c r="H66" s="107"/>
      <c r="I66" s="37" t="s">
        <v>137</v>
      </c>
      <c r="J66" s="44">
        <f ca="1">(IF(B60&gt;1,(H60/(B60+2)),H60/4))</f>
        <v>1.25</v>
      </c>
    </row>
    <row r="67" spans="1:13" ht="15.75" hidden="1" customHeight="1" x14ac:dyDescent="0.35">
      <c r="A67" s="85" t="s">
        <v>175</v>
      </c>
      <c r="B67" s="86" t="s">
        <v>169</v>
      </c>
      <c r="C67" s="53">
        <v>5</v>
      </c>
      <c r="D67" s="54">
        <f ca="1">((100/H60)*C67)/100</f>
        <v>1</v>
      </c>
      <c r="E67" s="105"/>
      <c r="F67" s="105"/>
      <c r="G67" s="105"/>
      <c r="H67" s="107"/>
      <c r="I67" s="37" t="s">
        <v>138</v>
      </c>
      <c r="J67" s="44">
        <f ca="1">(IF(B60&gt;1,(H60/(B60+2)+J66),H60/4+J66))</f>
        <v>2.5</v>
      </c>
    </row>
    <row r="68" spans="1:13" ht="15.75" hidden="1" customHeight="1" x14ac:dyDescent="0.35">
      <c r="A68" s="85" t="s">
        <v>176</v>
      </c>
      <c r="B68" s="86" t="s">
        <v>169</v>
      </c>
      <c r="C68" s="53">
        <v>5</v>
      </c>
      <c r="D68" s="54">
        <f ca="1">((100/H60)*C68)/100</f>
        <v>1</v>
      </c>
      <c r="E68" s="105"/>
      <c r="F68" s="105"/>
      <c r="G68" s="105"/>
      <c r="H68" s="107"/>
      <c r="I68" s="37" t="s">
        <v>185</v>
      </c>
      <c r="J68" s="44">
        <f>(IF(B60&gt;1,(H60/(B60+2)+J67),0))</f>
        <v>0</v>
      </c>
    </row>
    <row r="69" spans="1:13" ht="15" hidden="1" customHeight="1" x14ac:dyDescent="0.35">
      <c r="A69" s="85" t="s">
        <v>174</v>
      </c>
      <c r="B69" s="86" t="s">
        <v>171</v>
      </c>
      <c r="C69" s="53">
        <v>5</v>
      </c>
      <c r="D69" s="54">
        <f ca="1">((100/(H60))*C69)/100</f>
        <v>1</v>
      </c>
      <c r="E69" s="105"/>
      <c r="F69" s="105"/>
      <c r="G69" s="105"/>
      <c r="H69" s="107"/>
      <c r="I69" s="37" t="s">
        <v>182</v>
      </c>
      <c r="J69" s="44">
        <f>(IF(B60&gt;2,(H60/(B60+2)+J68),0))</f>
        <v>0</v>
      </c>
    </row>
    <row r="70" spans="1:13" ht="15.75" hidden="1" customHeight="1" x14ac:dyDescent="0.35">
      <c r="A70" s="85" t="s">
        <v>170</v>
      </c>
      <c r="B70" s="86" t="s">
        <v>170</v>
      </c>
      <c r="C70" s="53">
        <v>5</v>
      </c>
      <c r="D70" s="54">
        <f ca="1">((100/H60)*C70)/100</f>
        <v>1</v>
      </c>
      <c r="E70" s="105"/>
      <c r="F70" s="105"/>
      <c r="G70" s="105"/>
      <c r="H70" s="107"/>
      <c r="I70" s="37" t="s">
        <v>183</v>
      </c>
      <c r="J70" s="45">
        <f>(IF(B60&gt;3,(H60/(B60+2)+J69),0))</f>
        <v>0</v>
      </c>
    </row>
    <row r="71" spans="1:13" ht="15.75" hidden="1" customHeight="1" x14ac:dyDescent="0.35">
      <c r="A71" s="85" t="s">
        <v>177</v>
      </c>
      <c r="B71" s="86"/>
      <c r="C71" s="53">
        <v>5</v>
      </c>
      <c r="D71" s="54">
        <f ca="1">((100/H60)*C71)/100</f>
        <v>1</v>
      </c>
      <c r="E71" s="105"/>
      <c r="F71" s="105"/>
      <c r="G71" s="105"/>
      <c r="H71" s="107"/>
      <c r="I71" s="37" t="s">
        <v>184</v>
      </c>
      <c r="J71" s="44">
        <f>(IF(B60&gt;4,(H60/(B60+2)+J70),0))</f>
        <v>0</v>
      </c>
    </row>
    <row r="72" spans="1:13" ht="15.75" hidden="1" customHeight="1" x14ac:dyDescent="0.35">
      <c r="A72" s="85" t="s">
        <v>172</v>
      </c>
      <c r="B72" s="86" t="s">
        <v>172</v>
      </c>
      <c r="C72" s="53">
        <v>5</v>
      </c>
      <c r="D72" s="54">
        <f ca="1">((100/(H60))*C72)/100</f>
        <v>1</v>
      </c>
      <c r="E72" s="105"/>
      <c r="F72" s="105"/>
      <c r="G72" s="105"/>
      <c r="H72" s="107"/>
      <c r="I72" s="37" t="s">
        <v>186</v>
      </c>
      <c r="J72" s="44">
        <f ca="1">(IF(B60=1,(H60/(B60+3)+J67),IF(B60=0,(H60/4+J67),IF(B60&gt;1,0))))</f>
        <v>3.75</v>
      </c>
    </row>
    <row r="73" spans="1:13" ht="16" hidden="1" thickBot="1" x14ac:dyDescent="0.4">
      <c r="A73" s="138" t="s">
        <v>173</v>
      </c>
      <c r="B73" s="139"/>
      <c r="C73" s="53">
        <v>5</v>
      </c>
      <c r="D73" s="56">
        <f ca="1">((100/(H60))*C73)/100</f>
        <v>1</v>
      </c>
      <c r="E73" s="106"/>
      <c r="F73" s="106"/>
      <c r="G73" s="106"/>
      <c r="H73" s="108"/>
      <c r="I73" s="43" t="s">
        <v>139</v>
      </c>
      <c r="J73" s="46">
        <f ca="1">(IF(B60&gt;1.5,(H60/(B60+2)+J67+MAX(0,J68-J67)+MAX(0,J69-J68)+MAX(0,J70-J69)+MAX(0,J71-J70)+MAX(0,J72-J71)),IF(B60=1,(H60/(B60+3)+J72),IF(B60=0,H60/4+J72))))</f>
        <v>5</v>
      </c>
    </row>
    <row r="74" spans="1:13" x14ac:dyDescent="0.35">
      <c r="A74" s="135" t="s">
        <v>155</v>
      </c>
      <c r="B74" s="136"/>
      <c r="C74" s="136"/>
      <c r="D74" s="136"/>
      <c r="E74" s="137"/>
      <c r="F74" s="135" t="s">
        <v>18</v>
      </c>
      <c r="G74" s="136"/>
      <c r="H74" s="137"/>
    </row>
    <row r="75" spans="1:13" x14ac:dyDescent="0.35">
      <c r="A75" s="75" t="s">
        <v>53</v>
      </c>
      <c r="B75" s="75"/>
      <c r="C75" s="75"/>
      <c r="D75" s="75"/>
      <c r="E75" s="75"/>
      <c r="F75" s="75"/>
      <c r="G75" s="75"/>
      <c r="H75" s="75"/>
    </row>
    <row r="76" spans="1:13" ht="15" customHeight="1" x14ac:dyDescent="0.35">
      <c r="A76" s="98" t="s">
        <v>103</v>
      </c>
      <c r="B76" s="98"/>
      <c r="C76" s="93" t="s">
        <v>104</v>
      </c>
      <c r="D76" s="93"/>
      <c r="E76" s="93"/>
      <c r="F76" s="93"/>
      <c r="G76" s="93"/>
      <c r="H76" s="93"/>
    </row>
    <row r="77" spans="1:13" x14ac:dyDescent="0.35">
      <c r="A77" s="91" t="s">
        <v>54</v>
      </c>
      <c r="B77" s="91"/>
      <c r="C77" s="91"/>
      <c r="D77" s="91"/>
      <c r="E77" s="91"/>
      <c r="F77" s="91"/>
      <c r="G77" s="91"/>
      <c r="H77" s="91"/>
    </row>
    <row r="78" spans="1:13" x14ac:dyDescent="0.35">
      <c r="A78" s="75" t="s">
        <v>105</v>
      </c>
      <c r="B78" s="75"/>
      <c r="C78" s="75"/>
      <c r="D78" s="75"/>
      <c r="E78" s="75"/>
      <c r="F78" s="76">
        <v>4300</v>
      </c>
      <c r="G78" s="76"/>
      <c r="H78" s="76"/>
      <c r="J78" s="57" t="s">
        <v>218</v>
      </c>
      <c r="K78" s="58">
        <v>44949</v>
      </c>
      <c r="L78" s="57" t="s">
        <v>219</v>
      </c>
      <c r="M78" s="57"/>
    </row>
    <row r="79" spans="1:13" hidden="1" x14ac:dyDescent="0.35">
      <c r="A79" s="75" t="s">
        <v>110</v>
      </c>
      <c r="B79" s="75"/>
      <c r="C79" s="75"/>
      <c r="D79" s="75"/>
      <c r="E79" s="75"/>
      <c r="F79" s="76"/>
      <c r="G79" s="76"/>
      <c r="H79" s="76"/>
    </row>
    <row r="80" spans="1:13" hidden="1" x14ac:dyDescent="0.35">
      <c r="A80" s="75" t="s">
        <v>111</v>
      </c>
      <c r="B80" s="75"/>
      <c r="C80" s="75"/>
      <c r="D80" s="75"/>
      <c r="E80" s="75"/>
      <c r="F80" s="76"/>
      <c r="G80" s="76"/>
      <c r="H80" s="76"/>
    </row>
    <row r="81" spans="1:9" s="12" customFormat="1" hidden="1" x14ac:dyDescent="0.3">
      <c r="A81" s="75" t="s">
        <v>127</v>
      </c>
      <c r="B81" s="75"/>
      <c r="C81" s="75"/>
      <c r="D81" s="75"/>
      <c r="E81" s="75"/>
      <c r="F81" s="76" t="s">
        <v>30</v>
      </c>
      <c r="G81" s="76"/>
      <c r="H81" s="76"/>
    </row>
    <row r="82" spans="1:9" s="12" customFormat="1" x14ac:dyDescent="0.3">
      <c r="A82" s="75" t="s">
        <v>128</v>
      </c>
      <c r="B82" s="75"/>
      <c r="C82" s="75"/>
      <c r="D82" s="75"/>
      <c r="E82" s="75"/>
      <c r="F82" s="76">
        <v>150000</v>
      </c>
      <c r="G82" s="76"/>
      <c r="H82" s="76"/>
    </row>
    <row r="83" spans="1:9" s="12" customFormat="1" hidden="1" x14ac:dyDescent="0.3">
      <c r="A83" s="75" t="s">
        <v>129</v>
      </c>
      <c r="B83" s="75"/>
      <c r="C83" s="75"/>
      <c r="D83" s="75"/>
      <c r="E83" s="75"/>
      <c r="F83" s="76" t="s">
        <v>30</v>
      </c>
      <c r="G83" s="76"/>
      <c r="H83" s="76"/>
    </row>
    <row r="84" spans="1:9" s="12" customFormat="1" hidden="1" x14ac:dyDescent="0.3">
      <c r="A84" s="75" t="s">
        <v>130</v>
      </c>
      <c r="B84" s="75"/>
      <c r="C84" s="75"/>
      <c r="D84" s="75"/>
      <c r="E84" s="75"/>
      <c r="F84" s="76" t="s">
        <v>30</v>
      </c>
      <c r="G84" s="76"/>
      <c r="H84" s="76"/>
    </row>
    <row r="85" spans="1:9" s="12" customFormat="1" hidden="1" x14ac:dyDescent="0.3">
      <c r="A85" s="75" t="s">
        <v>131</v>
      </c>
      <c r="B85" s="75"/>
      <c r="C85" s="75"/>
      <c r="D85" s="75"/>
      <c r="E85" s="75"/>
      <c r="F85" s="76" t="s">
        <v>30</v>
      </c>
      <c r="G85" s="76"/>
      <c r="H85" s="76"/>
    </row>
    <row r="86" spans="1:9" s="12" customFormat="1" hidden="1" x14ac:dyDescent="0.3">
      <c r="A86" s="75" t="s">
        <v>132</v>
      </c>
      <c r="B86" s="75"/>
      <c r="C86" s="75"/>
      <c r="D86" s="75"/>
      <c r="E86" s="75"/>
      <c r="F86" s="76" t="s">
        <v>30</v>
      </c>
      <c r="G86" s="76"/>
      <c r="H86" s="76"/>
    </row>
    <row r="87" spans="1:9" s="12" customFormat="1" hidden="1" x14ac:dyDescent="0.3">
      <c r="A87" s="75" t="s">
        <v>133</v>
      </c>
      <c r="B87" s="75"/>
      <c r="C87" s="75"/>
      <c r="D87" s="75"/>
      <c r="E87" s="75"/>
      <c r="F87" s="76" t="s">
        <v>30</v>
      </c>
      <c r="G87" s="76"/>
      <c r="H87" s="76"/>
    </row>
    <row r="88" spans="1:9" s="12" customFormat="1" hidden="1" x14ac:dyDescent="0.3">
      <c r="A88" s="75" t="s">
        <v>134</v>
      </c>
      <c r="B88" s="75"/>
      <c r="C88" s="75"/>
      <c r="D88" s="75"/>
      <c r="E88" s="75"/>
      <c r="F88" s="76" t="s">
        <v>30</v>
      </c>
      <c r="G88" s="76"/>
      <c r="H88" s="76"/>
    </row>
    <row r="89" spans="1:9" x14ac:dyDescent="0.35">
      <c r="A89" s="75" t="s">
        <v>55</v>
      </c>
      <c r="B89" s="75"/>
      <c r="C89" s="75"/>
      <c r="D89" s="75"/>
      <c r="E89" s="75"/>
      <c r="F89" s="125" t="s">
        <v>221</v>
      </c>
      <c r="G89" s="125"/>
      <c r="H89" s="125"/>
    </row>
    <row r="90" spans="1:9" s="9" customFormat="1" x14ac:dyDescent="0.35">
      <c r="A90" s="91" t="s">
        <v>56</v>
      </c>
      <c r="B90" s="91"/>
      <c r="C90" s="91"/>
      <c r="D90" s="91"/>
      <c r="E90" s="91"/>
      <c r="F90" s="76">
        <f>F78*0.8</f>
        <v>3440</v>
      </c>
      <c r="G90" s="76"/>
      <c r="H90" s="76"/>
    </row>
    <row r="91" spans="1:9" s="1" customFormat="1" x14ac:dyDescent="0.35">
      <c r="A91" s="127" t="s">
        <v>98</v>
      </c>
      <c r="B91" s="127"/>
      <c r="C91" s="127"/>
      <c r="D91" s="127"/>
      <c r="E91" s="127"/>
      <c r="F91" s="127"/>
      <c r="G91" s="127"/>
      <c r="H91" s="127"/>
    </row>
    <row r="92" spans="1:9" s="1" customFormat="1" ht="15.75" customHeight="1" x14ac:dyDescent="0.35">
      <c r="A92" s="77" t="s">
        <v>57</v>
      </c>
      <c r="B92" s="77"/>
      <c r="C92" s="119" t="s">
        <v>108</v>
      </c>
      <c r="D92" s="119"/>
      <c r="E92" s="120" t="s">
        <v>58</v>
      </c>
      <c r="F92" s="120"/>
      <c r="G92" s="77" t="s">
        <v>59</v>
      </c>
      <c r="H92" s="77"/>
    </row>
    <row r="93" spans="1:9" s="1" customFormat="1" x14ac:dyDescent="0.35">
      <c r="A93" s="126" t="s">
        <v>202</v>
      </c>
      <c r="B93" s="126"/>
      <c r="C93" s="130">
        <f>COUNT(D99:D102)*5</f>
        <v>20</v>
      </c>
      <c r="D93" s="130"/>
      <c r="E93" s="118">
        <f>SUM(D99:D102)*5</f>
        <v>8057.9303999999993</v>
      </c>
      <c r="F93" s="118"/>
      <c r="G93" s="118">
        <f>SUM(F99:F102)*5</f>
        <v>12500</v>
      </c>
      <c r="H93" s="118"/>
    </row>
    <row r="94" spans="1:9" s="9" customFormat="1" x14ac:dyDescent="0.35">
      <c r="A94" s="60" t="s">
        <v>62</v>
      </c>
      <c r="B94" s="60"/>
      <c r="C94" s="60"/>
      <c r="D94" s="60"/>
      <c r="E94" s="60"/>
      <c r="F94" s="60"/>
      <c r="G94" s="60"/>
      <c r="H94" s="60"/>
    </row>
    <row r="95" spans="1:9" x14ac:dyDescent="0.35">
      <c r="A95" s="60" t="s">
        <v>63</v>
      </c>
      <c r="B95" s="60"/>
      <c r="C95" s="60"/>
      <c r="D95" s="60"/>
      <c r="E95" s="60"/>
      <c r="F95" s="60"/>
      <c r="G95" s="60"/>
      <c r="H95" s="60"/>
    </row>
    <row r="96" spans="1:9" ht="47.25" customHeight="1" x14ac:dyDescent="0.35">
      <c r="A96" s="152" t="s">
        <v>156</v>
      </c>
      <c r="B96" s="152" t="s">
        <v>157</v>
      </c>
      <c r="C96" s="152" t="s">
        <v>64</v>
      </c>
      <c r="D96" s="152" t="s">
        <v>65</v>
      </c>
      <c r="E96" s="153" t="s">
        <v>66</v>
      </c>
      <c r="F96" s="152" t="s">
        <v>212</v>
      </c>
      <c r="G96" s="154" t="s">
        <v>67</v>
      </c>
      <c r="H96" s="154"/>
      <c r="I96" s="36"/>
    </row>
    <row r="97" spans="1:16" s="2" customFormat="1" x14ac:dyDescent="0.35">
      <c r="A97" s="161" t="s">
        <v>199</v>
      </c>
      <c r="B97" s="161"/>
      <c r="C97" s="161"/>
      <c r="D97" s="161"/>
      <c r="E97" s="161"/>
      <c r="F97" s="161"/>
      <c r="G97" s="161"/>
      <c r="H97" s="161"/>
    </row>
    <row r="98" spans="1:16" s="2" customFormat="1" x14ac:dyDescent="0.35">
      <c r="A98" s="161" t="s">
        <v>201</v>
      </c>
      <c r="B98" s="161"/>
      <c r="C98" s="161"/>
      <c r="D98" s="161"/>
      <c r="E98" s="161"/>
      <c r="F98" s="161"/>
      <c r="G98" s="161"/>
      <c r="H98" s="161"/>
      <c r="I98" s="36"/>
    </row>
    <row r="99" spans="1:16" s="2" customFormat="1" x14ac:dyDescent="0.35">
      <c r="A99" s="162" t="str">
        <f t="shared" ref="A99:A102" ca="1" si="0">N99</f>
        <v>101 to 501</v>
      </c>
      <c r="B99" s="162"/>
      <c r="C99" s="35" t="s">
        <v>200</v>
      </c>
      <c r="D99" s="35">
        <f>37.43*10.764</f>
        <v>402.89651999999995</v>
      </c>
      <c r="E99" s="35">
        <v>0</v>
      </c>
      <c r="F99" s="35">
        <v>625</v>
      </c>
      <c r="G99" s="162" t="str">
        <f>A98</f>
        <v>1st to 5th Floor</v>
      </c>
      <c r="H99" s="162"/>
      <c r="I99" s="36">
        <f>4.5*2.75+2.1*2.6+1.95*1.05+1.1*9+2.95*3.6+1.66</f>
        <v>42.0625</v>
      </c>
      <c r="J99" s="2">
        <f>F99/D99</f>
        <v>1.5512668116368939</v>
      </c>
      <c r="N99" s="2" t="str">
        <f t="shared" ref="N99:N102" ca="1" si="1">O99&amp;""&amp;" to "&amp;""&amp;P99</f>
        <v>101 to 501</v>
      </c>
      <c r="O99" s="2">
        <f ca="1">(SUMPRODUCT(MID(0&amp;(LEFT(A98,SUM(LEN(A98)-LEN(SUBSTITUTE(A98,{"0","1","2"},""))))), LARGE(INDEX(ISNUMBER(--MID((LEFT(A98,SUM(LEN(A98)-LEN(SUBSTITUTE(A98,{"0","1","2"},""))))), ROW(INDIRECT("1:"&amp;LEN((LEFT(A98,SUM(LEN(A98)-LEN(SUBSTITUTE(A98,{"0","1","2"},"")))))))), 1)) * ROW(INDIRECT("1:"&amp;LEN((LEFT(A98,SUM(LEN(A98)-LEN(SUBSTITUTE(A98,{"0","1","2"},"")))))))), 0), ROW(INDIRECT("1:"&amp;LEN((LEFT(A98,SUM(LEN(A98)-LEN(SUBSTITUTE(A98,{"0","1","2"},"")))))))))+1, 1) * 10^ROW(INDIRECT("1:"&amp;LEN((LEFT(A98,SUM(LEN(A98)-LEN(SUBSTITUTE(A98,{"0","1","2"},""))))))))/10))*100+1</f>
        <v>101</v>
      </c>
      <c r="P99" s="2">
        <f ca="1">(SUMPRODUCT(MID(0&amp;(--TRIM(RIGHT(SUBSTITUTE(LEFT(A98,_xlfn.AGGREGATE(16,6,FIND({0,1,2,3,4,5,6,7,8,9},A98,ROW(INDIRECT("1:"&amp;LEN(A98)))),1))," ",REPT(" ",LEN(A98))),LEN(A98)))), LARGE(INDEX(ISNUMBER(--MID((--TRIM(RIGHT(SUBSTITUTE(LEFT(A98,_xlfn.AGGREGATE(16,6,FIND({0,1,2,3,4,5,6,7,8,9},A98,ROW(INDIRECT("1:"&amp;LEN(A98)))),1))," ",REPT(" ",LEN(A98))),LEN(A98)))), ROW(INDIRECT("1:"&amp;LEN((--TRIM(RIGHT(SUBSTITUTE(LEFT(A98,_xlfn.AGGREGATE(16,6,FIND({0,1,2,3,4,5,6,7,8,9},A98,ROW(INDIRECT("1:"&amp;LEN(A98)))),1))," ",REPT(" ",LEN(A98))),LEN(A98))))))), 1)) * ROW(INDIRECT("1:"&amp;LEN((--TRIM(RIGHT(SUBSTITUTE(LEFT(A98,_xlfn.AGGREGATE(16,6,FIND({0,1,2,3,4,5,6,7,8,9},A98,ROW(INDIRECT("1:"&amp;LEN(A98)))),1))," ",REPT(" ",LEN(A98))),LEN(A98))))))), 0), ROW(INDIRECT("1:"&amp;LEN((--TRIM(RIGHT(SUBSTITUTE(LEFT(A98,_xlfn.AGGREGATE(16,6,FIND({0,1,2,3,4,5,6,7,8,9},A98,ROW(INDIRECT("1:"&amp;LEN(A98)))),1))," ",REPT(" ",LEN(A98))),LEN(A98))))))))+1, 1) * 10^ROW(INDIRECT("1:"&amp;LEN((--TRIM(RIGHT(SUBSTITUTE(LEFT(A98,_xlfn.AGGREGATE(16,6,FIND({0,1,2,3,4,5,6,7,8,9},A98,ROW(INDIRECT("1:"&amp;LEN(A98)))),1))," ",REPT(" ",LEN(A98))),LEN(A98)))))))/10))*100+1</f>
        <v>501</v>
      </c>
    </row>
    <row r="100" spans="1:16" s="2" customFormat="1" x14ac:dyDescent="0.35">
      <c r="A100" s="73" t="str">
        <f t="shared" ca="1" si="0"/>
        <v>102 to 502</v>
      </c>
      <c r="B100" s="74"/>
      <c r="C100" s="35" t="s">
        <v>200</v>
      </c>
      <c r="D100" s="35">
        <f t="shared" ref="D100:D102" si="2">37.43*10.764</f>
        <v>402.89651999999995</v>
      </c>
      <c r="E100" s="35">
        <v>0</v>
      </c>
      <c r="F100" s="35">
        <v>625</v>
      </c>
      <c r="G100" s="73" t="str">
        <f t="shared" ref="G100:G102" si="3">G99</f>
        <v>1st to 5th Floor</v>
      </c>
      <c r="H100" s="74"/>
      <c r="I100" s="36"/>
      <c r="N100" s="2" t="str">
        <f t="shared" ca="1" si="1"/>
        <v>102 to 502</v>
      </c>
      <c r="O100" s="2">
        <f t="shared" ref="O100:P102" ca="1" si="4">O99+1</f>
        <v>102</v>
      </c>
      <c r="P100" s="2">
        <f t="shared" ca="1" si="4"/>
        <v>502</v>
      </c>
    </row>
    <row r="101" spans="1:16" s="2" customFormat="1" x14ac:dyDescent="0.35">
      <c r="A101" s="73" t="str">
        <f t="shared" ca="1" si="0"/>
        <v>103 to 503</v>
      </c>
      <c r="B101" s="74"/>
      <c r="C101" s="35" t="s">
        <v>200</v>
      </c>
      <c r="D101" s="35">
        <f t="shared" si="2"/>
        <v>402.89651999999995</v>
      </c>
      <c r="E101" s="35">
        <v>0</v>
      </c>
      <c r="F101" s="35">
        <v>625</v>
      </c>
      <c r="G101" s="73" t="str">
        <f t="shared" si="3"/>
        <v>1st to 5th Floor</v>
      </c>
      <c r="H101" s="74"/>
      <c r="I101" s="51">
        <f>403/625</f>
        <v>0.64480000000000004</v>
      </c>
      <c r="N101" s="2" t="str">
        <f t="shared" ca="1" si="1"/>
        <v>103 to 503</v>
      </c>
      <c r="O101" s="2">
        <f t="shared" ca="1" si="4"/>
        <v>103</v>
      </c>
      <c r="P101" s="2">
        <f t="shared" ca="1" si="4"/>
        <v>503</v>
      </c>
    </row>
    <row r="102" spans="1:16" s="2" customFormat="1" x14ac:dyDescent="0.35">
      <c r="A102" s="73" t="str">
        <f t="shared" ca="1" si="0"/>
        <v>104 to 504</v>
      </c>
      <c r="B102" s="74"/>
      <c r="C102" s="35" t="s">
        <v>200</v>
      </c>
      <c r="D102" s="35">
        <f t="shared" si="2"/>
        <v>402.89651999999995</v>
      </c>
      <c r="E102" s="35">
        <v>0</v>
      </c>
      <c r="F102" s="35">
        <v>625</v>
      </c>
      <c r="G102" s="73" t="str">
        <f t="shared" si="3"/>
        <v>1st to 5th Floor</v>
      </c>
      <c r="H102" s="74"/>
      <c r="I102" s="36"/>
      <c r="N102" s="2" t="str">
        <f t="shared" ca="1" si="1"/>
        <v>104 to 504</v>
      </c>
      <c r="O102" s="2">
        <f t="shared" ca="1" si="4"/>
        <v>104</v>
      </c>
      <c r="P102" s="2">
        <f t="shared" ca="1" si="4"/>
        <v>504</v>
      </c>
    </row>
    <row r="103" spans="1:16" s="1" customFormat="1" x14ac:dyDescent="0.35">
      <c r="A103" s="128" t="s">
        <v>75</v>
      </c>
      <c r="B103" s="128"/>
      <c r="C103" s="128"/>
      <c r="D103" s="128"/>
      <c r="E103" s="128"/>
      <c r="F103" s="128"/>
      <c r="G103" s="128"/>
      <c r="H103" s="128"/>
    </row>
    <row r="104" spans="1:16" s="1" customFormat="1" x14ac:dyDescent="0.35">
      <c r="A104" s="40">
        <v>1</v>
      </c>
      <c r="B104" s="64" t="s">
        <v>222</v>
      </c>
      <c r="C104" s="65"/>
      <c r="D104" s="65"/>
      <c r="E104" s="65"/>
      <c r="F104" s="65"/>
      <c r="G104" s="65"/>
      <c r="H104" s="66"/>
    </row>
    <row r="105" spans="1:16" s="1" customFormat="1" x14ac:dyDescent="0.35">
      <c r="A105" s="40">
        <f>A104+1</f>
        <v>2</v>
      </c>
      <c r="B105" s="67" t="s">
        <v>211</v>
      </c>
      <c r="C105" s="68"/>
      <c r="D105" s="68"/>
      <c r="E105" s="68"/>
      <c r="F105" s="68"/>
      <c r="G105" s="68"/>
      <c r="H105" s="69"/>
    </row>
    <row r="106" spans="1:16" s="1" customFormat="1" x14ac:dyDescent="0.35">
      <c r="A106" s="40">
        <f t="shared" ref="A106:A110" si="5">A105+1</f>
        <v>3</v>
      </c>
      <c r="B106" s="70" t="s">
        <v>161</v>
      </c>
      <c r="C106" s="71"/>
      <c r="D106" s="71"/>
      <c r="E106" s="71"/>
      <c r="F106" s="71"/>
      <c r="G106" s="71"/>
      <c r="H106" s="72"/>
    </row>
    <row r="107" spans="1:16" s="1" customFormat="1" x14ac:dyDescent="0.35">
      <c r="A107" s="40">
        <f t="shared" si="5"/>
        <v>4</v>
      </c>
      <c r="B107" s="70" t="s">
        <v>162</v>
      </c>
      <c r="C107" s="71"/>
      <c r="D107" s="71"/>
      <c r="E107" s="71"/>
      <c r="F107" s="71"/>
      <c r="G107" s="71"/>
      <c r="H107" s="72"/>
    </row>
    <row r="108" spans="1:16" s="1" customFormat="1" x14ac:dyDescent="0.35">
      <c r="A108" s="40">
        <f t="shared" si="5"/>
        <v>5</v>
      </c>
      <c r="B108" s="70" t="s">
        <v>163</v>
      </c>
      <c r="C108" s="71"/>
      <c r="D108" s="71"/>
      <c r="E108" s="71"/>
      <c r="F108" s="71"/>
      <c r="G108" s="71"/>
      <c r="H108" s="72"/>
    </row>
    <row r="109" spans="1:16" s="1" customFormat="1" x14ac:dyDescent="0.35">
      <c r="A109" s="40">
        <f t="shared" si="5"/>
        <v>6</v>
      </c>
      <c r="B109" s="70" t="s">
        <v>164</v>
      </c>
      <c r="C109" s="71"/>
      <c r="D109" s="71"/>
      <c r="E109" s="71"/>
      <c r="F109" s="71"/>
      <c r="G109" s="71"/>
      <c r="H109" s="72"/>
    </row>
    <row r="110" spans="1:16" s="1" customFormat="1" hidden="1" x14ac:dyDescent="0.35">
      <c r="A110" s="40">
        <f t="shared" si="5"/>
        <v>7</v>
      </c>
      <c r="B110" s="64" t="s">
        <v>215</v>
      </c>
      <c r="C110" s="140"/>
      <c r="D110" s="140"/>
      <c r="E110" s="140"/>
      <c r="F110" s="140"/>
      <c r="G110" s="140"/>
      <c r="H110" s="141"/>
    </row>
    <row r="111" spans="1:16" x14ac:dyDescent="0.35">
      <c r="A111" s="129" t="s">
        <v>68</v>
      </c>
      <c r="B111" s="129"/>
      <c r="C111" s="129"/>
      <c r="D111" s="129"/>
      <c r="E111" s="129"/>
      <c r="F111" s="129"/>
      <c r="G111" s="129"/>
      <c r="H111" s="129"/>
    </row>
    <row r="112" spans="1:16" x14ac:dyDescent="0.35">
      <c r="A112" s="75" t="s">
        <v>69</v>
      </c>
      <c r="B112" s="75"/>
      <c r="C112" s="75"/>
      <c r="D112" s="75"/>
      <c r="E112" s="75"/>
      <c r="F112" s="75"/>
      <c r="G112" s="75"/>
      <c r="H112" s="75"/>
    </row>
    <row r="113" spans="1:8" ht="15.75" customHeight="1" x14ac:dyDescent="0.35">
      <c r="A113" s="134" t="s">
        <v>70</v>
      </c>
      <c r="B113" s="134"/>
      <c r="C113" s="134"/>
      <c r="D113" s="134"/>
      <c r="E113" s="134"/>
      <c r="F113" s="134"/>
      <c r="G113" s="134"/>
      <c r="H113" s="134"/>
    </row>
    <row r="114" spans="1:8" x14ac:dyDescent="0.35">
      <c r="A114" s="75" t="s">
        <v>71</v>
      </c>
      <c r="B114" s="75"/>
      <c r="C114" s="75"/>
      <c r="D114" s="75"/>
      <c r="E114" s="75"/>
      <c r="F114" s="75"/>
      <c r="G114" s="75"/>
      <c r="H114" s="75"/>
    </row>
    <row r="115" spans="1:8" x14ac:dyDescent="0.35">
      <c r="A115" s="75" t="s">
        <v>72</v>
      </c>
      <c r="B115" s="75"/>
      <c r="C115" s="75"/>
      <c r="D115" s="75"/>
      <c r="E115" s="75"/>
      <c r="F115" s="75"/>
      <c r="G115" s="75"/>
      <c r="H115" s="75"/>
    </row>
    <row r="116" spans="1:8" x14ac:dyDescent="0.35">
      <c r="A116" s="75" t="s">
        <v>165</v>
      </c>
      <c r="B116" s="75"/>
      <c r="C116" s="75"/>
      <c r="D116" s="75"/>
      <c r="E116" s="75"/>
      <c r="F116" s="75"/>
      <c r="G116" s="75"/>
      <c r="H116" s="75"/>
    </row>
    <row r="117" spans="1:8" ht="35.25" customHeight="1" x14ac:dyDescent="0.35">
      <c r="A117" s="92" t="s">
        <v>166</v>
      </c>
      <c r="B117" s="92"/>
      <c r="C117" s="92"/>
      <c r="D117" s="92"/>
      <c r="E117" s="92"/>
      <c r="F117" s="92"/>
      <c r="G117" s="92"/>
      <c r="H117" s="92"/>
    </row>
    <row r="118" spans="1:8" x14ac:dyDescent="0.35">
      <c r="A118" s="124" t="s">
        <v>107</v>
      </c>
      <c r="B118" s="124"/>
      <c r="C118" s="124" t="s">
        <v>228</v>
      </c>
      <c r="D118" s="124"/>
      <c r="E118" s="124" t="s">
        <v>142</v>
      </c>
      <c r="F118" s="124"/>
      <c r="G118" s="124" t="s">
        <v>229</v>
      </c>
      <c r="H118" s="124"/>
    </row>
    <row r="119" spans="1:8" x14ac:dyDescent="0.35">
      <c r="A119" s="123" t="s">
        <v>109</v>
      </c>
      <c r="B119" s="123"/>
      <c r="C119" s="123"/>
      <c r="D119" s="123"/>
      <c r="E119" s="123"/>
      <c r="F119" s="123"/>
      <c r="G119" s="123"/>
      <c r="H119" s="123"/>
    </row>
    <row r="120" spans="1:8" x14ac:dyDescent="0.35">
      <c r="A120" s="123"/>
      <c r="B120" s="123"/>
      <c r="C120" s="123"/>
      <c r="D120" s="123"/>
      <c r="E120" s="123"/>
      <c r="F120" s="123"/>
      <c r="G120" s="123"/>
      <c r="H120" s="123"/>
    </row>
    <row r="121" spans="1:8" x14ac:dyDescent="0.35">
      <c r="A121" s="123"/>
      <c r="B121" s="123"/>
      <c r="C121" s="123"/>
      <c r="D121" s="123"/>
      <c r="E121" s="123"/>
      <c r="F121" s="123"/>
      <c r="G121" s="123"/>
      <c r="H121" s="123"/>
    </row>
    <row r="122" spans="1:8" x14ac:dyDescent="0.35">
      <c r="A122" s="123"/>
      <c r="B122" s="123"/>
      <c r="C122" s="123"/>
      <c r="D122" s="123"/>
      <c r="E122" s="123"/>
      <c r="F122" s="123"/>
      <c r="G122" s="123"/>
      <c r="H122" s="123"/>
    </row>
    <row r="123" spans="1:8" x14ac:dyDescent="0.35">
      <c r="A123" s="15" t="s">
        <v>73</v>
      </c>
      <c r="B123" s="16"/>
      <c r="C123" s="16"/>
      <c r="D123" s="15" t="str">
        <f>E8</f>
        <v>Siddhivinayak Darshan</v>
      </c>
      <c r="F123" s="16"/>
      <c r="G123" s="16"/>
      <c r="H123" s="16"/>
    </row>
    <row r="124" spans="1:8" x14ac:dyDescent="0.35">
      <c r="A124" s="16"/>
      <c r="B124" s="16"/>
      <c r="C124" s="16"/>
      <c r="D124" s="16"/>
      <c r="E124" s="16"/>
      <c r="F124" s="16"/>
      <c r="G124" s="16"/>
      <c r="H124" s="16"/>
    </row>
    <row r="125" spans="1:8" x14ac:dyDescent="0.35">
      <c r="A125" s="16"/>
      <c r="B125" s="16"/>
      <c r="C125" s="16"/>
      <c r="D125" s="16"/>
      <c r="E125" s="16"/>
      <c r="F125" s="16"/>
      <c r="G125" s="16"/>
      <c r="H125" s="16"/>
    </row>
    <row r="126" spans="1:8" ht="15" customHeight="1" x14ac:dyDescent="0.35"/>
    <row r="166" spans="1:1" x14ac:dyDescent="0.35">
      <c r="A166" s="18" t="s">
        <v>74</v>
      </c>
    </row>
  </sheetData>
  <mergeCells count="221">
    <mergeCell ref="G100:H100"/>
    <mergeCell ref="A95:H95"/>
    <mergeCell ref="B110:H110"/>
    <mergeCell ref="E39:H39"/>
    <mergeCell ref="A39:D39"/>
    <mergeCell ref="A45:B45"/>
    <mergeCell ref="C45:E45"/>
    <mergeCell ref="G45:H45"/>
    <mergeCell ref="G47:H47"/>
    <mergeCell ref="D51:H51"/>
    <mergeCell ref="C47:E47"/>
    <mergeCell ref="A54:C54"/>
    <mergeCell ref="D54:H54"/>
    <mergeCell ref="A50:H50"/>
    <mergeCell ref="A51:C51"/>
    <mergeCell ref="A52:C52"/>
    <mergeCell ref="D52:H52"/>
    <mergeCell ref="G49:H49"/>
    <mergeCell ref="C48:H48"/>
    <mergeCell ref="A88:E88"/>
    <mergeCell ref="A80:E80"/>
    <mergeCell ref="A87:E87"/>
    <mergeCell ref="F86:H86"/>
    <mergeCell ref="C46:E46"/>
    <mergeCell ref="A49:B49"/>
    <mergeCell ref="C49:E49"/>
    <mergeCell ref="A46:B46"/>
    <mergeCell ref="A94:H94"/>
    <mergeCell ref="A116:H116"/>
    <mergeCell ref="A113:H113"/>
    <mergeCell ref="G102:H102"/>
    <mergeCell ref="A92:B92"/>
    <mergeCell ref="G96:H96"/>
    <mergeCell ref="B109:H109"/>
    <mergeCell ref="A69:B69"/>
    <mergeCell ref="F78:H78"/>
    <mergeCell ref="A75:H75"/>
    <mergeCell ref="A76:B76"/>
    <mergeCell ref="A77:H77"/>
    <mergeCell ref="A74:E74"/>
    <mergeCell ref="F74:H74"/>
    <mergeCell ref="F85:H85"/>
    <mergeCell ref="F81:H81"/>
    <mergeCell ref="A72:B72"/>
    <mergeCell ref="A73:B73"/>
    <mergeCell ref="F82:H82"/>
    <mergeCell ref="F88:H88"/>
    <mergeCell ref="F84:H84"/>
    <mergeCell ref="A78:E78"/>
    <mergeCell ref="C76:H76"/>
    <mergeCell ref="F79:H79"/>
    <mergeCell ref="A79:E79"/>
    <mergeCell ref="A119:H122"/>
    <mergeCell ref="A118:B118"/>
    <mergeCell ref="E118:F118"/>
    <mergeCell ref="C118:D118"/>
    <mergeCell ref="G118:H118"/>
    <mergeCell ref="A89:E89"/>
    <mergeCell ref="F89:H89"/>
    <mergeCell ref="A90:E90"/>
    <mergeCell ref="F90:H90"/>
    <mergeCell ref="A93:B93"/>
    <mergeCell ref="A114:H114"/>
    <mergeCell ref="A91:H91"/>
    <mergeCell ref="A117:H117"/>
    <mergeCell ref="A115:H115"/>
    <mergeCell ref="A103:H103"/>
    <mergeCell ref="G101:H101"/>
    <mergeCell ref="A98:H98"/>
    <mergeCell ref="A111:H111"/>
    <mergeCell ref="A112:H112"/>
    <mergeCell ref="C93:D93"/>
    <mergeCell ref="E93:F93"/>
    <mergeCell ref="G93:H93"/>
    <mergeCell ref="C92:D92"/>
    <mergeCell ref="E92:F92"/>
    <mergeCell ref="E12:H12"/>
    <mergeCell ref="A13:B13"/>
    <mergeCell ref="C13:H13"/>
    <mergeCell ref="C14:H1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14:B14"/>
    <mergeCell ref="A11:D11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D20"/>
    <mergeCell ref="E19:H20"/>
    <mergeCell ref="E11:H11"/>
    <mergeCell ref="A12:D12"/>
    <mergeCell ref="A37:H37"/>
    <mergeCell ref="C33:E33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G63:H63"/>
    <mergeCell ref="A61:B61"/>
    <mergeCell ref="A59:B59"/>
    <mergeCell ref="C59:H59"/>
    <mergeCell ref="E63:F63"/>
    <mergeCell ref="A55:C55"/>
    <mergeCell ref="A56:C56"/>
    <mergeCell ref="D55:H55"/>
    <mergeCell ref="E64:F73"/>
    <mergeCell ref="G64:H73"/>
    <mergeCell ref="D56:H56"/>
    <mergeCell ref="A71:B71"/>
    <mergeCell ref="A68:B68"/>
    <mergeCell ref="A67:B67"/>
    <mergeCell ref="A58:C58"/>
    <mergeCell ref="A62:B62"/>
    <mergeCell ref="C62:D62"/>
    <mergeCell ref="E62:F62"/>
    <mergeCell ref="G62:H62"/>
    <mergeCell ref="A38:D38"/>
    <mergeCell ref="E38:H38"/>
    <mergeCell ref="D53:H53"/>
    <mergeCell ref="A53:C53"/>
    <mergeCell ref="G46:H46"/>
    <mergeCell ref="A47:B48"/>
    <mergeCell ref="A70:B70"/>
    <mergeCell ref="A63:B63"/>
    <mergeCell ref="A66:B6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57:C57"/>
    <mergeCell ref="D57:H57"/>
    <mergeCell ref="C61:H61"/>
    <mergeCell ref="A65:B65"/>
    <mergeCell ref="D58:H58"/>
    <mergeCell ref="A64:B64"/>
    <mergeCell ref="A36:B36"/>
    <mergeCell ref="C36:H36"/>
    <mergeCell ref="C35:H35"/>
    <mergeCell ref="B104:H104"/>
    <mergeCell ref="B105:H105"/>
    <mergeCell ref="B106:H106"/>
    <mergeCell ref="B107:H107"/>
    <mergeCell ref="B108:H108"/>
    <mergeCell ref="A99:B99"/>
    <mergeCell ref="A100:B100"/>
    <mergeCell ref="A101:B101"/>
    <mergeCell ref="G99:H99"/>
    <mergeCell ref="A102:B102"/>
    <mergeCell ref="A97:H97"/>
    <mergeCell ref="A81:E81"/>
    <mergeCell ref="A83:E83"/>
    <mergeCell ref="F83:H83"/>
    <mergeCell ref="A84:E84"/>
    <mergeCell ref="A86:E86"/>
    <mergeCell ref="F80:H80"/>
    <mergeCell ref="A85:E85"/>
    <mergeCell ref="F87:H87"/>
    <mergeCell ref="G92:H92"/>
    <mergeCell ref="A82:E82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</oddFooter>
  </headerFooter>
  <rowBreaks count="2" manualBreakCount="2">
    <brk id="122" max="16383" man="1"/>
    <brk id="16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26953125" customWidth="1"/>
  </cols>
  <sheetData>
    <row r="2" spans="1:12" x14ac:dyDescent="0.35">
      <c r="B2" s="3" t="s">
        <v>76</v>
      </c>
      <c r="C2" s="149"/>
      <c r="D2" s="149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77</v>
      </c>
      <c r="B4" s="5" t="s">
        <v>78</v>
      </c>
      <c r="C4" s="150" t="s">
        <v>79</v>
      </c>
      <c r="D4" s="150"/>
      <c r="E4" s="150"/>
      <c r="F4" s="6"/>
      <c r="G4" s="150" t="s">
        <v>80</v>
      </c>
      <c r="H4" s="150"/>
      <c r="I4" s="150"/>
      <c r="J4" s="150" t="s">
        <v>81</v>
      </c>
      <c r="K4" s="150"/>
      <c r="L4" s="150"/>
    </row>
    <row r="5" spans="1:12" x14ac:dyDescent="0.35">
      <c r="A5" s="3">
        <v>202</v>
      </c>
      <c r="B5" s="5"/>
      <c r="C5" s="5" t="s">
        <v>82</v>
      </c>
      <c r="D5" s="5" t="s">
        <v>83</v>
      </c>
      <c r="E5" s="5" t="s">
        <v>60</v>
      </c>
      <c r="F5" s="5"/>
      <c r="G5" s="5" t="s">
        <v>82</v>
      </c>
      <c r="H5" s="5" t="s">
        <v>83</v>
      </c>
      <c r="I5" s="5" t="s">
        <v>60</v>
      </c>
      <c r="J5" s="5" t="s">
        <v>82</v>
      </c>
      <c r="K5" s="5" t="s">
        <v>83</v>
      </c>
      <c r="L5" s="5" t="s">
        <v>60</v>
      </c>
    </row>
    <row r="6" spans="1:12" x14ac:dyDescent="0.35">
      <c r="B6" s="7" t="s">
        <v>84</v>
      </c>
      <c r="C6" s="7"/>
      <c r="D6" s="7"/>
      <c r="E6" s="7">
        <f>C6*D6</f>
        <v>0</v>
      </c>
      <c r="F6" s="7" t="s">
        <v>85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86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87</v>
      </c>
      <c r="C9" s="7"/>
      <c r="D9" s="7"/>
      <c r="E9" s="7">
        <f t="shared" si="0"/>
        <v>0</v>
      </c>
      <c r="F9" s="7" t="s">
        <v>85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86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88</v>
      </c>
      <c r="C13" s="7"/>
      <c r="D13" s="7"/>
      <c r="E13" s="7">
        <f t="shared" si="0"/>
        <v>0</v>
      </c>
      <c r="F13" s="7" t="s">
        <v>85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86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89</v>
      </c>
      <c r="C17" s="7"/>
      <c r="D17" s="7"/>
      <c r="E17" s="7">
        <f t="shared" si="0"/>
        <v>0</v>
      </c>
      <c r="F17" s="7" t="s">
        <v>85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86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89</v>
      </c>
      <c r="C20" s="7"/>
      <c r="D20" s="7"/>
      <c r="E20" s="7">
        <f t="shared" si="0"/>
        <v>0</v>
      </c>
      <c r="F20" s="7" t="s">
        <v>85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86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90</v>
      </c>
      <c r="C23" s="7"/>
      <c r="D23" s="7"/>
      <c r="E23" s="7">
        <f t="shared" si="0"/>
        <v>0</v>
      </c>
      <c r="F23" s="7" t="s">
        <v>91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92</v>
      </c>
      <c r="C24" s="7"/>
      <c r="D24" s="7"/>
      <c r="E24" s="7">
        <f t="shared" si="0"/>
        <v>0</v>
      </c>
      <c r="F24" s="7" t="s">
        <v>91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93</v>
      </c>
      <c r="C25" s="7"/>
      <c r="D25" s="7"/>
      <c r="E25" s="7">
        <f t="shared" si="0"/>
        <v>0</v>
      </c>
      <c r="F25" s="7" t="s">
        <v>91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94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95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96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97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61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7265625" defaultRowHeight="14.5" x14ac:dyDescent="0.35"/>
  <cols>
    <col min="1" max="1" width="8.7265625" style="23"/>
    <col min="2" max="2" width="22.1796875" style="23" customWidth="1"/>
    <col min="3" max="3" width="37" style="23" customWidth="1"/>
    <col min="4" max="5" width="11.453125" style="23" customWidth="1"/>
    <col min="6" max="6" width="14" style="23" customWidth="1"/>
    <col min="7" max="7" width="20" style="23" customWidth="1"/>
    <col min="8" max="8" width="16.453125" style="23" customWidth="1"/>
    <col min="9" max="16384" width="8.7265625" style="23"/>
  </cols>
  <sheetData>
    <row r="1" spans="1:9" ht="15" customHeight="1" x14ac:dyDescent="0.35"/>
    <row r="2" spans="1:9" ht="15" customHeight="1" x14ac:dyDescent="0.35">
      <c r="A2" s="24"/>
      <c r="B2" s="24"/>
      <c r="C2" s="24"/>
      <c r="D2" s="24"/>
      <c r="E2" s="24"/>
      <c r="F2" s="24"/>
      <c r="G2" s="24"/>
      <c r="H2" s="24"/>
    </row>
    <row r="3" spans="1:9" ht="15.75" customHeight="1" x14ac:dyDescent="0.35">
      <c r="A3" s="24"/>
      <c r="B3" s="151" t="s">
        <v>143</v>
      </c>
      <c r="C3" s="151"/>
      <c r="D3" s="151"/>
      <c r="E3" s="151"/>
      <c r="F3" s="151"/>
      <c r="G3" s="151"/>
      <c r="H3" s="151"/>
    </row>
    <row r="4" spans="1:9" x14ac:dyDescent="0.35">
      <c r="A4" s="24"/>
      <c r="B4" s="25" t="s">
        <v>144</v>
      </c>
      <c r="C4" s="25" t="s">
        <v>145</v>
      </c>
      <c r="D4" s="25" t="s">
        <v>77</v>
      </c>
      <c r="E4" s="25" t="s">
        <v>146</v>
      </c>
      <c r="F4" s="25" t="s">
        <v>153</v>
      </c>
      <c r="G4" s="25" t="s">
        <v>154</v>
      </c>
      <c r="H4" s="25" t="s">
        <v>147</v>
      </c>
    </row>
    <row r="5" spans="1:9" ht="15" customHeight="1" x14ac:dyDescent="0.35">
      <c r="A5" s="24"/>
      <c r="B5" s="27" t="s">
        <v>148</v>
      </c>
      <c r="C5" s="28"/>
      <c r="D5" s="27" t="s">
        <v>149</v>
      </c>
      <c r="E5" s="27">
        <v>1106</v>
      </c>
      <c r="F5" s="29">
        <f>E5*1.6</f>
        <v>1769.6000000000001</v>
      </c>
      <c r="G5" s="29">
        <f>H5/F5</f>
        <v>31532.549728752259</v>
      </c>
      <c r="H5" s="30">
        <v>55800000</v>
      </c>
    </row>
    <row r="6" spans="1:9" x14ac:dyDescent="0.35">
      <c r="A6" s="24"/>
      <c r="B6" s="27" t="s">
        <v>148</v>
      </c>
      <c r="C6" s="31"/>
      <c r="D6" s="27"/>
      <c r="E6" s="27"/>
      <c r="F6" s="29">
        <f t="shared" ref="F6:F11" si="0">E6*1.6</f>
        <v>0</v>
      </c>
      <c r="G6" s="29" t="e">
        <f t="shared" ref="G6:G11" si="1">H6/F6</f>
        <v>#DIV/0!</v>
      </c>
      <c r="H6" s="30"/>
    </row>
    <row r="7" spans="1:9" ht="15" customHeight="1" x14ac:dyDescent="0.35">
      <c r="A7" s="24"/>
      <c r="B7" s="27" t="s">
        <v>148</v>
      </c>
      <c r="C7" s="28"/>
      <c r="D7" s="27"/>
      <c r="E7" s="27"/>
      <c r="F7" s="29">
        <f t="shared" si="0"/>
        <v>0</v>
      </c>
      <c r="G7" s="29" t="e">
        <f t="shared" si="1"/>
        <v>#DIV/0!</v>
      </c>
      <c r="H7" s="30"/>
    </row>
    <row r="8" spans="1:9" x14ac:dyDescent="0.35">
      <c r="A8" s="24"/>
      <c r="B8" s="27" t="s">
        <v>148</v>
      </c>
      <c r="C8" s="31"/>
      <c r="D8" s="27"/>
      <c r="E8" s="27"/>
      <c r="F8" s="29">
        <f t="shared" si="0"/>
        <v>0</v>
      </c>
      <c r="G8" s="29" t="e">
        <f t="shared" si="1"/>
        <v>#DIV/0!</v>
      </c>
      <c r="H8" s="30"/>
    </row>
    <row r="9" spans="1:9" ht="15" customHeight="1" x14ac:dyDescent="0.35">
      <c r="A9" s="24"/>
      <c r="B9" s="27" t="s">
        <v>148</v>
      </c>
      <c r="C9" s="31"/>
      <c r="D9" s="27"/>
      <c r="E9" s="27"/>
      <c r="F9" s="29">
        <f t="shared" si="0"/>
        <v>0</v>
      </c>
      <c r="G9" s="29" t="e">
        <f t="shared" si="1"/>
        <v>#DIV/0!</v>
      </c>
      <c r="H9" s="30"/>
    </row>
    <row r="10" spans="1:9" ht="15" customHeight="1" x14ac:dyDescent="0.35">
      <c r="A10" s="24"/>
      <c r="B10" s="27" t="s">
        <v>150</v>
      </c>
      <c r="C10" s="28"/>
      <c r="D10" s="27"/>
      <c r="E10" s="27"/>
      <c r="F10" s="29">
        <f t="shared" si="0"/>
        <v>0</v>
      </c>
      <c r="G10" s="29" t="e">
        <f t="shared" si="1"/>
        <v>#DIV/0!</v>
      </c>
      <c r="H10" s="30"/>
    </row>
    <row r="11" spans="1:9" ht="15" customHeight="1" x14ac:dyDescent="0.35">
      <c r="A11" s="24"/>
      <c r="B11" s="27" t="s">
        <v>150</v>
      </c>
      <c r="C11" s="28"/>
      <c r="D11" s="27"/>
      <c r="E11" s="27"/>
      <c r="F11" s="29">
        <f t="shared" si="0"/>
        <v>0</v>
      </c>
      <c r="G11" s="29" t="e">
        <f t="shared" si="1"/>
        <v>#DIV/0!</v>
      </c>
      <c r="H11" s="30"/>
    </row>
    <row r="12" spans="1:9" ht="15" customHeight="1" x14ac:dyDescent="0.35">
      <c r="A12" s="24"/>
      <c r="B12" s="32" t="s">
        <v>151</v>
      </c>
      <c r="C12" s="27"/>
      <c r="D12" s="27"/>
      <c r="E12" s="27"/>
      <c r="F12" s="27"/>
      <c r="G12" s="33" t="e">
        <f>AVERAGE(G5:G11)</f>
        <v>#DIV/0!</v>
      </c>
      <c r="H12" s="27"/>
    </row>
    <row r="13" spans="1:9" ht="15" customHeight="1" x14ac:dyDescent="0.35">
      <c r="B13" s="32" t="s">
        <v>152</v>
      </c>
      <c r="C13" s="27"/>
      <c r="D13" s="27"/>
      <c r="E13" s="27"/>
      <c r="F13" s="34"/>
      <c r="G13" s="32"/>
      <c r="H13" s="32"/>
      <c r="I13" s="26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2023-11-30T06:59:24Z</cp:lastPrinted>
  <dcterms:created xsi:type="dcterms:W3CDTF">2019-07-16T09:29:46Z</dcterms:created>
  <dcterms:modified xsi:type="dcterms:W3CDTF">2025-08-20T06:58:21Z</dcterms:modified>
</cp:coreProperties>
</file>