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20490" windowHeight="7755" tabRatio="721"/>
  </bookViews>
  <sheets>
    <sheet name="Report" sheetId="1" r:id="rId1"/>
    <sheet name="valuation" sheetId="5" r:id="rId2"/>
    <sheet name="Research" sheetId="4" r:id="rId3"/>
    <sheet name="Remarks" sheetId="6" r:id="rId4"/>
  </sheets>
  <definedNames>
    <definedName name="_xlnm.Print_Area" localSheetId="0">Report!$A$1:$H$383</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4" i="1" l="1"/>
  <c r="J174" i="1"/>
  <c r="J206" i="1" l="1"/>
  <c r="J205" i="1"/>
  <c r="D196" i="1"/>
  <c r="D195" i="1"/>
  <c r="E182" i="1"/>
  <c r="E181" i="1"/>
  <c r="E171" i="1"/>
  <c r="E170" i="1"/>
  <c r="E160" i="1"/>
  <c r="E159" i="1"/>
  <c r="D182" i="1"/>
  <c r="D181" i="1"/>
  <c r="D171" i="1"/>
  <c r="D170" i="1"/>
  <c r="D160" i="1"/>
  <c r="D159" i="1"/>
  <c r="I159" i="1"/>
  <c r="G119" i="1" l="1"/>
  <c r="E119" i="1"/>
  <c r="I44" i="1" l="1"/>
  <c r="I45" i="1" s="1"/>
  <c r="E225" i="1" l="1"/>
  <c r="D225" i="1"/>
  <c r="E224" i="1"/>
  <c r="D224" i="1"/>
  <c r="F224" i="1" s="1"/>
  <c r="H224" i="1" s="1"/>
  <c r="E223" i="1"/>
  <c r="D223" i="1"/>
  <c r="E222" i="1"/>
  <c r="D222" i="1"/>
  <c r="E220" i="1"/>
  <c r="D220" i="1"/>
  <c r="E219" i="1"/>
  <c r="D219" i="1"/>
  <c r="E218" i="1"/>
  <c r="D218" i="1"/>
  <c r="E217" i="1"/>
  <c r="D217" i="1"/>
  <c r="E216" i="1"/>
  <c r="D216" i="1"/>
  <c r="G200" i="1"/>
  <c r="G199" i="1"/>
  <c r="G198" i="1"/>
  <c r="G197" i="1"/>
  <c r="G196" i="1"/>
  <c r="E214" i="1"/>
  <c r="D214" i="1"/>
  <c r="E213" i="1"/>
  <c r="D213" i="1"/>
  <c r="F213" i="1" s="1"/>
  <c r="H213" i="1" s="1"/>
  <c r="E212" i="1"/>
  <c r="D212" i="1"/>
  <c r="E211" i="1"/>
  <c r="D211" i="1"/>
  <c r="E210" i="1"/>
  <c r="D210" i="1"/>
  <c r="E209" i="1"/>
  <c r="D209" i="1"/>
  <c r="E208" i="1"/>
  <c r="D208" i="1"/>
  <c r="E207" i="1"/>
  <c r="D207" i="1"/>
  <c r="E206" i="1"/>
  <c r="D206" i="1"/>
  <c r="E205" i="1"/>
  <c r="D205" i="1"/>
  <c r="E203" i="1"/>
  <c r="D203" i="1"/>
  <c r="E202" i="1"/>
  <c r="D202" i="1"/>
  <c r="E201" i="1"/>
  <c r="D201" i="1"/>
  <c r="D200" i="1"/>
  <c r="D199" i="1"/>
  <c r="D198" i="1"/>
  <c r="D197" i="1"/>
  <c r="F196" i="1"/>
  <c r="E195" i="1"/>
  <c r="E194" i="1"/>
  <c r="D194" i="1"/>
  <c r="E190" i="1"/>
  <c r="D190" i="1"/>
  <c r="E189" i="1"/>
  <c r="D189" i="1"/>
  <c r="E188" i="1"/>
  <c r="D188" i="1"/>
  <c r="E187" i="1"/>
  <c r="D187" i="1"/>
  <c r="E186" i="1"/>
  <c r="D186" i="1"/>
  <c r="E184" i="1"/>
  <c r="D184" i="1"/>
  <c r="E183" i="1"/>
  <c r="D183" i="1"/>
  <c r="E179" i="1"/>
  <c r="D179" i="1"/>
  <c r="E178" i="1"/>
  <c r="D178" i="1"/>
  <c r="E177" i="1"/>
  <c r="D177" i="1"/>
  <c r="E176" i="1"/>
  <c r="D176" i="1"/>
  <c r="E175" i="1"/>
  <c r="D175" i="1"/>
  <c r="E174" i="1"/>
  <c r="D174" i="1"/>
  <c r="E173" i="1"/>
  <c r="D173" i="1"/>
  <c r="E172" i="1"/>
  <c r="D172" i="1"/>
  <c r="G166" i="1"/>
  <c r="G165" i="1"/>
  <c r="G164" i="1"/>
  <c r="G163" i="1"/>
  <c r="G162" i="1"/>
  <c r="E168" i="1"/>
  <c r="D168" i="1"/>
  <c r="E167" i="1"/>
  <c r="D167" i="1"/>
  <c r="D166" i="1"/>
  <c r="D165" i="1"/>
  <c r="D164" i="1"/>
  <c r="D163" i="1"/>
  <c r="D162" i="1"/>
  <c r="E161" i="1"/>
  <c r="D161" i="1"/>
  <c r="D150" i="1"/>
  <c r="D149" i="1"/>
  <c r="D148" i="1"/>
  <c r="D147" i="1"/>
  <c r="D146" i="1"/>
  <c r="D145" i="1"/>
  <c r="D144" i="1"/>
  <c r="D143" i="1"/>
  <c r="D142" i="1"/>
  <c r="D141" i="1"/>
  <c r="D140" i="1"/>
  <c r="D139" i="1"/>
  <c r="D138" i="1"/>
  <c r="D137" i="1"/>
  <c r="D136" i="1"/>
  <c r="D135" i="1"/>
  <c r="D134" i="1"/>
  <c r="J159" i="1"/>
  <c r="I161" i="1"/>
  <c r="I137" i="1"/>
  <c r="I134" i="1"/>
  <c r="C119" i="1" l="1"/>
  <c r="F134" i="1"/>
  <c r="F182" i="1"/>
  <c r="F187" i="1"/>
  <c r="F214" i="1"/>
  <c r="H214" i="1" s="1"/>
  <c r="F220" i="1"/>
  <c r="H220" i="1" s="1"/>
  <c r="E120" i="1"/>
  <c r="F203" i="1"/>
  <c r="H203" i="1" s="1"/>
  <c r="F186" i="1"/>
  <c r="F167" i="1"/>
  <c r="H167" i="1" s="1"/>
  <c r="F184" i="1"/>
  <c r="H184" i="1" s="1"/>
  <c r="F190" i="1"/>
  <c r="F183" i="1"/>
  <c r="F181" i="1"/>
  <c r="F189" i="1"/>
  <c r="F195" i="1"/>
  <c r="F202" i="1"/>
  <c r="H202" i="1" s="1"/>
  <c r="F188" i="1"/>
  <c r="K159" i="1"/>
  <c r="F168" i="1"/>
  <c r="H168" i="1" s="1"/>
  <c r="I153" i="1"/>
  <c r="A221" i="1"/>
  <c r="A222" i="1" s="1"/>
  <c r="A223" i="1" s="1"/>
  <c r="A224" i="1" s="1"/>
  <c r="A225" i="1" s="1"/>
  <c r="A217" i="1"/>
  <c r="A218" i="1" s="1"/>
  <c r="A219" i="1" s="1"/>
  <c r="F216" i="1" l="1"/>
  <c r="H216" i="1" s="1"/>
  <c r="F218" i="1"/>
  <c r="H218" i="1" s="1"/>
  <c r="F222" i="1"/>
  <c r="H222" i="1" s="1"/>
  <c r="F225" i="1"/>
  <c r="H225" i="1" s="1"/>
  <c r="H189" i="1"/>
  <c r="H190" i="1"/>
  <c r="F217" i="1"/>
  <c r="H217" i="1" s="1"/>
  <c r="F223" i="1"/>
  <c r="H223" i="1" s="1"/>
  <c r="F219" i="1"/>
  <c r="H219" i="1" s="1"/>
  <c r="F212" i="1"/>
  <c r="H212" i="1" s="1"/>
  <c r="F211" i="1"/>
  <c r="H211" i="1" s="1"/>
  <c r="F210" i="1"/>
  <c r="H210" i="1" s="1"/>
  <c r="A210" i="1"/>
  <c r="A211" i="1" s="1"/>
  <c r="A212" i="1" s="1"/>
  <c r="A213" i="1" s="1"/>
  <c r="A214" i="1" s="1"/>
  <c r="F209" i="1"/>
  <c r="H209" i="1" s="1"/>
  <c r="F208" i="1"/>
  <c r="H208" i="1" s="1"/>
  <c r="F207" i="1"/>
  <c r="H207" i="1" s="1"/>
  <c r="A206" i="1"/>
  <c r="A207" i="1" s="1"/>
  <c r="A208" i="1" s="1"/>
  <c r="F205" i="1"/>
  <c r="H205" i="1" s="1"/>
  <c r="F194" i="1"/>
  <c r="F201" i="1"/>
  <c r="H201" i="1" s="1"/>
  <c r="F200" i="1"/>
  <c r="A199" i="1"/>
  <c r="A200" i="1" s="1"/>
  <c r="A201" i="1" s="1"/>
  <c r="A202" i="1" s="1"/>
  <c r="A203" i="1" s="1"/>
  <c r="F198" i="1"/>
  <c r="A195" i="1"/>
  <c r="A196" i="1" s="1"/>
  <c r="A197" i="1" s="1"/>
  <c r="F150" i="1"/>
  <c r="H150" i="1" s="1"/>
  <c r="F148" i="1"/>
  <c r="H148" i="1" s="1"/>
  <c r="F146" i="1"/>
  <c r="H146" i="1" s="1"/>
  <c r="F145" i="1"/>
  <c r="H145" i="1" s="1"/>
  <c r="F144" i="1"/>
  <c r="H144" i="1" s="1"/>
  <c r="F143" i="1"/>
  <c r="H143" i="1" s="1"/>
  <c r="F142" i="1"/>
  <c r="H142" i="1" s="1"/>
  <c r="F141" i="1"/>
  <c r="H141" i="1" s="1"/>
  <c r="F139" i="1"/>
  <c r="H139" i="1" s="1"/>
  <c r="F149" i="1"/>
  <c r="H149" i="1" s="1"/>
  <c r="F147" i="1"/>
  <c r="H147" i="1" s="1"/>
  <c r="A147" i="1"/>
  <c r="A148" i="1" s="1"/>
  <c r="A149" i="1" s="1"/>
  <c r="A150" i="1" s="1"/>
  <c r="A143" i="1"/>
  <c r="A144" i="1" s="1"/>
  <c r="A145" i="1" s="1"/>
  <c r="F140" i="1"/>
  <c r="H140" i="1" s="1"/>
  <c r="A139" i="1"/>
  <c r="A140" i="1" s="1"/>
  <c r="A141" i="1" s="1"/>
  <c r="F138" i="1"/>
  <c r="H138" i="1" s="1"/>
  <c r="A175" i="1"/>
  <c r="A176" i="1" s="1"/>
  <c r="A177" i="1" s="1"/>
  <c r="A178" i="1" s="1"/>
  <c r="A179" i="1" s="1"/>
  <c r="A171" i="1"/>
  <c r="A172" i="1" s="1"/>
  <c r="A173" i="1" s="1"/>
  <c r="A186" i="1"/>
  <c r="A187" i="1" s="1"/>
  <c r="A188" i="1" s="1"/>
  <c r="A189" i="1" s="1"/>
  <c r="A190" i="1" s="1"/>
  <c r="A182" i="1"/>
  <c r="A183" i="1" s="1"/>
  <c r="A184" i="1" s="1"/>
  <c r="I147" i="1"/>
  <c r="I145" i="1"/>
  <c r="H194" i="1" l="1"/>
  <c r="H198" i="1"/>
  <c r="F197" i="1"/>
  <c r="H197" i="1" s="1"/>
  <c r="F173" i="1"/>
  <c r="H173" i="1" s="1"/>
  <c r="H195" i="1"/>
  <c r="H196" i="1"/>
  <c r="F206" i="1"/>
  <c r="H206" i="1" s="1"/>
  <c r="F179" i="1"/>
  <c r="H179" i="1" s="1"/>
  <c r="H200" i="1"/>
  <c r="F199" i="1"/>
  <c r="H199" i="1" s="1"/>
  <c r="F177" i="1"/>
  <c r="H177" i="1" s="1"/>
  <c r="F171" i="1"/>
  <c r="H171" i="1" s="1"/>
  <c r="F176" i="1"/>
  <c r="H176" i="1" s="1"/>
  <c r="F174" i="1"/>
  <c r="H174" i="1" s="1"/>
  <c r="F178" i="1"/>
  <c r="H178" i="1" s="1"/>
  <c r="F175" i="1"/>
  <c r="H175" i="1" s="1"/>
  <c r="F170" i="1"/>
  <c r="H170" i="1" s="1"/>
  <c r="H182" i="1"/>
  <c r="H188" i="1"/>
  <c r="F172" i="1"/>
  <c r="H172" i="1" s="1"/>
  <c r="H181" i="1"/>
  <c r="H186" i="1"/>
  <c r="H183" i="1"/>
  <c r="H187" i="1"/>
  <c r="F162" i="1"/>
  <c r="H162" i="1" s="1"/>
  <c r="F135" i="1"/>
  <c r="F136" i="1"/>
  <c r="H136" i="1" s="1"/>
  <c r="F137" i="1"/>
  <c r="H137" i="1" s="1"/>
  <c r="G124" i="1" l="1"/>
  <c r="C124" i="1"/>
  <c r="E124" i="1"/>
  <c r="G120" i="1"/>
  <c r="H135" i="1"/>
  <c r="C120" i="1"/>
  <c r="H134" i="1"/>
  <c r="B228" i="1"/>
  <c r="G59" i="1" l="1"/>
  <c r="C59" i="1"/>
  <c r="G57" i="1"/>
  <c r="C57" i="1"/>
  <c r="C55" i="1"/>
  <c r="S33" i="1" l="1"/>
  <c r="F11" i="5" l="1"/>
  <c r="G11" i="5" s="1"/>
  <c r="G10" i="5"/>
  <c r="F10" i="5"/>
  <c r="F9" i="5"/>
  <c r="G9" i="5" s="1"/>
  <c r="G8" i="5"/>
  <c r="F8" i="5"/>
  <c r="G7" i="5"/>
  <c r="F7" i="5"/>
  <c r="G6" i="5"/>
  <c r="F6" i="5"/>
  <c r="F5" i="5"/>
  <c r="G5" i="5" s="1"/>
  <c r="G12" i="5" s="1"/>
  <c r="D252" i="1"/>
  <c r="B229" i="1"/>
  <c r="F166" i="1"/>
  <c r="H166" i="1" s="1"/>
  <c r="F165" i="1"/>
  <c r="H165" i="1" s="1"/>
  <c r="F164" i="1"/>
  <c r="H164" i="1" s="1"/>
  <c r="F163" i="1"/>
  <c r="H163" i="1" s="1"/>
  <c r="F161" i="1"/>
  <c r="H161" i="1" s="1"/>
  <c r="F160" i="1"/>
  <c r="H160" i="1" s="1"/>
  <c r="F159" i="1"/>
  <c r="A160" i="1"/>
  <c r="A161" i="1" s="1"/>
  <c r="A162" i="1" s="1"/>
  <c r="A164" i="1" s="1"/>
  <c r="A165" i="1" s="1"/>
  <c r="A166" i="1" s="1"/>
  <c r="A167" i="1" s="1"/>
  <c r="A168" i="1" s="1"/>
  <c r="A135" i="1"/>
  <c r="A136" i="1" s="1"/>
  <c r="A137" i="1" s="1"/>
  <c r="F115" i="1"/>
  <c r="C89" i="1"/>
  <c r="C75" i="1"/>
  <c r="D69" i="1"/>
  <c r="E31" i="1"/>
  <c r="E28" i="1"/>
  <c r="E26" i="1"/>
  <c r="C16" i="1"/>
  <c r="I15" i="1"/>
  <c r="Z13" i="1"/>
  <c r="E8" i="1"/>
  <c r="E3" i="1"/>
  <c r="H90" i="1"/>
  <c r="H76" i="1"/>
  <c r="E123" i="1" l="1"/>
  <c r="E125" i="1" s="1"/>
  <c r="E126" i="1" s="1"/>
  <c r="C123" i="1"/>
  <c r="C125" i="1" s="1"/>
  <c r="C126" i="1" s="1"/>
  <c r="H159" i="1"/>
  <c r="J75" i="1"/>
  <c r="J77" i="1" s="1"/>
  <c r="J78" i="1"/>
  <c r="J79" i="1"/>
  <c r="J80" i="1"/>
  <c r="C79" i="1" s="1"/>
  <c r="J94" i="1"/>
  <c r="C93" i="1" s="1"/>
  <c r="D98" i="1"/>
  <c r="D100" i="1"/>
  <c r="J93" i="1"/>
  <c r="D99" i="1"/>
  <c r="J89" i="1"/>
  <c r="J91" i="1" s="1"/>
  <c r="D97" i="1"/>
  <c r="J92" i="1"/>
  <c r="D96" i="1"/>
  <c r="D102" i="1"/>
  <c r="D101" i="1"/>
  <c r="D95" i="1"/>
  <c r="D83" i="1"/>
  <c r="D85" i="1"/>
  <c r="D84" i="1"/>
  <c r="D88" i="1"/>
  <c r="D82" i="1"/>
  <c r="D87" i="1"/>
  <c r="D81" i="1"/>
  <c r="D86" i="1"/>
  <c r="B90" i="1"/>
  <c r="B76" i="1"/>
  <c r="J81" i="1" s="1"/>
  <c r="G123" i="1" l="1"/>
  <c r="G125" i="1" s="1"/>
  <c r="G126" i="1" s="1"/>
  <c r="D93" i="1"/>
  <c r="D79" i="1"/>
  <c r="J100" i="1"/>
  <c r="J97" i="1"/>
  <c r="J99" i="1"/>
  <c r="J98" i="1"/>
  <c r="J95" i="1"/>
  <c r="J96" i="1" s="1"/>
  <c r="J85" i="1"/>
  <c r="J83" i="1"/>
  <c r="J84" i="1"/>
  <c r="J82" i="1"/>
  <c r="J87" i="1" s="1"/>
  <c r="J86" i="1"/>
  <c r="J88" i="1" l="1"/>
  <c r="C80" i="1"/>
  <c r="E79" i="1" s="1"/>
  <c r="J101" i="1"/>
  <c r="G79" i="1" l="1"/>
  <c r="D80" i="1"/>
  <c r="I76" i="1" s="1"/>
  <c r="I77" i="1" s="1"/>
  <c r="J76" i="1"/>
  <c r="J102" i="1"/>
  <c r="C94" i="1" s="1"/>
  <c r="I75" i="1" l="1"/>
  <c r="C77" i="1" s="1"/>
  <c r="J90" i="1"/>
  <c r="E93" i="1"/>
  <c r="D94" i="1"/>
  <c r="I90" i="1" s="1"/>
  <c r="I91" i="1" s="1"/>
  <c r="G93" i="1"/>
  <c r="D73" i="1" s="1"/>
  <c r="I89" i="1" l="1"/>
  <c r="C91" i="1" s="1"/>
  <c r="F74" i="1"/>
  <c r="D74" i="1"/>
</calcChain>
</file>

<file path=xl/comments1.xml><?xml version="1.0" encoding="utf-8"?>
<comments xmlns="http://schemas.openxmlformats.org/spreadsheetml/2006/main">
  <authors>
    <author>Sachin</author>
    <author>SACHIN</author>
  </authors>
  <commentList>
    <comment ref="E12" authorId="0">
      <text>
        <r>
          <rPr>
            <b/>
            <sz val="9"/>
            <color indexed="81"/>
            <rFont val="Tahoma"/>
            <family val="2"/>
          </rPr>
          <t>Sachin:</t>
        </r>
        <r>
          <rPr>
            <sz val="9"/>
            <color indexed="81"/>
            <rFont val="Tahoma"/>
            <family val="2"/>
          </rPr>
          <t xml:space="preserve">
Building No. 
Tower No.
Wing 
Bunglow No., etc</t>
        </r>
      </text>
    </comment>
    <comment ref="E13" authorId="0">
      <text>
        <r>
          <rPr>
            <b/>
            <sz val="9"/>
            <color indexed="81"/>
            <rFont val="Tahoma"/>
            <family val="2"/>
          </rPr>
          <t>Sachin:</t>
        </r>
        <r>
          <rPr>
            <sz val="9"/>
            <color indexed="81"/>
            <rFont val="Tahoma"/>
            <family val="2"/>
          </rPr>
          <t xml:space="preserve">
If exisiting Building is provided write it or else
NA</t>
        </r>
      </text>
    </comment>
    <comment ref="C56" authorId="1">
      <text>
        <r>
          <rPr>
            <b/>
            <sz val="9"/>
            <color indexed="81"/>
            <rFont val="Tahoma"/>
            <family val="2"/>
          </rPr>
          <t>SACHIN:</t>
        </r>
        <r>
          <rPr>
            <sz val="9"/>
            <color indexed="81"/>
            <rFont val="Tahoma"/>
            <family val="2"/>
          </rPr>
          <t xml:space="preserve">
Floor with height</t>
        </r>
      </text>
    </comment>
    <comment ref="C58" authorId="1">
      <text>
        <r>
          <rPr>
            <b/>
            <sz val="9"/>
            <color indexed="81"/>
            <rFont val="Tahoma"/>
            <family val="2"/>
          </rPr>
          <t>SACHIN:</t>
        </r>
        <r>
          <rPr>
            <sz val="9"/>
            <color indexed="81"/>
            <rFont val="Tahoma"/>
            <family val="2"/>
          </rPr>
          <t xml:space="preserve">
Survey Nos.</t>
        </r>
      </text>
    </comment>
    <comment ref="C60" authorId="1">
      <text>
        <r>
          <rPr>
            <b/>
            <sz val="9"/>
            <color indexed="81"/>
            <rFont val="Tahoma"/>
            <family val="2"/>
          </rPr>
          <t>SACHIN:</t>
        </r>
        <r>
          <rPr>
            <sz val="9"/>
            <color indexed="81"/>
            <rFont val="Tahoma"/>
            <family val="2"/>
          </rPr>
          <t xml:space="preserve">
Height from AMSL</t>
        </r>
      </text>
    </comment>
    <comment ref="D63" author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8" authorId="1">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3" authorId="1">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text>
        <r>
          <rPr>
            <b/>
            <sz val="9"/>
            <color indexed="81"/>
            <rFont val="Tahoma"/>
            <family val="2"/>
          </rPr>
          <t>SACHIN:</t>
        </r>
        <r>
          <rPr>
            <sz val="9"/>
            <color indexed="81"/>
            <rFont val="Tahoma"/>
            <family val="2"/>
          </rPr>
          <t xml:space="preserve">
If banker changes the rate</t>
        </r>
      </text>
    </comment>
    <comment ref="C10" author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<sst xmlns="http://schemas.openxmlformats.org/spreadsheetml/2006/main" count="660" uniqueCount="355">
  <si>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</si>
  <si>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</si>
  <si>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</si>
  <si>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</si>
  <si>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</si>
  <si>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</si>
  <si>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</si>
  <si>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</si>
  <si>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</si>
  <si>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</si>
  <si>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</si>
  <si>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</si>
  <si>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</si>
  <si>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</si>
  <si>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</si>
  <si>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</si>
  <si>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</si>
  <si>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</si>
  <si>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</si>
  <si>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</si>
  <si>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</si>
  <si>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</si>
  <si>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</si>
  <si>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</si>
  <si>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</si>
  <si>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</si>
  <si>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</si>
  <si>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</si>
  <si>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</si>
  <si>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</si>
  <si>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</si>
  <si>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</si>
  <si>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</si>
  <si>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</si>
  <si>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</si>
  <si>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</si>
  <si>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</si>
  <si>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</si>
  <si>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</si>
  <si>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</si>
  <si>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</si>
  <si>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</si>
  <si>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</si>
  <si>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</si>
  <si>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</si>
  <si>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</si>
  <si>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</si>
  <si>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</si>
  <si>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</si>
  <si>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</si>
  <si>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</si>
  <si>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</si>
  <si>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</si>
  <si>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</si>
  <si>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</si>
  <si>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</si>
  <si>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</si>
  <si>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</si>
  <si>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</si>
  <si>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</si>
  <si>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</si>
  <si>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</si>
  <si>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</si>
  <si>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</si>
  <si>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</si>
  <si>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</si>
  <si>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</si>
  <si>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</si>
  <si>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</si>
  <si>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</si>
  <si>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</si>
  <si>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</si>
  <si>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</si>
  <si>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</si>
  <si>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</si>
  <si>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</si>
  <si>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</si>
  <si>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</si>
  <si>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</si>
  <si>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</si>
  <si>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</si>
  <si>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</si>
  <si>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</si>
  <si>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</si>
  <si>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</si>
  <si>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</si>
  <si>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</si>
  <si>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</si>
  <si>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</si>
  <si>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</si>
  <si>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</si>
  <si>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</si>
  <si>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</si>
  <si>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</si>
  <si>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</si>
  <si>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</si>
  <si>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</si>
  <si>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</si>
  <si>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</si>
  <si>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</si>
  <si>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</si>
  <si>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</si>
  <si>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</si>
  <si>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</si>
  <si>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</si>
  <si>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</si>
  <si>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</si>
  <si>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</si>
  <si>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</si>
  <si>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</si>
  <si>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</si>
  <si>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</si>
  <si>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</si>
  <si>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</si>
  <si>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</si>
  <si>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</si>
  <si>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</si>
  <si>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</si>
  <si>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</si>
  <si>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</si>
  <si>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</si>
  <si>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</si>
  <si>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</si>
  <si>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</si>
  <si>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</si>
  <si>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</si>
  <si>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</si>
  <si>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</si>
  <si>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</si>
  <si>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</si>
  <si>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</si>
  <si>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</si>
  <si>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</si>
  <si>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</si>
  <si>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</si>
  <si>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</si>
  <si>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</si>
  <si>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</si>
  <si>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</si>
  <si>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</si>
  <si>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</si>
  <si>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</si>
  <si>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</si>
  <si>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</si>
  <si>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</si>
  <si>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</si>
  <si>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</si>
  <si>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</si>
  <si>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</si>
  <si>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</si>
  <si>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</si>
  <si>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</si>
  <si>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</si>
  <si>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</si>
  <si>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</si>
  <si>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</si>
  <si>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</si>
  <si>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</si>
  <si>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</si>
  <si>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</si>
  <si>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</si>
  <si>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</si>
  <si>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</si>
  <si>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</si>
  <si>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</si>
  <si>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</si>
  <si>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</si>
  <si>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</si>
  <si>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</si>
  <si>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</si>
  <si>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</si>
  <si>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</si>
  <si>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</si>
  <si>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</si>
  <si>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</si>
  <si>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</si>
  <si>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</si>
  <si>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</si>
  <si>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</si>
  <si>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</si>
  <si>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</si>
  <si>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</si>
  <si>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</si>
  <si>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</si>
  <si>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</si>
  <si>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</si>
  <si>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</si>
  <si>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</si>
  <si>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</si>
  <si>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</si>
  <si>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</si>
  <si>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</si>
  <si>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</si>
  <si>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</si>
  <si>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</si>
  <si>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</si>
  <si>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</si>
  <si>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</si>
  <si>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</si>
  <si>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</si>
  <si>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</si>
  <si>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</si>
  <si>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</si>
  <si>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</si>
  <si>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</si>
  <si>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</si>
  <si>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</si>
  <si>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</si>
  <si>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</si>
  <si>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</si>
  <si>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</si>
  <si>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</si>
  <si>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</si>
  <si>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</si>
  <si>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</si>
  <si>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</si>
  <si>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</si>
  <si>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</si>
  <si>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</si>
  <si>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</si>
  <si>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</si>
  <si>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</si>
  <si>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</si>
  <si>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</si>
  <si>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</si>
  <si>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</si>
  <si>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</si>
  <si>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</si>
  <si>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</si>
  <si>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</si>
  <si>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</si>
  <si>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</si>
  <si>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</si>
  <si>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</si>
  <si>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</si>
  <si>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</si>
  <si>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</si>
  <si>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</si>
  <si>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</si>
  <si>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</si>
  <si>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</si>
  <si>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</si>
  <si>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</si>
  <si>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</si>
  <si>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</si>
  <si>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</si>
  <si>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</si>
  <si>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</si>
  <si>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</si>
  <si>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</si>
  <si>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</si>
  <si>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</si>
  <si>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</si>
  <si>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</si>
  <si>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</si>
  <si>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</si>
  <si>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</si>
  <si>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</si>
  <si>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</si>
  <si>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</si>
  <si>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</si>
  <si>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</si>
  <si>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</si>
  <si>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</si>
  <si>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</si>
  <si>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</si>
  <si>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</si>
  <si>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</si>
  <si>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</si>
  <si>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</si>
  <si>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</si>
  <si>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</si>
  <si>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</si>
  <si>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</si>
  <si>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</si>
  <si>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</si>
  <si>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</si>
  <si>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</si>
  <si>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</si>
  <si>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</si>
  <si>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</si>
  <si>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</si>
  <si>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</si>
  <si>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</si>
  <si>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</si>
  <si>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</si>
  <si>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</si>
  <si>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</si>
  <si>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</si>
  <si>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</si>
  <si>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</si>
  <si>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</si>
  <si>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</si>
  <si>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Trio Infrastructure Private Limited</t>
  </si>
  <si>
    <t>Sereno</t>
  </si>
  <si>
    <t>P99000053269</t>
  </si>
  <si>
    <t xml:space="preserve">Approved Floor plan No. (For Wing E)  </t>
  </si>
  <si>
    <t xml:space="preserve">Approved Floor plan No.
(For Wing H)   </t>
  </si>
  <si>
    <t>Sector III - Building No.3 (Wing E &amp; H)</t>
  </si>
  <si>
    <t>As per RERA - 31/12/2026</t>
  </si>
  <si>
    <t>Vasai-Virar City Municipal Corporation</t>
  </si>
  <si>
    <r>
      <t xml:space="preserve">Proposed Amenities :                                                                                                                                                                                                                         </t>
    </r>
    <r>
      <rPr>
        <b/>
        <sz val="12"/>
        <color theme="1"/>
        <rFont val="Times New Roman"/>
        <family val="1"/>
      </rPr>
      <t xml:space="preserve">                                               </t>
    </r>
  </si>
  <si>
    <t>Jogging Track, Sauna Bath, Multipurpose Hall, Entrance Lobby, Barbecue Area, Children's Play Area, Yoga/Meditation Area, Indoor Games, Amphitheater, Steam Room, Party Lawn, Gazebo, Partial Power Backup, Car Parking, CCTV, Conference Room, Cafeteria, Library, Gymnasium, Swimming Pool, Lift(s), 24x7 Security, Kid's Pool etc.</t>
  </si>
  <si>
    <t>https://housing.com/in/buy/projects/page/309186-ava-sereno-by-ava-lifespaces-in-vasai-east</t>
  </si>
  <si>
    <t>Navnath Bhatkar</t>
  </si>
  <si>
    <t>Ground Floor For Entrance Lobby, Meter Room &amp; Parking</t>
  </si>
  <si>
    <t>2BHK</t>
  </si>
  <si>
    <t>1BHK</t>
  </si>
  <si>
    <t>Shop</t>
  </si>
  <si>
    <t>Refuge Area</t>
  </si>
  <si>
    <t>Vasai Road East</t>
  </si>
  <si>
    <t>Internal Road</t>
  </si>
  <si>
    <t>19.395583,72.847778</t>
  </si>
  <si>
    <t>https://maps.app.goo.gl/QzNXDCUksjrUv9SX8</t>
  </si>
  <si>
    <t>Gladiolus Tower</t>
  </si>
  <si>
    <t>Building No.2 (Wing D)</t>
  </si>
  <si>
    <t>Building No.3 (Wing A to D)</t>
  </si>
  <si>
    <t>Rajavali</t>
  </si>
  <si>
    <t>Gohkiware</t>
  </si>
  <si>
    <t>Survey No (As per approved CC)</t>
  </si>
  <si>
    <t>Not Provided</t>
  </si>
  <si>
    <t>VVCMC/TP/AMEND/VP/0329, 0815 &amp; 0509/246/2023-24</t>
  </si>
  <si>
    <t>VVCMC/TP/RDP/VP-0329, 0815 &amp; 0509/246/2023-24</t>
  </si>
  <si>
    <t>Sector III - Building No.3 (Wing E) = Gr + P1 &amp; P2 + 1st to 22nd Floor (Residential)
Sector III - Building No.3 (Wing H) = Gr + P1 &amp; P2 + 1st to 22nd Floor (Residential with Shop)</t>
  </si>
  <si>
    <t>Building No.3 (Wing E) = Gr + P1 &amp; P2 + 1st to 28th Floor</t>
  </si>
  <si>
    <t>Building No.3 (Wing H) = Gr + P1 &amp; P2 + 1st to 28th Floor</t>
  </si>
  <si>
    <t>Ground Floor For Commercial, Entrance Lobby &amp; Meter Room</t>
  </si>
  <si>
    <t>1st &amp; 2nd Podium Floor For Parking</t>
  </si>
  <si>
    <t>AP Area</t>
  </si>
  <si>
    <t>2nd to 4th, 6th to 9th, 11th to 14th, 16th to 19th, 21st &amp; 22nd Floor</t>
  </si>
  <si>
    <t>1st Floor For Residential</t>
  </si>
  <si>
    <t>5th, 10th, 15th &amp; 20th Floor (Part Refuge Area)</t>
  </si>
  <si>
    <t>02 Wing</t>
  </si>
  <si>
    <t>4.1 KM from Vasai Road Railway Station</t>
  </si>
  <si>
    <t>Flats - 432, Shops - 17</t>
  </si>
  <si>
    <t>RERA Carpet area</t>
  </si>
  <si>
    <t>Wing E</t>
  </si>
  <si>
    <t>Wing H</t>
  </si>
  <si>
    <t>Sector III (Building No.3)</t>
  </si>
  <si>
    <t xml:space="preserve"> Wing H</t>
  </si>
  <si>
    <t>81, H.No.18, S.No.82, H.No.1, 2, 3/3, 8/1, 10, S.No.76, Group Housing Scheme</t>
  </si>
  <si>
    <t>12.00 M/W Internal Road</t>
  </si>
  <si>
    <t>Open Plot</t>
  </si>
  <si>
    <t>Other Plot</t>
  </si>
  <si>
    <t>Approved Builtup Area of Wing E &amp; H (Sq.Mt)</t>
  </si>
  <si>
    <t>Approved Floor Plans &amp; CC</t>
  </si>
  <si>
    <t xml:space="preserve">Provide approved layout plan with area statement sheet.
</t>
  </si>
  <si>
    <t>We considered Gross carpet area = Net Carpet + Enclose Balcony + A.P Area</t>
  </si>
  <si>
    <t xml:space="preserve">Building No.3 (Wing E) = Gr + P1 &amp; P2 + 1st to 22nd Floor 
Building No.3 (Wing H) = Gr + P1 &amp; P2 + 1st to 22nd Floor 
</t>
  </si>
  <si>
    <t>Shruti Tathare</t>
  </si>
  <si>
    <t>Other Charges</t>
  </si>
  <si>
    <t>Recommended Rates/Other Charges of the Property have been revised on 26/06/2025.</t>
  </si>
  <si>
    <t>5200 to 5600 &amp; OC 2L by trupti on 26/06/2025. cost sheet case no. 1805</t>
  </si>
  <si>
    <t>Mr. Shiv Pandey 7398255197</t>
  </si>
  <si>
    <t>Wing E &amp; H = Construction work is in process at the time of Visit. (Slow Speed)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</si>
</sst>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41">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0" xfId="0" applyFont="1" applyBorder="1" applyProtection="1">
      <protection hidden="1"/>
    </xf>
    <xf numFmtId="0" fontId="12" fillId="0" borderId="3"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9" xfId="1" applyFont="1" applyBorder="1"/>
    <xf numFmtId="0" fontId="18"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5" fillId="2" borderId="29" xfId="0" applyFont="1" applyFill="1" applyBorder="1"/>
    <xf numFmtId="0" fontId="26" fillId="0" borderId="30" xfId="0" applyFont="1" applyBorder="1"/>
    <xf numFmtId="0" fontId="26" fillId="0" borderId="1" xfId="0" applyFont="1" applyBorder="1"/>
    <xf numFmtId="0" fontId="26" fillId="0" borderId="4" xfId="0" applyFont="1" applyBorder="1"/>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7" fillId="0" borderId="6"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27" fillId="0" borderId="0" xfId="10"/>
    <xf numFmtId="0" fontId="7" fillId="0" borderId="1" xfId="1" applyFont="1" applyBorder="1" applyAlignment="1" applyProtection="1">
      <alignment horizontal="center" vertical="top"/>
      <protection locked="0"/>
    </xf>
    <xf numFmtId="0" fontId="7" fillId="0" borderId="4"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top" wrapText="1"/>
      <protection locked="0"/>
    </xf>
    <xf numFmtId="1" fontId="7" fillId="0" borderId="1" xfId="1" applyNumberFormat="1" applyFont="1" applyBorder="1" applyAlignment="1">
      <alignment horizontal="center" vertical="center"/>
    </xf>
    <xf numFmtId="1" fontId="13" fillId="0" borderId="2" xfId="1" applyNumberFormat="1" applyFont="1" applyBorder="1" applyAlignment="1" applyProtection="1">
      <alignment horizontal="center" vertical="top" wrapText="1"/>
      <protection locked="0"/>
    </xf>
    <xf numFmtId="9" fontId="13" fillId="0" borderId="15" xfId="8" applyFont="1" applyFill="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2" fontId="7" fillId="0" borderId="0" xfId="1" applyNumberFormat="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vertical="top" wrapText="1"/>
      <protection locked="0"/>
    </xf>
    <xf numFmtId="1" fontId="6" fillId="0" borderId="1" xfId="0" applyNumberFormat="1" applyFont="1" applyBorder="1" applyAlignment="1" applyProtection="1">
      <alignment horizontal="center" vertical="center" wrapText="1"/>
      <protection locked="0"/>
    </xf>
    <xf numFmtId="1" fontId="7" fillId="0" borderId="0" xfId="0" applyNumberFormat="1" applyFont="1" applyAlignment="1">
      <alignment horizontal="center" vertical="center"/>
    </xf>
    <xf numFmtId="1" fontId="7" fillId="0" borderId="1" xfId="1" applyNumberFormat="1" applyFont="1" applyFill="1" applyBorder="1" applyAlignment="1">
      <alignment horizontal="center" vertical="center"/>
    </xf>
    <xf numFmtId="2"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1" fontId="8" fillId="0" borderId="16"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0" fontId="10" fillId="0" borderId="4" xfId="1" applyFont="1" applyBorder="1" applyAlignment="1" applyProtection="1">
      <alignment horizontal="left" vertical="top" wrapText="1"/>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center" wrapText="1"/>
      <protection locked="0"/>
    </xf>
    <xf numFmtId="1" fontId="10" fillId="0" borderId="2" xfId="0" applyNumberFormat="1" applyFont="1" applyBorder="1" applyAlignment="1" applyProtection="1">
      <alignment horizontal="center" vertical="top" wrapText="1"/>
      <protection locked="0"/>
    </xf>
    <xf numFmtId="0" fontId="10" fillId="0" borderId="2" xfId="0"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0" fontId="8" fillId="0" borderId="15" xfId="1" applyFont="1" applyBorder="1" applyAlignment="1" applyProtection="1">
      <alignment horizontal="center" vertical="top"/>
      <protection locked="0"/>
    </xf>
    <xf numFmtId="0" fontId="6"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9" fontId="7" fillId="0" borderId="16" xfId="8" applyFont="1" applyFill="1" applyBorder="1" applyAlignment="1" applyProtection="1">
      <alignment horizontal="center" vertical="center" wrapText="1"/>
      <protection locked="0"/>
    </xf>
    <xf numFmtId="9" fontId="7" fillId="0" borderId="17"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10" fillId="0" borderId="7" xfId="1" applyFont="1" applyBorder="1" applyAlignment="1" applyProtection="1">
      <alignment horizontal="left" vertical="top"/>
      <protection locked="0"/>
    </xf>
    <xf numFmtId="0" fontId="10" fillId="0" borderId="20" xfId="1" applyFont="1" applyBorder="1" applyAlignment="1" applyProtection="1">
      <alignment horizontal="left" vertical="top"/>
      <protection locked="0"/>
    </xf>
    <xf numFmtId="0" fontId="10" fillId="0" borderId="8" xfId="1" applyFont="1" applyBorder="1" applyAlignment="1" applyProtection="1">
      <alignment horizontal="left" vertical="top"/>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9" fontId="7" fillId="0" borderId="26"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8" fillId="0" borderId="15" xfId="1" applyFont="1" applyBorder="1" applyAlignment="1" applyProtection="1">
      <alignment horizontal="left" vertical="top"/>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0" fontId="13" fillId="0" borderId="3"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8" fillId="0" borderId="21"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10" fillId="0" borderId="12" xfId="1" applyFont="1" applyBorder="1" applyAlignment="1" applyProtection="1">
      <alignment horizontal="left" vertical="top" wrapText="1"/>
      <protection locked="0"/>
    </xf>
    <xf numFmtId="0" fontId="10" fillId="0" borderId="13" xfId="1" applyFont="1" applyBorder="1" applyAlignment="1" applyProtection="1">
      <alignment horizontal="left" vertical="top" wrapText="1"/>
      <protection locked="0"/>
    </xf>
    <xf numFmtId="0" fontId="10" fillId="0" borderId="22" xfId="1" applyFont="1" applyBorder="1" applyAlignment="1" applyProtection="1">
      <alignment horizontal="left" vertical="top" wrapText="1"/>
      <protection locked="0"/>
    </xf>
    <xf numFmtId="0" fontId="7" fillId="0" borderId="0" xfId="1" applyFont="1" applyAlignment="1">
      <alignment horizontal="center" vertical="center"/>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0" fontId="6" fillId="0" borderId="7" xfId="1" applyFont="1" applyBorder="1" applyAlignment="1" applyProtection="1">
      <alignment vertical="top" wrapText="1"/>
      <protection locked="0"/>
    </xf>
    <xf numFmtId="0" fontId="6" fillId="0" borderId="20" xfId="1" applyFont="1" applyBorder="1" applyAlignment="1" applyProtection="1">
      <alignment vertical="top" wrapText="1"/>
      <protection locked="0"/>
    </xf>
    <xf numFmtId="0" fontId="6" fillId="0" borderId="8" xfId="1" applyFont="1" applyBorder="1" applyAlignment="1" applyProtection="1">
      <alignment vertical="top" wrapText="1"/>
      <protection locked="0"/>
    </xf>
    <xf numFmtId="0" fontId="8"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7" fillId="0" borderId="2" xfId="1" applyFont="1" applyBorder="1" applyAlignment="1" applyProtection="1">
      <alignment horizontal="left" vertical="top" wrapText="1"/>
      <protection locked="0"/>
    </xf>
    <xf numFmtId="0" fontId="7" fillId="0" borderId="2" xfId="1" applyFont="1" applyBorder="1" applyAlignment="1" applyProtection="1">
      <alignment horizontal="left" vertical="top"/>
      <protection locked="0"/>
    </xf>
    <xf numFmtId="0" fontId="12" fillId="0" borderId="16"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2" fillId="0" borderId="7"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0" fillId="0" borderId="1" xfId="1" applyFont="1" applyBorder="1" applyAlignment="1" applyProtection="1">
      <alignment horizontal="left" vertical="top"/>
      <protection locked="0"/>
    </xf>
    <xf numFmtId="1" fontId="6" fillId="0" borderId="1" xfId="1" applyNumberFormat="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7" fillId="0" borderId="7"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6" xfId="1" applyFont="1" applyBorder="1" applyAlignment="1" applyProtection="1">
      <alignment horizontal="left" vertical="top"/>
      <protection locked="0"/>
    </xf>
    <xf numFmtId="0" fontId="12" fillId="0" borderId="23" xfId="1" applyFont="1" applyBorder="1" applyAlignment="1" applyProtection="1">
      <alignment horizontal="left" vertical="top"/>
      <protection locked="0"/>
    </xf>
    <xf numFmtId="0" fontId="12" fillId="0" borderId="17" xfId="1" applyFont="1" applyBorder="1" applyAlignment="1" applyProtection="1">
      <alignment horizontal="left" vertical="top"/>
      <protection locked="0"/>
    </xf>
    <xf numFmtId="0" fontId="12" fillId="0" borderId="24" xfId="1" applyFont="1" applyBorder="1" applyAlignment="1" applyProtection="1">
      <alignment horizontal="left" vertical="top"/>
      <protection locked="0"/>
    </xf>
    <xf numFmtId="0" fontId="12" fillId="0" borderId="0" xfId="1" applyFont="1" applyAlignment="1" applyProtection="1">
      <alignment horizontal="left" vertical="top"/>
      <protection locked="0"/>
    </xf>
    <xf numFmtId="0" fontId="12" fillId="0" borderId="25" xfId="1" applyFont="1" applyBorder="1" applyAlignment="1" applyProtection="1">
      <alignment horizontal="left" vertical="top"/>
      <protection locked="0"/>
    </xf>
    <xf numFmtId="0" fontId="12" fillId="0" borderId="7" xfId="1" applyFont="1" applyBorder="1" applyAlignment="1" applyProtection="1">
      <alignment horizontal="center" vertical="top" wrapText="1"/>
      <protection locked="0"/>
    </xf>
    <xf numFmtId="0" fontId="13" fillId="0" borderId="7" xfId="1" applyFont="1" applyBorder="1" applyAlignment="1" applyProtection="1">
      <alignment horizontal="center" vertical="top"/>
      <protection locked="0"/>
    </xf>
    <xf numFmtId="0" fontId="13" fillId="0" borderId="20"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7" fillId="0" borderId="7" xfId="1" applyFont="1" applyBorder="1" applyAlignment="1" applyProtection="1">
      <alignment horizontal="left" vertical="top"/>
      <protection locked="0"/>
    </xf>
    <xf numFmtId="0" fontId="7" fillId="0" borderId="8" xfId="1" applyFont="1" applyBorder="1" applyAlignment="1" applyProtection="1">
      <alignment horizontal="left" vertical="top"/>
      <protection locked="0"/>
    </xf>
    <xf numFmtId="0" fontId="7" fillId="0" borderId="1" xfId="1" applyFont="1" applyBorder="1" applyAlignment="1" applyProtection="1">
      <alignment horizontal="left"/>
      <protection locked="0"/>
    </xf>
    <xf numFmtId="1" fontId="6" fillId="0" borderId="1" xfId="1" applyNumberFormat="1" applyFont="1" applyFill="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wrapText="1"/>
      <protection locked="0"/>
    </xf>
    <xf numFmtId="14" fontId="12" fillId="0" borderId="1" xfId="1" applyNumberFormat="1" applyFont="1" applyBorder="1" applyAlignment="1" applyProtection="1">
      <alignment horizontal="left" vertical="top"/>
      <protection locked="0"/>
    </xf>
    <xf numFmtId="1" fontId="10" fillId="0" borderId="7" xfId="0" applyNumberFormat="1" applyFont="1" applyBorder="1" applyAlignment="1" applyProtection="1">
      <alignment vertical="top" wrapText="1"/>
      <protection locked="0"/>
    </xf>
    <xf numFmtId="1" fontId="10" fillId="0" borderId="20" xfId="0" applyNumberFormat="1" applyFont="1" applyBorder="1" applyAlignment="1" applyProtection="1">
      <alignment vertical="top" wrapText="1"/>
      <protection locked="0"/>
    </xf>
    <xf numFmtId="1" fontId="10" fillId="0" borderId="8" xfId="0" applyNumberFormat="1" applyFont="1" applyBorder="1" applyAlignment="1" applyProtection="1">
      <alignment vertical="top" wrapText="1"/>
      <protection locked="0"/>
    </xf>
    <xf numFmtId="167" fontId="7" fillId="0" borderId="1" xfId="9" applyNumberFormat="1" applyFont="1" applyFill="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0" fontId="13" fillId="0" borderId="15" xfId="1" applyFont="1" applyBorder="1" applyAlignment="1" applyProtection="1">
      <alignment horizontal="center" vertical="top"/>
      <protection locked="0"/>
    </xf>
    <xf numFmtId="1" fontId="17" fillId="0" borderId="7" xfId="0" applyNumberFormat="1" applyFont="1" applyBorder="1" applyAlignment="1" applyProtection="1">
      <alignment vertical="top" wrapText="1"/>
      <protection locked="0"/>
    </xf>
    <xf numFmtId="1" fontId="17" fillId="0" borderId="20"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8" fillId="0" borderId="31" xfId="0"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0" fontId="10" fillId="0" borderId="32" xfId="0" applyFont="1" applyBorder="1" applyAlignment="1" applyProtection="1">
      <alignment horizontal="center" vertical="center"/>
      <protection locked="0"/>
    </xf>
    <xf numFmtId="1" fontId="10" fillId="0" borderId="32" xfId="0" applyNumberFormat="1" applyFont="1" applyBorder="1" applyAlignment="1" applyProtection="1">
      <alignment horizontal="center" vertical="top" wrapText="1"/>
      <protection locked="0"/>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14" fontId="7" fillId="0" borderId="7" xfId="1" applyNumberFormat="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1" fontId="10" fillId="0" borderId="2" xfId="0" applyNumberFormat="1"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7" fillId="0" borderId="24"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7.jpeg"/><Relationship Id="rId3" Type="http://schemas.openxmlformats.org/officeDocument/2006/relationships/image" Target="../media/image3.png"/><Relationship Id="rId7" Type="http://schemas.openxmlformats.org/officeDocument/2006/relationships/image" Target="../media/image6.jpeg"/><Relationship Id="rId12" Type="http://schemas.openxmlformats.org/officeDocument/2006/relationships/image" Target="../media/image11.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jpeg"/><Relationship Id="rId11" Type="http://schemas.openxmlformats.org/officeDocument/2006/relationships/image" Target="../media/image10.jpeg"/><Relationship Id="rId5" Type="http://schemas.microsoft.com/office/2007/relationships/hdphoto" Target="../media/hdphoto1.wdp"/><Relationship Id="rId10" Type="http://schemas.openxmlformats.org/officeDocument/2006/relationships/image" Target="../media/image9.jpeg"/><Relationship Id="rId4" Type="http://schemas.openxmlformats.org/officeDocument/2006/relationships/image" Target="../media/image4.png"/><Relationship Id="rId9" Type="http://schemas.openxmlformats.org/officeDocument/2006/relationships/image" Target="../media/image8.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8</xdr:col>
      <xdr:colOff>759160</xdr:colOff>
      <xdr:row>259</xdr:row>
      <xdr:rowOff>46621</xdr:rowOff>
    </xdr:from>
    <xdr:to>
      <xdr:col>9</xdr:col>
      <xdr:colOff>574220</xdr:colOff>
      <xdr:row>261</xdr:row>
      <xdr:rowOff>21772</xdr:rowOff>
    </xdr:to>
    <xdr:sp macro="" textlink="">
      <xdr:nvSpPr>
        <xdr:cNvPr id="20" name="TextBox 19"/>
        <xdr:cNvSpPr txBox="1"/>
      </xdr:nvSpPr>
      <xdr:spPr>
        <a:xfrm>
          <a:off x="7798135" y="53481871"/>
          <a:ext cx="977110" cy="375201"/>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t>Wing</a:t>
          </a:r>
          <a:r>
            <a:rPr lang="en-IN" sz="1800" b="1" baseline="0"/>
            <a:t> H</a:t>
          </a:r>
          <a:endParaRPr lang="en-IN" sz="1800" b="1"/>
        </a:p>
      </xdr:txBody>
    </xdr:sp>
    <xdr:clientData/>
  </xdr:twoCellAnchor>
  <xdr:twoCellAnchor>
    <xdr:from>
      <xdr:col>11</xdr:col>
      <xdr:colOff>385026</xdr:colOff>
      <xdr:row>263</xdr:row>
      <xdr:rowOff>37924</xdr:rowOff>
    </xdr:from>
    <xdr:to>
      <xdr:col>12</xdr:col>
      <xdr:colOff>385082</xdr:colOff>
      <xdr:row>264</xdr:row>
      <xdr:rowOff>145597</xdr:rowOff>
    </xdr:to>
    <xdr:sp macro="" textlink="">
      <xdr:nvSpPr>
        <xdr:cNvPr id="21" name="TextBox 20"/>
        <xdr:cNvSpPr txBox="1"/>
      </xdr:nvSpPr>
      <xdr:spPr>
        <a:xfrm>
          <a:off x="9329001" y="54273274"/>
          <a:ext cx="923981" cy="30769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N" sz="1800" b="1"/>
            <a:t>Wing</a:t>
          </a:r>
          <a:r>
            <a:rPr lang="en-IN" sz="1800" b="1" baseline="0"/>
            <a:t> E</a:t>
          </a:r>
          <a:endParaRPr lang="en-IN" sz="1800" b="1"/>
        </a:p>
      </xdr:txBody>
    </xdr:sp>
    <xdr:clientData/>
  </xdr:twoCellAnchor>
  <xdr:twoCellAnchor editAs="oneCell">
    <xdr:from>
      <xdr:col>0</xdr:col>
      <xdr:colOff>606784</xdr:colOff>
      <xdr:row>340</xdr:row>
      <xdr:rowOff>147204</xdr:rowOff>
    </xdr:from>
    <xdr:to>
      <xdr:col>7</xdr:col>
      <xdr:colOff>6167</xdr:colOff>
      <xdr:row>358</xdr:row>
      <xdr:rowOff>34635</xdr:rowOff>
    </xdr:to>
    <xdr:pic>
      <xdr:nvPicPr>
        <xdr:cNvPr id="25" name="Picture 24"/>
        <xdr:cNvPicPr>
          <a:picLocks noChangeAspect="1"/>
        </xdr:cNvPicPr>
      </xdr:nvPicPr>
      <xdr:blipFill rotWithShape="1">
        <a:blip xmlns:r="http://schemas.openxmlformats.org/officeDocument/2006/relationships" r:embed="rId1"/>
        <a:srcRect t="14454" r="3770"/>
        <a:stretch/>
      </xdr:blipFill>
      <xdr:spPr>
        <a:xfrm>
          <a:off x="606784" y="74857840"/>
          <a:ext cx="4975838" cy="3628159"/>
        </a:xfrm>
        <a:prstGeom prst="rect">
          <a:avLst/>
        </a:prstGeom>
        <a:ln w="6350">
          <a:solidFill>
            <a:schemeClr val="tx1"/>
          </a:solidFill>
        </a:ln>
      </xdr:spPr>
    </xdr:pic>
    <xdr:clientData/>
  </xdr:twoCellAnchor>
  <xdr:twoCellAnchor>
    <xdr:from>
      <xdr:col>0</xdr:col>
      <xdr:colOff>288471</xdr:colOff>
      <xdr:row>358</xdr:row>
      <xdr:rowOff>190501</xdr:rowOff>
    </xdr:from>
    <xdr:to>
      <xdr:col>7</xdr:col>
      <xdr:colOff>432954</xdr:colOff>
      <xdr:row>380</xdr:row>
      <xdr:rowOff>4775</xdr:rowOff>
    </xdr:to>
    <xdr:grpSp>
      <xdr:nvGrpSpPr>
        <xdr:cNvPr id="5" name="Group 4"/>
        <xdr:cNvGrpSpPr/>
      </xdr:nvGrpSpPr>
      <xdr:grpSpPr>
        <a:xfrm>
          <a:off x="288471" y="73018651"/>
          <a:ext cx="5726133" cy="4214824"/>
          <a:chOff x="517071" y="69966907"/>
          <a:chExt cx="5402721" cy="3892120"/>
        </a:xfrm>
      </xdr:grpSpPr>
      <xdr:pic>
        <xdr:nvPicPr>
          <xdr:cNvPr id="24" name="Picture 23"/>
          <xdr:cNvPicPr>
            <a:picLocks noChangeAspect="1"/>
          </xdr:cNvPicPr>
        </xdr:nvPicPr>
        <xdr:blipFill rotWithShape="1">
          <a:blip xmlns:r="http://schemas.openxmlformats.org/officeDocument/2006/relationships" r:embed="rId2"/>
          <a:srcRect l="21789" t="17688" r="23579" b="10849"/>
          <a:stretch/>
        </xdr:blipFill>
        <xdr:spPr>
          <a:xfrm>
            <a:off x="517071" y="69966907"/>
            <a:ext cx="5402721" cy="3892120"/>
          </a:xfrm>
          <a:prstGeom prst="rect">
            <a:avLst/>
          </a:prstGeom>
          <a:ln w="6350">
            <a:solidFill>
              <a:schemeClr val="tx1"/>
            </a:solidFill>
          </a:ln>
        </xdr:spPr>
      </xdr:pic>
      <xdr:sp macro="" textlink="">
        <xdr:nvSpPr>
          <xdr:cNvPr id="26" name="Rectangle 25"/>
          <xdr:cNvSpPr/>
        </xdr:nvSpPr>
        <xdr:spPr>
          <a:xfrm rot="20589099">
            <a:off x="2764702" y="71396291"/>
            <a:ext cx="434340" cy="194038"/>
          </a:xfrm>
          <a:prstGeom prst="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7" name="Rectangle 26"/>
          <xdr:cNvSpPr/>
        </xdr:nvSpPr>
        <xdr:spPr>
          <a:xfrm rot="20589099">
            <a:off x="2840902" y="71644067"/>
            <a:ext cx="434340" cy="194038"/>
          </a:xfrm>
          <a:prstGeom prst="rect">
            <a:avLst/>
          </a:prstGeom>
          <a:no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8" name="TextBox 5"/>
          <xdr:cNvSpPr txBox="1"/>
        </xdr:nvSpPr>
        <xdr:spPr>
          <a:xfrm rot="20524070">
            <a:off x="2605897" y="71192335"/>
            <a:ext cx="740238" cy="24213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FFFF00"/>
                </a:solidFill>
              </a:rPr>
              <a:t>Wing H</a:t>
            </a:r>
            <a:endParaRPr lang="en-IN" sz="1000" b="1">
              <a:solidFill>
                <a:srgbClr val="FFFF00"/>
              </a:solidFill>
            </a:endParaRPr>
          </a:p>
        </xdr:txBody>
      </xdr:sp>
      <xdr:sp macro="" textlink="">
        <xdr:nvSpPr>
          <xdr:cNvPr id="29" name="TextBox 6"/>
          <xdr:cNvSpPr txBox="1"/>
        </xdr:nvSpPr>
        <xdr:spPr>
          <a:xfrm rot="20448125">
            <a:off x="2832430" y="71793658"/>
            <a:ext cx="573477" cy="24213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000" b="1">
                <a:solidFill>
                  <a:srgbClr val="FFFF00"/>
                </a:solidFill>
              </a:rPr>
              <a:t>Wing E</a:t>
            </a:r>
            <a:endParaRPr lang="en-IN" sz="1000" b="1">
              <a:solidFill>
                <a:srgbClr val="FFFF00"/>
              </a:solidFill>
            </a:endParaRPr>
          </a:p>
        </xdr:txBody>
      </xdr:sp>
    </xdr:grpSp>
    <xdr:clientData/>
  </xdr:twoCellAnchor>
  <xdr:twoCellAnchor editAs="oneCell">
    <xdr:from>
      <xdr:col>8</xdr:col>
      <xdr:colOff>295275</xdr:colOff>
      <xdr:row>11</xdr:row>
      <xdr:rowOff>0</xdr:rowOff>
    </xdr:from>
    <xdr:to>
      <xdr:col>15</xdr:col>
      <xdr:colOff>677164</xdr:colOff>
      <xdr:row>15</xdr:row>
      <xdr:rowOff>133480</xdr:rowOff>
    </xdr:to>
    <xdr:pic>
      <xdr:nvPicPr>
        <xdr:cNvPr id="2" name="Picture 1"/>
        <xdr:cNvPicPr>
          <a:picLocks noChangeAspect="1"/>
        </xdr:cNvPicPr>
      </xdr:nvPicPr>
      <xdr:blipFill>
        <a:blip xmlns:r="http://schemas.openxmlformats.org/officeDocument/2006/relationships" r:embed="rId3"/>
        <a:stretch>
          <a:fillRect/>
        </a:stretch>
      </xdr:blipFill>
      <xdr:spPr>
        <a:xfrm>
          <a:off x="6610350" y="2581275"/>
          <a:ext cx="6373114" cy="933580"/>
        </a:xfrm>
        <a:prstGeom prst="rect">
          <a:avLst/>
        </a:prstGeom>
      </xdr:spPr>
    </xdr:pic>
    <xdr:clientData/>
  </xdr:twoCellAnchor>
  <xdr:twoCellAnchor>
    <xdr:from>
      <xdr:col>0</xdr:col>
      <xdr:colOff>308723</xdr:colOff>
      <xdr:row>296</xdr:row>
      <xdr:rowOff>150474</xdr:rowOff>
    </xdr:from>
    <xdr:to>
      <xdr:col>7</xdr:col>
      <xdr:colOff>398370</xdr:colOff>
      <xdr:row>318</xdr:row>
      <xdr:rowOff>191896</xdr:rowOff>
    </xdr:to>
    <xdr:grpSp>
      <xdr:nvGrpSpPr>
        <xdr:cNvPr id="7" name="Group 6"/>
        <xdr:cNvGrpSpPr/>
      </xdr:nvGrpSpPr>
      <xdr:grpSpPr>
        <a:xfrm>
          <a:off x="308723" y="60577074"/>
          <a:ext cx="5671297" cy="4441972"/>
          <a:chOff x="280148" y="63876646"/>
          <a:chExt cx="5670176" cy="4480633"/>
        </a:xfrm>
      </xdr:grpSpPr>
      <xdr:pic>
        <xdr:nvPicPr>
          <xdr:cNvPr id="22" name="Picture 21"/>
          <xdr:cNvPicPr>
            <a:picLocks noChangeAspect="1"/>
          </xdr:cNvPicPr>
        </xdr:nvPicPr>
        <xdr:blipFill rotWithShape="1">
          <a:blip xmlns:r="http://schemas.openxmlformats.org/officeDocument/2006/relationships" r:embed="rId4">
            <a:extLst>
              <a:ext uri="{BEBA8EAE-BF5A-486C-A8C5-ECC9F3942E4B}">
                <a14:imgProps xmlns:a14="http://schemas.microsoft.com/office/drawing/2010/main">
                  <a14:imgLayer r:embed="rId5">
                    <a14:imgEffect>
                      <a14:artisticPhotocopy/>
                    </a14:imgEffect>
                    <a14:imgEffect>
                      <a14:colorTemperature colorTemp="4700"/>
                    </a14:imgEffect>
                    <a14:imgEffect>
                      <a14:brightnessContrast contrast="40000"/>
                    </a14:imgEffect>
                  </a14:imgLayer>
                </a14:imgProps>
              </a:ext>
            </a:extLst>
          </a:blip>
          <a:srcRect l="5782" t="1550"/>
          <a:stretch/>
        </xdr:blipFill>
        <xdr:spPr>
          <a:xfrm>
            <a:off x="280148" y="63876646"/>
            <a:ext cx="5670176" cy="4480633"/>
          </a:xfrm>
          <a:prstGeom prst="rect">
            <a:avLst/>
          </a:prstGeom>
          <a:ln>
            <a:solidFill>
              <a:schemeClr val="tx1"/>
            </a:solidFill>
          </a:ln>
        </xdr:spPr>
      </xdr:pic>
      <xdr:sp macro="" textlink="">
        <xdr:nvSpPr>
          <xdr:cNvPr id="4" name="Rectangle 3"/>
          <xdr:cNvSpPr/>
        </xdr:nvSpPr>
        <xdr:spPr>
          <a:xfrm rot="20195250">
            <a:off x="2589224" y="65002864"/>
            <a:ext cx="1221442" cy="676082"/>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3" name="Rectangle 22"/>
          <xdr:cNvSpPr/>
        </xdr:nvSpPr>
        <xdr:spPr>
          <a:xfrm rot="20195250">
            <a:off x="2981430" y="65888128"/>
            <a:ext cx="1221442" cy="676082"/>
          </a:xfrm>
          <a:prstGeom prst="rect">
            <a:avLst/>
          </a:prstGeom>
          <a:noFill/>
          <a:ln w="28575">
            <a:solidFill>
              <a:srgbClr val="3333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 name="TextBox 5"/>
          <xdr:cNvSpPr txBox="1"/>
        </xdr:nvSpPr>
        <xdr:spPr>
          <a:xfrm rot="20114710">
            <a:off x="1557619" y="65352705"/>
            <a:ext cx="1199030" cy="106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N" sz="1400" b="1">
                <a:solidFill>
                  <a:srgbClr val="C00000"/>
                </a:solidFill>
              </a:rPr>
              <a:t>Sector III  Building No.3 (Wing H)</a:t>
            </a:r>
          </a:p>
        </xdr:txBody>
      </xdr:sp>
      <xdr:sp macro="" textlink="">
        <xdr:nvSpPr>
          <xdr:cNvPr id="30" name="TextBox 29"/>
          <xdr:cNvSpPr txBox="1"/>
        </xdr:nvSpPr>
        <xdr:spPr>
          <a:xfrm rot="20114710">
            <a:off x="1927414" y="66305205"/>
            <a:ext cx="1199030" cy="106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N" sz="1400" b="1">
                <a:solidFill>
                  <a:srgbClr val="3333FF"/>
                </a:solidFill>
              </a:rPr>
              <a:t>Sector III  Building No.3 (Wing E)</a:t>
            </a:r>
          </a:p>
        </xdr:txBody>
      </xdr:sp>
    </xdr:grpSp>
    <xdr:clientData/>
  </xdr:twoCellAnchor>
  <xdr:twoCellAnchor>
    <xdr:from>
      <xdr:col>0</xdr:col>
      <xdr:colOff>323850</xdr:colOff>
      <xdr:row>252</xdr:row>
      <xdr:rowOff>57149</xdr:rowOff>
    </xdr:from>
    <xdr:to>
      <xdr:col>7</xdr:col>
      <xdr:colOff>1058058</xdr:colOff>
      <xdr:row>294</xdr:row>
      <xdr:rowOff>112125</xdr:rowOff>
    </xdr:to>
    <xdr:grpSp>
      <xdr:nvGrpSpPr>
        <xdr:cNvPr id="11" name="Group 10"/>
        <xdr:cNvGrpSpPr/>
      </xdr:nvGrpSpPr>
      <xdr:grpSpPr>
        <a:xfrm>
          <a:off x="323850" y="51682649"/>
          <a:ext cx="6315858" cy="8456026"/>
          <a:chOff x="323850" y="51682649"/>
          <a:chExt cx="6315858" cy="8456026"/>
        </a:xfrm>
      </xdr:grpSpPr>
      <xdr:pic>
        <xdr:nvPicPr>
          <xdr:cNvPr id="44" name="Picture 43" descr="https://vsjcllp.vsjadon.com/upload/insp-243169-1525.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3629025" y="5797867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8" name="Picture 47" descr="https://vsjcllp.vsjadon.com/upload/insp-243169-843.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323850" y="55721250"/>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0" name="Picture 49" descr="https://vsjcllp.vsjadon.com/upload/insp-243169-845.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762375" y="55735537"/>
            <a:ext cx="287733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1" name="Picture 50" descr="https://vsjcllp.vsjadon.com/upload/insp-243169-862.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3571875" y="51692174"/>
            <a:ext cx="2947296" cy="39338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2" name="Picture 51" descr="https://vsjcllp.vsjadon.com/upload/insp-243169-860.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533400" y="51682649"/>
            <a:ext cx="2947296" cy="39338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3" name="Picture 52" descr="https://vsjcllp.vsjadon.com/upload/insp-243169-874.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1895475" y="5797867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4" name="Picture 53" descr="https://vsjcllp.vsjadon.com/upload/insp-243169-851.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2057400" y="5573077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56" name="TextBox 55"/>
          <xdr:cNvSpPr txBox="1"/>
        </xdr:nvSpPr>
        <xdr:spPr>
          <a:xfrm>
            <a:off x="533400" y="51682649"/>
            <a:ext cx="975480" cy="37512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t>Wing</a:t>
            </a:r>
            <a:r>
              <a:rPr lang="en-IN" sz="1800" b="1" baseline="0"/>
              <a:t> E</a:t>
            </a:r>
            <a:endParaRPr lang="en-IN" sz="1800" b="1"/>
          </a:p>
        </xdr:txBody>
      </xdr:sp>
      <xdr:sp macro="" textlink="">
        <xdr:nvSpPr>
          <xdr:cNvPr id="57" name="TextBox 56"/>
          <xdr:cNvSpPr txBox="1"/>
        </xdr:nvSpPr>
        <xdr:spPr>
          <a:xfrm>
            <a:off x="3571875" y="51692174"/>
            <a:ext cx="978669" cy="37512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800" b="1"/>
              <a:t>Wing</a:t>
            </a:r>
            <a:r>
              <a:rPr lang="en-IN" sz="1800" b="1" baseline="0"/>
              <a:t> H</a:t>
            </a:r>
            <a:endParaRPr lang="en-IN" sz="1800" b="1"/>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672353</xdr:colOff>
      <xdr:row>13</xdr:row>
      <xdr:rowOff>168089</xdr:rowOff>
    </xdr:from>
    <xdr:to>
      <xdr:col>6</xdr:col>
      <xdr:colOff>710585</xdr:colOff>
      <xdr:row>32</xdr:row>
      <xdr:rowOff>148589</xdr:rowOff>
    </xdr:to>
    <xdr:pic>
      <xdr:nvPicPr>
        <xdr:cNvPr id="3" name="Picture 2"/>
        <xdr:cNvPicPr>
          <a:picLocks noChangeAspect="1"/>
        </xdr:cNvPicPr>
      </xdr:nvPicPr>
      <xdr:blipFill rotWithShape="1">
        <a:blip xmlns:r="http://schemas.openxmlformats.org/officeDocument/2006/relationships" r:embed="rId2"/>
        <a:srcRect t="235" r="-289"/>
        <a:stretch/>
      </xdr:blipFill>
      <xdr:spPr>
        <a:xfrm>
          <a:off x="1255059" y="2655795"/>
          <a:ext cx="6436791"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maps.app.goo.gl/QzNXDCUksjrUv9SX8" TargetMode="External"/><Relationship Id="rId1" Type="http://schemas.openxmlformats.org/officeDocument/2006/relationships/hyperlink" Target="https://housing.com/in/buy/projects/page/309186-ava-sereno-by-ava-lifespaces-in-vasai-east"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40"/>
  <sheetViews>
    <sheetView tabSelected="1" showWhiteSpace="0" view="pageBreakPreview" zoomScaleNormal="100" zoomScaleSheetLayoutView="100" zoomScalePageLayoutView="85" workbookViewId="0">
      <selection activeCell="L248" sqref="L248"/>
    </sheetView>
  </sheetViews>
  <sheetFormatPr defaultColWidth="9.140625" defaultRowHeight="15.75" x14ac:dyDescent="0.25"/>
  <cols>
    <col min="1" max="1" width="11.42578125" style="38" customWidth="1"/>
    <col min="2" max="2" width="12" style="38" customWidth="1"/>
    <col min="3" max="3" width="12.7109375" style="38" customWidth="1"/>
    <col min="4" max="4" width="13.7109375" style="38" customWidth="1"/>
    <col min="5" max="5" width="11.7109375" style="38" customWidth="1"/>
    <col min="6" max="6" width="11.140625" style="38" customWidth="1"/>
    <col min="7" max="7" width="11" style="38" customWidth="1"/>
    <col min="8" max="8" width="21.85546875" style="38" customWidth="1"/>
    <col min="9" max="9" width="17.42578125" style="19" customWidth="1"/>
    <col min="10" max="10" width="11.42578125" style="19" customWidth="1"/>
    <col min="11" max="11" width="10.5703125" style="19" bestFit="1" customWidth="1"/>
    <col min="12" max="12" width="13.85546875" style="19" bestFit="1" customWidth="1"/>
    <col min="13" max="13" width="11.85546875" style="19" customWidth="1"/>
    <col min="14" max="14" width="12.5703125" style="19" customWidth="1"/>
    <col min="15" max="15" width="12.140625" style="19" customWidth="1"/>
    <col min="16" max="16" width="11.7109375" style="19" customWidth="1"/>
    <col min="17" max="18" width="9.140625" style="19"/>
    <col min="19" max="19" width="10.85546875" style="19" bestFit="1" customWidth="1"/>
    <col min="20" max="20" width="10.7109375" style="19" customWidth="1"/>
    <col min="21" max="247" width="9.140625" style="19"/>
    <col min="248" max="248" width="8.7109375" style="19" customWidth="1"/>
    <col min="249" max="249" width="9.85546875" style="19" customWidth="1"/>
    <col min="250" max="250" width="14.42578125" style="19" customWidth="1"/>
    <col min="251" max="251" width="7.28515625" style="19" customWidth="1"/>
    <col min="252" max="252" width="5.5703125" style="19" customWidth="1"/>
    <col min="253" max="253" width="9" style="19" customWidth="1"/>
    <col min="254" max="255" width="9.85546875" style="19" customWidth="1"/>
    <col min="256" max="256" width="11.140625" style="19" customWidth="1"/>
    <col min="257" max="257" width="2.85546875" style="19" customWidth="1"/>
    <col min="258" max="258" width="3.5703125" style="19" customWidth="1"/>
    <col min="259" max="503" width="9.140625" style="19"/>
    <col min="504" max="504" width="8.7109375" style="19" customWidth="1"/>
    <col min="505" max="505" width="9.85546875" style="19" customWidth="1"/>
    <col min="506" max="506" width="14.42578125" style="19" customWidth="1"/>
    <col min="507" max="507" width="7.28515625" style="19" customWidth="1"/>
    <col min="508" max="508" width="5.5703125" style="19" customWidth="1"/>
    <col min="509" max="509" width="9" style="19" customWidth="1"/>
    <col min="510" max="511" width="9.85546875" style="19" customWidth="1"/>
    <col min="512" max="512" width="11.140625" style="19" customWidth="1"/>
    <col min="513" max="513" width="2.85546875" style="19" customWidth="1"/>
    <col min="514" max="514" width="3.5703125" style="19" customWidth="1"/>
    <col min="515" max="759" width="9.140625" style="19"/>
    <col min="760" max="760" width="8.7109375" style="19" customWidth="1"/>
    <col min="761" max="761" width="9.85546875" style="19" customWidth="1"/>
    <col min="762" max="762" width="14.42578125" style="19" customWidth="1"/>
    <col min="763" max="763" width="7.28515625" style="19" customWidth="1"/>
    <col min="764" max="764" width="5.5703125" style="19" customWidth="1"/>
    <col min="765" max="765" width="9" style="19" customWidth="1"/>
    <col min="766" max="767" width="9.85546875" style="19" customWidth="1"/>
    <col min="768" max="768" width="11.140625" style="19" customWidth="1"/>
    <col min="769" max="769" width="2.85546875" style="19" customWidth="1"/>
    <col min="770" max="770" width="3.5703125" style="19" customWidth="1"/>
    <col min="771" max="1015" width="9.140625" style="19"/>
    <col min="1016" max="1016" width="8.7109375" style="19" customWidth="1"/>
    <col min="1017" max="1017" width="9.85546875" style="19" customWidth="1"/>
    <col min="1018" max="1018" width="14.42578125" style="19" customWidth="1"/>
    <col min="1019" max="1019" width="7.28515625" style="19" customWidth="1"/>
    <col min="1020" max="1020" width="5.5703125" style="19" customWidth="1"/>
    <col min="1021" max="1021" width="9" style="19" customWidth="1"/>
    <col min="1022" max="1023" width="9.85546875" style="19" customWidth="1"/>
    <col min="1024" max="1024" width="11.140625" style="19" customWidth="1"/>
    <col min="1025" max="1025" width="2.85546875" style="19" customWidth="1"/>
    <col min="1026" max="1026" width="3.5703125" style="19" customWidth="1"/>
    <col min="1027" max="1271" width="9.140625" style="19"/>
    <col min="1272" max="1272" width="8.7109375" style="19" customWidth="1"/>
    <col min="1273" max="1273" width="9.85546875" style="19" customWidth="1"/>
    <col min="1274" max="1274" width="14.42578125" style="19" customWidth="1"/>
    <col min="1275" max="1275" width="7.28515625" style="19" customWidth="1"/>
    <col min="1276" max="1276" width="5.5703125" style="19" customWidth="1"/>
    <col min="1277" max="1277" width="9" style="19" customWidth="1"/>
    <col min="1278" max="1279" width="9.85546875" style="19" customWidth="1"/>
    <col min="1280" max="1280" width="11.140625" style="19" customWidth="1"/>
    <col min="1281" max="1281" width="2.85546875" style="19" customWidth="1"/>
    <col min="1282" max="1282" width="3.5703125" style="19" customWidth="1"/>
    <col min="1283" max="1527" width="9.140625" style="19"/>
    <col min="1528" max="1528" width="8.7109375" style="19" customWidth="1"/>
    <col min="1529" max="1529" width="9.85546875" style="19" customWidth="1"/>
    <col min="1530" max="1530" width="14.42578125" style="19" customWidth="1"/>
    <col min="1531" max="1531" width="7.28515625" style="19" customWidth="1"/>
    <col min="1532" max="1532" width="5.5703125" style="19" customWidth="1"/>
    <col min="1533" max="1533" width="9" style="19" customWidth="1"/>
    <col min="1534" max="1535" width="9.85546875" style="19" customWidth="1"/>
    <col min="1536" max="1536" width="11.140625" style="19" customWidth="1"/>
    <col min="1537" max="1537" width="2.85546875" style="19" customWidth="1"/>
    <col min="1538" max="1538" width="3.5703125" style="19" customWidth="1"/>
    <col min="1539" max="1783" width="9.140625" style="19"/>
    <col min="1784" max="1784" width="8.7109375" style="19" customWidth="1"/>
    <col min="1785" max="1785" width="9.85546875" style="19" customWidth="1"/>
    <col min="1786" max="1786" width="14.42578125" style="19" customWidth="1"/>
    <col min="1787" max="1787" width="7.28515625" style="19" customWidth="1"/>
    <col min="1788" max="1788" width="5.5703125" style="19" customWidth="1"/>
    <col min="1789" max="1789" width="9" style="19" customWidth="1"/>
    <col min="1790" max="1791" width="9.85546875" style="19" customWidth="1"/>
    <col min="1792" max="1792" width="11.140625" style="19" customWidth="1"/>
    <col min="1793" max="1793" width="2.85546875" style="19" customWidth="1"/>
    <col min="1794" max="1794" width="3.5703125" style="19" customWidth="1"/>
    <col min="1795" max="2039" width="9.140625" style="19"/>
    <col min="2040" max="2040" width="8.7109375" style="19" customWidth="1"/>
    <col min="2041" max="2041" width="9.85546875" style="19" customWidth="1"/>
    <col min="2042" max="2042" width="14.42578125" style="19" customWidth="1"/>
    <col min="2043" max="2043" width="7.28515625" style="19" customWidth="1"/>
    <col min="2044" max="2044" width="5.5703125" style="19" customWidth="1"/>
    <col min="2045" max="2045" width="9" style="19" customWidth="1"/>
    <col min="2046" max="2047" width="9.85546875" style="19" customWidth="1"/>
    <col min="2048" max="2048" width="11.140625" style="19" customWidth="1"/>
    <col min="2049" max="2049" width="2.85546875" style="19" customWidth="1"/>
    <col min="2050" max="2050" width="3.5703125" style="19" customWidth="1"/>
    <col min="2051" max="2295" width="9.140625" style="19"/>
    <col min="2296" max="2296" width="8.7109375" style="19" customWidth="1"/>
    <col min="2297" max="2297" width="9.85546875" style="19" customWidth="1"/>
    <col min="2298" max="2298" width="14.42578125" style="19" customWidth="1"/>
    <col min="2299" max="2299" width="7.28515625" style="19" customWidth="1"/>
    <col min="2300" max="2300" width="5.5703125" style="19" customWidth="1"/>
    <col min="2301" max="2301" width="9" style="19" customWidth="1"/>
    <col min="2302" max="2303" width="9.85546875" style="19" customWidth="1"/>
    <col min="2304" max="2304" width="11.140625" style="19" customWidth="1"/>
    <col min="2305" max="2305" width="2.85546875" style="19" customWidth="1"/>
    <col min="2306" max="2306" width="3.5703125" style="19" customWidth="1"/>
    <col min="2307" max="2551" width="9.140625" style="19"/>
    <col min="2552" max="2552" width="8.7109375" style="19" customWidth="1"/>
    <col min="2553" max="2553" width="9.85546875" style="19" customWidth="1"/>
    <col min="2554" max="2554" width="14.42578125" style="19" customWidth="1"/>
    <col min="2555" max="2555" width="7.28515625" style="19" customWidth="1"/>
    <col min="2556" max="2556" width="5.5703125" style="19" customWidth="1"/>
    <col min="2557" max="2557" width="9" style="19" customWidth="1"/>
    <col min="2558" max="2559" width="9.85546875" style="19" customWidth="1"/>
    <col min="2560" max="2560" width="11.140625" style="19" customWidth="1"/>
    <col min="2561" max="2561" width="2.85546875" style="19" customWidth="1"/>
    <col min="2562" max="2562" width="3.5703125" style="19" customWidth="1"/>
    <col min="2563" max="2807" width="9.140625" style="19"/>
    <col min="2808" max="2808" width="8.7109375" style="19" customWidth="1"/>
    <col min="2809" max="2809" width="9.85546875" style="19" customWidth="1"/>
    <col min="2810" max="2810" width="14.42578125" style="19" customWidth="1"/>
    <col min="2811" max="2811" width="7.28515625" style="19" customWidth="1"/>
    <col min="2812" max="2812" width="5.5703125" style="19" customWidth="1"/>
    <col min="2813" max="2813" width="9" style="19" customWidth="1"/>
    <col min="2814" max="2815" width="9.85546875" style="19" customWidth="1"/>
    <col min="2816" max="2816" width="11.140625" style="19" customWidth="1"/>
    <col min="2817" max="2817" width="2.85546875" style="19" customWidth="1"/>
    <col min="2818" max="2818" width="3.5703125" style="19" customWidth="1"/>
    <col min="2819" max="3063" width="9.140625" style="19"/>
    <col min="3064" max="3064" width="8.7109375" style="19" customWidth="1"/>
    <col min="3065" max="3065" width="9.85546875" style="19" customWidth="1"/>
    <col min="3066" max="3066" width="14.42578125" style="19" customWidth="1"/>
    <col min="3067" max="3067" width="7.28515625" style="19" customWidth="1"/>
    <col min="3068" max="3068" width="5.5703125" style="19" customWidth="1"/>
    <col min="3069" max="3069" width="9" style="19" customWidth="1"/>
    <col min="3070" max="3071" width="9.85546875" style="19" customWidth="1"/>
    <col min="3072" max="3072" width="11.140625" style="19" customWidth="1"/>
    <col min="3073" max="3073" width="2.85546875" style="19" customWidth="1"/>
    <col min="3074" max="3074" width="3.5703125" style="19" customWidth="1"/>
    <col min="3075" max="3319" width="9.140625" style="19"/>
    <col min="3320" max="3320" width="8.7109375" style="19" customWidth="1"/>
    <col min="3321" max="3321" width="9.85546875" style="19" customWidth="1"/>
    <col min="3322" max="3322" width="14.42578125" style="19" customWidth="1"/>
    <col min="3323" max="3323" width="7.28515625" style="19" customWidth="1"/>
    <col min="3324" max="3324" width="5.5703125" style="19" customWidth="1"/>
    <col min="3325" max="3325" width="9" style="19" customWidth="1"/>
    <col min="3326" max="3327" width="9.85546875" style="19" customWidth="1"/>
    <col min="3328" max="3328" width="11.140625" style="19" customWidth="1"/>
    <col min="3329" max="3329" width="2.85546875" style="19" customWidth="1"/>
    <col min="3330" max="3330" width="3.5703125" style="19" customWidth="1"/>
    <col min="3331" max="3575" width="9.140625" style="19"/>
    <col min="3576" max="3576" width="8.7109375" style="19" customWidth="1"/>
    <col min="3577" max="3577" width="9.85546875" style="19" customWidth="1"/>
    <col min="3578" max="3578" width="14.42578125" style="19" customWidth="1"/>
    <col min="3579" max="3579" width="7.28515625" style="19" customWidth="1"/>
    <col min="3580" max="3580" width="5.5703125" style="19" customWidth="1"/>
    <col min="3581" max="3581" width="9" style="19" customWidth="1"/>
    <col min="3582" max="3583" width="9.85546875" style="19" customWidth="1"/>
    <col min="3584" max="3584" width="11.140625" style="19" customWidth="1"/>
    <col min="3585" max="3585" width="2.85546875" style="19" customWidth="1"/>
    <col min="3586" max="3586" width="3.5703125" style="19" customWidth="1"/>
    <col min="3587" max="3831" width="9.140625" style="19"/>
    <col min="3832" max="3832" width="8.7109375" style="19" customWidth="1"/>
    <col min="3833" max="3833" width="9.85546875" style="19" customWidth="1"/>
    <col min="3834" max="3834" width="14.42578125" style="19" customWidth="1"/>
    <col min="3835" max="3835" width="7.28515625" style="19" customWidth="1"/>
    <col min="3836" max="3836" width="5.5703125" style="19" customWidth="1"/>
    <col min="3837" max="3837" width="9" style="19" customWidth="1"/>
    <col min="3838" max="3839" width="9.85546875" style="19" customWidth="1"/>
    <col min="3840" max="3840" width="11.140625" style="19" customWidth="1"/>
    <col min="3841" max="3841" width="2.85546875" style="19" customWidth="1"/>
    <col min="3842" max="3842" width="3.5703125" style="19" customWidth="1"/>
    <col min="3843" max="4087" width="9.140625" style="19"/>
    <col min="4088" max="4088" width="8.7109375" style="19" customWidth="1"/>
    <col min="4089" max="4089" width="9.85546875" style="19" customWidth="1"/>
    <col min="4090" max="4090" width="14.42578125" style="19" customWidth="1"/>
    <col min="4091" max="4091" width="7.28515625" style="19" customWidth="1"/>
    <col min="4092" max="4092" width="5.5703125" style="19" customWidth="1"/>
    <col min="4093" max="4093" width="9" style="19" customWidth="1"/>
    <col min="4094" max="4095" width="9.85546875" style="19" customWidth="1"/>
    <col min="4096" max="4096" width="11.140625" style="19" customWidth="1"/>
    <col min="4097" max="4097" width="2.85546875" style="19" customWidth="1"/>
    <col min="4098" max="4098" width="3.5703125" style="19" customWidth="1"/>
    <col min="4099" max="4343" width="9.140625" style="19"/>
    <col min="4344" max="4344" width="8.7109375" style="19" customWidth="1"/>
    <col min="4345" max="4345" width="9.85546875" style="19" customWidth="1"/>
    <col min="4346" max="4346" width="14.42578125" style="19" customWidth="1"/>
    <col min="4347" max="4347" width="7.28515625" style="19" customWidth="1"/>
    <col min="4348" max="4348" width="5.5703125" style="19" customWidth="1"/>
    <col min="4349" max="4349" width="9" style="19" customWidth="1"/>
    <col min="4350" max="4351" width="9.85546875" style="19" customWidth="1"/>
    <col min="4352" max="4352" width="11.140625" style="19" customWidth="1"/>
    <col min="4353" max="4353" width="2.85546875" style="19" customWidth="1"/>
    <col min="4354" max="4354" width="3.5703125" style="19" customWidth="1"/>
    <col min="4355" max="4599" width="9.140625" style="19"/>
    <col min="4600" max="4600" width="8.7109375" style="19" customWidth="1"/>
    <col min="4601" max="4601" width="9.85546875" style="19" customWidth="1"/>
    <col min="4602" max="4602" width="14.42578125" style="19" customWidth="1"/>
    <col min="4603" max="4603" width="7.28515625" style="19" customWidth="1"/>
    <col min="4604" max="4604" width="5.5703125" style="19" customWidth="1"/>
    <col min="4605" max="4605" width="9" style="19" customWidth="1"/>
    <col min="4606" max="4607" width="9.85546875" style="19" customWidth="1"/>
    <col min="4608" max="4608" width="11.140625" style="19" customWidth="1"/>
    <col min="4609" max="4609" width="2.85546875" style="19" customWidth="1"/>
    <col min="4610" max="4610" width="3.5703125" style="19" customWidth="1"/>
    <col min="4611" max="4855" width="9.140625" style="19"/>
    <col min="4856" max="4856" width="8.7109375" style="19" customWidth="1"/>
    <col min="4857" max="4857" width="9.85546875" style="19" customWidth="1"/>
    <col min="4858" max="4858" width="14.42578125" style="19" customWidth="1"/>
    <col min="4859" max="4859" width="7.28515625" style="19" customWidth="1"/>
    <col min="4860" max="4860" width="5.5703125" style="19" customWidth="1"/>
    <col min="4861" max="4861" width="9" style="19" customWidth="1"/>
    <col min="4862" max="4863" width="9.85546875" style="19" customWidth="1"/>
    <col min="4864" max="4864" width="11.140625" style="19" customWidth="1"/>
    <col min="4865" max="4865" width="2.85546875" style="19" customWidth="1"/>
    <col min="4866" max="4866" width="3.5703125" style="19" customWidth="1"/>
    <col min="4867" max="5111" width="9.140625" style="19"/>
    <col min="5112" max="5112" width="8.7109375" style="19" customWidth="1"/>
    <col min="5113" max="5113" width="9.85546875" style="19" customWidth="1"/>
    <col min="5114" max="5114" width="14.42578125" style="19" customWidth="1"/>
    <col min="5115" max="5115" width="7.28515625" style="19" customWidth="1"/>
    <col min="5116" max="5116" width="5.5703125" style="19" customWidth="1"/>
    <col min="5117" max="5117" width="9" style="19" customWidth="1"/>
    <col min="5118" max="5119" width="9.85546875" style="19" customWidth="1"/>
    <col min="5120" max="5120" width="11.140625" style="19" customWidth="1"/>
    <col min="5121" max="5121" width="2.85546875" style="19" customWidth="1"/>
    <col min="5122" max="5122" width="3.5703125" style="19" customWidth="1"/>
    <col min="5123" max="5367" width="9.140625" style="19"/>
    <col min="5368" max="5368" width="8.7109375" style="19" customWidth="1"/>
    <col min="5369" max="5369" width="9.85546875" style="19" customWidth="1"/>
    <col min="5370" max="5370" width="14.42578125" style="19" customWidth="1"/>
    <col min="5371" max="5371" width="7.28515625" style="19" customWidth="1"/>
    <col min="5372" max="5372" width="5.5703125" style="19" customWidth="1"/>
    <col min="5373" max="5373" width="9" style="19" customWidth="1"/>
    <col min="5374" max="5375" width="9.85546875" style="19" customWidth="1"/>
    <col min="5376" max="5376" width="11.140625" style="19" customWidth="1"/>
    <col min="5377" max="5377" width="2.85546875" style="19" customWidth="1"/>
    <col min="5378" max="5378" width="3.5703125" style="19" customWidth="1"/>
    <col min="5379" max="5623" width="9.140625" style="19"/>
    <col min="5624" max="5624" width="8.7109375" style="19" customWidth="1"/>
    <col min="5625" max="5625" width="9.85546875" style="19" customWidth="1"/>
    <col min="5626" max="5626" width="14.42578125" style="19" customWidth="1"/>
    <col min="5627" max="5627" width="7.28515625" style="19" customWidth="1"/>
    <col min="5628" max="5628" width="5.5703125" style="19" customWidth="1"/>
    <col min="5629" max="5629" width="9" style="19" customWidth="1"/>
    <col min="5630" max="5631" width="9.85546875" style="19" customWidth="1"/>
    <col min="5632" max="5632" width="11.140625" style="19" customWidth="1"/>
    <col min="5633" max="5633" width="2.85546875" style="19" customWidth="1"/>
    <col min="5634" max="5634" width="3.5703125" style="19" customWidth="1"/>
    <col min="5635" max="5879" width="9.140625" style="19"/>
    <col min="5880" max="5880" width="8.7109375" style="19" customWidth="1"/>
    <col min="5881" max="5881" width="9.85546875" style="19" customWidth="1"/>
    <col min="5882" max="5882" width="14.42578125" style="19" customWidth="1"/>
    <col min="5883" max="5883" width="7.28515625" style="19" customWidth="1"/>
    <col min="5884" max="5884" width="5.5703125" style="19" customWidth="1"/>
    <col min="5885" max="5885" width="9" style="19" customWidth="1"/>
    <col min="5886" max="5887" width="9.85546875" style="19" customWidth="1"/>
    <col min="5888" max="5888" width="11.140625" style="19" customWidth="1"/>
    <col min="5889" max="5889" width="2.85546875" style="19" customWidth="1"/>
    <col min="5890" max="5890" width="3.5703125" style="19" customWidth="1"/>
    <col min="5891" max="6135" width="9.140625" style="19"/>
    <col min="6136" max="6136" width="8.7109375" style="19" customWidth="1"/>
    <col min="6137" max="6137" width="9.85546875" style="19" customWidth="1"/>
    <col min="6138" max="6138" width="14.42578125" style="19" customWidth="1"/>
    <col min="6139" max="6139" width="7.28515625" style="19" customWidth="1"/>
    <col min="6140" max="6140" width="5.5703125" style="19" customWidth="1"/>
    <col min="6141" max="6141" width="9" style="19" customWidth="1"/>
    <col min="6142" max="6143" width="9.85546875" style="19" customWidth="1"/>
    <col min="6144" max="6144" width="11.140625" style="19" customWidth="1"/>
    <col min="6145" max="6145" width="2.85546875" style="19" customWidth="1"/>
    <col min="6146" max="6146" width="3.5703125" style="19" customWidth="1"/>
    <col min="6147" max="6391" width="9.140625" style="19"/>
    <col min="6392" max="6392" width="8.7109375" style="19" customWidth="1"/>
    <col min="6393" max="6393" width="9.85546875" style="19" customWidth="1"/>
    <col min="6394" max="6394" width="14.42578125" style="19" customWidth="1"/>
    <col min="6395" max="6395" width="7.28515625" style="19" customWidth="1"/>
    <col min="6396" max="6396" width="5.5703125" style="19" customWidth="1"/>
    <col min="6397" max="6397" width="9" style="19" customWidth="1"/>
    <col min="6398" max="6399" width="9.85546875" style="19" customWidth="1"/>
    <col min="6400" max="6400" width="11.140625" style="19" customWidth="1"/>
    <col min="6401" max="6401" width="2.85546875" style="19" customWidth="1"/>
    <col min="6402" max="6402" width="3.5703125" style="19" customWidth="1"/>
    <col min="6403" max="6647" width="9.140625" style="19"/>
    <col min="6648" max="6648" width="8.7109375" style="19" customWidth="1"/>
    <col min="6649" max="6649" width="9.85546875" style="19" customWidth="1"/>
    <col min="6650" max="6650" width="14.42578125" style="19" customWidth="1"/>
    <col min="6651" max="6651" width="7.28515625" style="19" customWidth="1"/>
    <col min="6652" max="6652" width="5.5703125" style="19" customWidth="1"/>
    <col min="6653" max="6653" width="9" style="19" customWidth="1"/>
    <col min="6654" max="6655" width="9.85546875" style="19" customWidth="1"/>
    <col min="6656" max="6656" width="11.140625" style="19" customWidth="1"/>
    <col min="6657" max="6657" width="2.85546875" style="19" customWidth="1"/>
    <col min="6658" max="6658" width="3.5703125" style="19" customWidth="1"/>
    <col min="6659" max="6903" width="9.140625" style="19"/>
    <col min="6904" max="6904" width="8.7109375" style="19" customWidth="1"/>
    <col min="6905" max="6905" width="9.85546875" style="19" customWidth="1"/>
    <col min="6906" max="6906" width="14.42578125" style="19" customWidth="1"/>
    <col min="6907" max="6907" width="7.28515625" style="19" customWidth="1"/>
    <col min="6908" max="6908" width="5.5703125" style="19" customWidth="1"/>
    <col min="6909" max="6909" width="9" style="19" customWidth="1"/>
    <col min="6910" max="6911" width="9.85546875" style="19" customWidth="1"/>
    <col min="6912" max="6912" width="11.140625" style="19" customWidth="1"/>
    <col min="6913" max="6913" width="2.85546875" style="19" customWidth="1"/>
    <col min="6914" max="6914" width="3.5703125" style="19" customWidth="1"/>
    <col min="6915" max="7159" width="9.140625" style="19"/>
    <col min="7160" max="7160" width="8.7109375" style="19" customWidth="1"/>
    <col min="7161" max="7161" width="9.85546875" style="19" customWidth="1"/>
    <col min="7162" max="7162" width="14.42578125" style="19" customWidth="1"/>
    <col min="7163" max="7163" width="7.28515625" style="19" customWidth="1"/>
    <col min="7164" max="7164" width="5.5703125" style="19" customWidth="1"/>
    <col min="7165" max="7165" width="9" style="19" customWidth="1"/>
    <col min="7166" max="7167" width="9.85546875" style="19" customWidth="1"/>
    <col min="7168" max="7168" width="11.140625" style="19" customWidth="1"/>
    <col min="7169" max="7169" width="2.85546875" style="19" customWidth="1"/>
    <col min="7170" max="7170" width="3.5703125" style="19" customWidth="1"/>
    <col min="7171" max="7415" width="9.140625" style="19"/>
    <col min="7416" max="7416" width="8.7109375" style="19" customWidth="1"/>
    <col min="7417" max="7417" width="9.85546875" style="19" customWidth="1"/>
    <col min="7418" max="7418" width="14.42578125" style="19" customWidth="1"/>
    <col min="7419" max="7419" width="7.28515625" style="19" customWidth="1"/>
    <col min="7420" max="7420" width="5.5703125" style="19" customWidth="1"/>
    <col min="7421" max="7421" width="9" style="19" customWidth="1"/>
    <col min="7422" max="7423" width="9.85546875" style="19" customWidth="1"/>
    <col min="7424" max="7424" width="11.140625" style="19" customWidth="1"/>
    <col min="7425" max="7425" width="2.85546875" style="19" customWidth="1"/>
    <col min="7426" max="7426" width="3.5703125" style="19" customWidth="1"/>
    <col min="7427" max="7671" width="9.140625" style="19"/>
    <col min="7672" max="7672" width="8.7109375" style="19" customWidth="1"/>
    <col min="7673" max="7673" width="9.85546875" style="19" customWidth="1"/>
    <col min="7674" max="7674" width="14.42578125" style="19" customWidth="1"/>
    <col min="7675" max="7675" width="7.28515625" style="19" customWidth="1"/>
    <col min="7676" max="7676" width="5.5703125" style="19" customWidth="1"/>
    <col min="7677" max="7677" width="9" style="19" customWidth="1"/>
    <col min="7678" max="7679" width="9.85546875" style="19" customWidth="1"/>
    <col min="7680" max="7680" width="11.140625" style="19" customWidth="1"/>
    <col min="7681" max="7681" width="2.85546875" style="19" customWidth="1"/>
    <col min="7682" max="7682" width="3.5703125" style="19" customWidth="1"/>
    <col min="7683" max="7927" width="9.140625" style="19"/>
    <col min="7928" max="7928" width="8.7109375" style="19" customWidth="1"/>
    <col min="7929" max="7929" width="9.85546875" style="19" customWidth="1"/>
    <col min="7930" max="7930" width="14.42578125" style="19" customWidth="1"/>
    <col min="7931" max="7931" width="7.28515625" style="19" customWidth="1"/>
    <col min="7932" max="7932" width="5.5703125" style="19" customWidth="1"/>
    <col min="7933" max="7933" width="9" style="19" customWidth="1"/>
    <col min="7934" max="7935" width="9.85546875" style="19" customWidth="1"/>
    <col min="7936" max="7936" width="11.140625" style="19" customWidth="1"/>
    <col min="7937" max="7937" width="2.85546875" style="19" customWidth="1"/>
    <col min="7938" max="7938" width="3.5703125" style="19" customWidth="1"/>
    <col min="7939" max="8183" width="9.140625" style="19"/>
    <col min="8184" max="8184" width="8.7109375" style="19" customWidth="1"/>
    <col min="8185" max="8185" width="9.85546875" style="19" customWidth="1"/>
    <col min="8186" max="8186" width="14.42578125" style="19" customWidth="1"/>
    <col min="8187" max="8187" width="7.28515625" style="19" customWidth="1"/>
    <col min="8188" max="8188" width="5.5703125" style="19" customWidth="1"/>
    <col min="8189" max="8189" width="9" style="19" customWidth="1"/>
    <col min="8190" max="8191" width="9.85546875" style="19" customWidth="1"/>
    <col min="8192" max="8192" width="11.140625" style="19" customWidth="1"/>
    <col min="8193" max="8193" width="2.85546875" style="19" customWidth="1"/>
    <col min="8194" max="8194" width="3.5703125" style="19" customWidth="1"/>
    <col min="8195" max="8439" width="9.140625" style="19"/>
    <col min="8440" max="8440" width="8.7109375" style="19" customWidth="1"/>
    <col min="8441" max="8441" width="9.85546875" style="19" customWidth="1"/>
    <col min="8442" max="8442" width="14.42578125" style="19" customWidth="1"/>
    <col min="8443" max="8443" width="7.28515625" style="19" customWidth="1"/>
    <col min="8444" max="8444" width="5.5703125" style="19" customWidth="1"/>
    <col min="8445" max="8445" width="9" style="19" customWidth="1"/>
    <col min="8446" max="8447" width="9.85546875" style="19" customWidth="1"/>
    <col min="8448" max="8448" width="11.140625" style="19" customWidth="1"/>
    <col min="8449" max="8449" width="2.85546875" style="19" customWidth="1"/>
    <col min="8450" max="8450" width="3.5703125" style="19" customWidth="1"/>
    <col min="8451" max="8695" width="9.140625" style="19"/>
    <col min="8696" max="8696" width="8.7109375" style="19" customWidth="1"/>
    <col min="8697" max="8697" width="9.85546875" style="19" customWidth="1"/>
    <col min="8698" max="8698" width="14.42578125" style="19" customWidth="1"/>
    <col min="8699" max="8699" width="7.28515625" style="19" customWidth="1"/>
    <col min="8700" max="8700" width="5.5703125" style="19" customWidth="1"/>
    <col min="8701" max="8701" width="9" style="19" customWidth="1"/>
    <col min="8702" max="8703" width="9.85546875" style="19" customWidth="1"/>
    <col min="8704" max="8704" width="11.140625" style="19" customWidth="1"/>
    <col min="8705" max="8705" width="2.85546875" style="19" customWidth="1"/>
    <col min="8706" max="8706" width="3.5703125" style="19" customWidth="1"/>
    <col min="8707" max="8951" width="9.140625" style="19"/>
    <col min="8952" max="8952" width="8.7109375" style="19" customWidth="1"/>
    <col min="8953" max="8953" width="9.85546875" style="19" customWidth="1"/>
    <col min="8954" max="8954" width="14.42578125" style="19" customWidth="1"/>
    <col min="8955" max="8955" width="7.28515625" style="19" customWidth="1"/>
    <col min="8956" max="8956" width="5.5703125" style="19" customWidth="1"/>
    <col min="8957" max="8957" width="9" style="19" customWidth="1"/>
    <col min="8958" max="8959" width="9.85546875" style="19" customWidth="1"/>
    <col min="8960" max="8960" width="11.140625" style="19" customWidth="1"/>
    <col min="8961" max="8961" width="2.85546875" style="19" customWidth="1"/>
    <col min="8962" max="8962" width="3.5703125" style="19" customWidth="1"/>
    <col min="8963" max="9207" width="9.140625" style="19"/>
    <col min="9208" max="9208" width="8.7109375" style="19" customWidth="1"/>
    <col min="9209" max="9209" width="9.85546875" style="19" customWidth="1"/>
    <col min="9210" max="9210" width="14.42578125" style="19" customWidth="1"/>
    <col min="9211" max="9211" width="7.28515625" style="19" customWidth="1"/>
    <col min="9212" max="9212" width="5.5703125" style="19" customWidth="1"/>
    <col min="9213" max="9213" width="9" style="19" customWidth="1"/>
    <col min="9214" max="9215" width="9.85546875" style="19" customWidth="1"/>
    <col min="9216" max="9216" width="11.140625" style="19" customWidth="1"/>
    <col min="9217" max="9217" width="2.85546875" style="19" customWidth="1"/>
    <col min="9218" max="9218" width="3.5703125" style="19" customWidth="1"/>
    <col min="9219" max="9463" width="9.140625" style="19"/>
    <col min="9464" max="9464" width="8.7109375" style="19" customWidth="1"/>
    <col min="9465" max="9465" width="9.85546875" style="19" customWidth="1"/>
    <col min="9466" max="9466" width="14.42578125" style="19" customWidth="1"/>
    <col min="9467" max="9467" width="7.28515625" style="19" customWidth="1"/>
    <col min="9468" max="9468" width="5.5703125" style="19" customWidth="1"/>
    <col min="9469" max="9469" width="9" style="19" customWidth="1"/>
    <col min="9470" max="9471" width="9.85546875" style="19" customWidth="1"/>
    <col min="9472" max="9472" width="11.140625" style="19" customWidth="1"/>
    <col min="9473" max="9473" width="2.85546875" style="19" customWidth="1"/>
    <col min="9474" max="9474" width="3.5703125" style="19" customWidth="1"/>
    <col min="9475" max="9719" width="9.140625" style="19"/>
    <col min="9720" max="9720" width="8.7109375" style="19" customWidth="1"/>
    <col min="9721" max="9721" width="9.85546875" style="19" customWidth="1"/>
    <col min="9722" max="9722" width="14.42578125" style="19" customWidth="1"/>
    <col min="9723" max="9723" width="7.28515625" style="19" customWidth="1"/>
    <col min="9724" max="9724" width="5.5703125" style="19" customWidth="1"/>
    <col min="9725" max="9725" width="9" style="19" customWidth="1"/>
    <col min="9726" max="9727" width="9.85546875" style="19" customWidth="1"/>
    <col min="9728" max="9728" width="11.140625" style="19" customWidth="1"/>
    <col min="9729" max="9729" width="2.85546875" style="19" customWidth="1"/>
    <col min="9730" max="9730" width="3.5703125" style="19" customWidth="1"/>
    <col min="9731" max="9975" width="9.140625" style="19"/>
    <col min="9976" max="9976" width="8.7109375" style="19" customWidth="1"/>
    <col min="9977" max="9977" width="9.85546875" style="19" customWidth="1"/>
    <col min="9978" max="9978" width="14.42578125" style="19" customWidth="1"/>
    <col min="9979" max="9979" width="7.28515625" style="19" customWidth="1"/>
    <col min="9980" max="9980" width="5.5703125" style="19" customWidth="1"/>
    <col min="9981" max="9981" width="9" style="19" customWidth="1"/>
    <col min="9982" max="9983" width="9.85546875" style="19" customWidth="1"/>
    <col min="9984" max="9984" width="11.140625" style="19" customWidth="1"/>
    <col min="9985" max="9985" width="2.85546875" style="19" customWidth="1"/>
    <col min="9986" max="9986" width="3.5703125" style="19" customWidth="1"/>
    <col min="9987" max="10231" width="9.140625" style="19"/>
    <col min="10232" max="10232" width="8.7109375" style="19" customWidth="1"/>
    <col min="10233" max="10233" width="9.85546875" style="19" customWidth="1"/>
    <col min="10234" max="10234" width="14.42578125" style="19" customWidth="1"/>
    <col min="10235" max="10235" width="7.28515625" style="19" customWidth="1"/>
    <col min="10236" max="10236" width="5.5703125" style="19" customWidth="1"/>
    <col min="10237" max="10237" width="9" style="19" customWidth="1"/>
    <col min="10238" max="10239" width="9.85546875" style="19" customWidth="1"/>
    <col min="10240" max="10240" width="11.140625" style="19" customWidth="1"/>
    <col min="10241" max="10241" width="2.85546875" style="19" customWidth="1"/>
    <col min="10242" max="10242" width="3.5703125" style="19" customWidth="1"/>
    <col min="10243" max="10487" width="9.140625" style="19"/>
    <col min="10488" max="10488" width="8.7109375" style="19" customWidth="1"/>
    <col min="10489" max="10489" width="9.85546875" style="19" customWidth="1"/>
    <col min="10490" max="10490" width="14.42578125" style="19" customWidth="1"/>
    <col min="10491" max="10491" width="7.28515625" style="19" customWidth="1"/>
    <col min="10492" max="10492" width="5.5703125" style="19" customWidth="1"/>
    <col min="10493" max="10493" width="9" style="19" customWidth="1"/>
    <col min="10494" max="10495" width="9.85546875" style="19" customWidth="1"/>
    <col min="10496" max="10496" width="11.140625" style="19" customWidth="1"/>
    <col min="10497" max="10497" width="2.85546875" style="19" customWidth="1"/>
    <col min="10498" max="10498" width="3.5703125" style="19" customWidth="1"/>
    <col min="10499" max="10743" width="9.140625" style="19"/>
    <col min="10744" max="10744" width="8.7109375" style="19" customWidth="1"/>
    <col min="10745" max="10745" width="9.85546875" style="19" customWidth="1"/>
    <col min="10746" max="10746" width="14.42578125" style="19" customWidth="1"/>
    <col min="10747" max="10747" width="7.28515625" style="19" customWidth="1"/>
    <col min="10748" max="10748" width="5.5703125" style="19" customWidth="1"/>
    <col min="10749" max="10749" width="9" style="19" customWidth="1"/>
    <col min="10750" max="10751" width="9.85546875" style="19" customWidth="1"/>
    <col min="10752" max="10752" width="11.140625" style="19" customWidth="1"/>
    <col min="10753" max="10753" width="2.85546875" style="19" customWidth="1"/>
    <col min="10754" max="10754" width="3.5703125" style="19" customWidth="1"/>
    <col min="10755" max="10999" width="9.140625" style="19"/>
    <col min="11000" max="11000" width="8.7109375" style="19" customWidth="1"/>
    <col min="11001" max="11001" width="9.85546875" style="19" customWidth="1"/>
    <col min="11002" max="11002" width="14.42578125" style="19" customWidth="1"/>
    <col min="11003" max="11003" width="7.28515625" style="19" customWidth="1"/>
    <col min="11004" max="11004" width="5.5703125" style="19" customWidth="1"/>
    <col min="11005" max="11005" width="9" style="19" customWidth="1"/>
    <col min="11006" max="11007" width="9.85546875" style="19" customWidth="1"/>
    <col min="11008" max="11008" width="11.140625" style="19" customWidth="1"/>
    <col min="11009" max="11009" width="2.85546875" style="19" customWidth="1"/>
    <col min="11010" max="11010" width="3.5703125" style="19" customWidth="1"/>
    <col min="11011" max="11255" width="9.140625" style="19"/>
    <col min="11256" max="11256" width="8.7109375" style="19" customWidth="1"/>
    <col min="11257" max="11257" width="9.85546875" style="19" customWidth="1"/>
    <col min="11258" max="11258" width="14.42578125" style="19" customWidth="1"/>
    <col min="11259" max="11259" width="7.28515625" style="19" customWidth="1"/>
    <col min="11260" max="11260" width="5.5703125" style="19" customWidth="1"/>
    <col min="11261" max="11261" width="9" style="19" customWidth="1"/>
    <col min="11262" max="11263" width="9.85546875" style="19" customWidth="1"/>
    <col min="11264" max="11264" width="11.140625" style="19" customWidth="1"/>
    <col min="11265" max="11265" width="2.85546875" style="19" customWidth="1"/>
    <col min="11266" max="11266" width="3.5703125" style="19" customWidth="1"/>
    <col min="11267" max="11511" width="9.140625" style="19"/>
    <col min="11512" max="11512" width="8.7109375" style="19" customWidth="1"/>
    <col min="11513" max="11513" width="9.85546875" style="19" customWidth="1"/>
    <col min="11514" max="11514" width="14.42578125" style="19" customWidth="1"/>
    <col min="11515" max="11515" width="7.28515625" style="19" customWidth="1"/>
    <col min="11516" max="11516" width="5.5703125" style="19" customWidth="1"/>
    <col min="11517" max="11517" width="9" style="19" customWidth="1"/>
    <col min="11518" max="11519" width="9.85546875" style="19" customWidth="1"/>
    <col min="11520" max="11520" width="11.140625" style="19" customWidth="1"/>
    <col min="11521" max="11521" width="2.85546875" style="19" customWidth="1"/>
    <col min="11522" max="11522" width="3.5703125" style="19" customWidth="1"/>
    <col min="11523" max="11767" width="9.140625" style="19"/>
    <col min="11768" max="11768" width="8.7109375" style="19" customWidth="1"/>
    <col min="11769" max="11769" width="9.85546875" style="19" customWidth="1"/>
    <col min="11770" max="11770" width="14.42578125" style="19" customWidth="1"/>
    <col min="11771" max="11771" width="7.28515625" style="19" customWidth="1"/>
    <col min="11772" max="11772" width="5.5703125" style="19" customWidth="1"/>
    <col min="11773" max="11773" width="9" style="19" customWidth="1"/>
    <col min="11774" max="11775" width="9.85546875" style="19" customWidth="1"/>
    <col min="11776" max="11776" width="11.140625" style="19" customWidth="1"/>
    <col min="11777" max="11777" width="2.85546875" style="19" customWidth="1"/>
    <col min="11778" max="11778" width="3.5703125" style="19" customWidth="1"/>
    <col min="11779" max="12023" width="9.140625" style="19"/>
    <col min="12024" max="12024" width="8.7109375" style="19" customWidth="1"/>
    <col min="12025" max="12025" width="9.85546875" style="19" customWidth="1"/>
    <col min="12026" max="12026" width="14.42578125" style="19" customWidth="1"/>
    <col min="12027" max="12027" width="7.28515625" style="19" customWidth="1"/>
    <col min="12028" max="12028" width="5.5703125" style="19" customWidth="1"/>
    <col min="12029" max="12029" width="9" style="19" customWidth="1"/>
    <col min="12030" max="12031" width="9.85546875" style="19" customWidth="1"/>
    <col min="12032" max="12032" width="11.140625" style="19" customWidth="1"/>
    <col min="12033" max="12033" width="2.85546875" style="19" customWidth="1"/>
    <col min="12034" max="12034" width="3.5703125" style="19" customWidth="1"/>
    <col min="12035" max="12279" width="9.140625" style="19"/>
    <col min="12280" max="12280" width="8.7109375" style="19" customWidth="1"/>
    <col min="12281" max="12281" width="9.85546875" style="19" customWidth="1"/>
    <col min="12282" max="12282" width="14.42578125" style="19" customWidth="1"/>
    <col min="12283" max="12283" width="7.28515625" style="19" customWidth="1"/>
    <col min="12284" max="12284" width="5.5703125" style="19" customWidth="1"/>
    <col min="12285" max="12285" width="9" style="19" customWidth="1"/>
    <col min="12286" max="12287" width="9.85546875" style="19" customWidth="1"/>
    <col min="12288" max="12288" width="11.140625" style="19" customWidth="1"/>
    <col min="12289" max="12289" width="2.85546875" style="19" customWidth="1"/>
    <col min="12290" max="12290" width="3.5703125" style="19" customWidth="1"/>
    <col min="12291" max="12535" width="9.140625" style="19"/>
    <col min="12536" max="12536" width="8.7109375" style="19" customWidth="1"/>
    <col min="12537" max="12537" width="9.85546875" style="19" customWidth="1"/>
    <col min="12538" max="12538" width="14.42578125" style="19" customWidth="1"/>
    <col min="12539" max="12539" width="7.28515625" style="19" customWidth="1"/>
    <col min="12540" max="12540" width="5.5703125" style="19" customWidth="1"/>
    <col min="12541" max="12541" width="9" style="19" customWidth="1"/>
    <col min="12542" max="12543" width="9.85546875" style="19" customWidth="1"/>
    <col min="12544" max="12544" width="11.140625" style="19" customWidth="1"/>
    <col min="12545" max="12545" width="2.85546875" style="19" customWidth="1"/>
    <col min="12546" max="12546" width="3.5703125" style="19" customWidth="1"/>
    <col min="12547" max="12791" width="9.140625" style="19"/>
    <col min="12792" max="12792" width="8.7109375" style="19" customWidth="1"/>
    <col min="12793" max="12793" width="9.85546875" style="19" customWidth="1"/>
    <col min="12794" max="12794" width="14.42578125" style="19" customWidth="1"/>
    <col min="12795" max="12795" width="7.28515625" style="19" customWidth="1"/>
    <col min="12796" max="12796" width="5.5703125" style="19" customWidth="1"/>
    <col min="12797" max="12797" width="9" style="19" customWidth="1"/>
    <col min="12798" max="12799" width="9.85546875" style="19" customWidth="1"/>
    <col min="12800" max="12800" width="11.140625" style="19" customWidth="1"/>
    <col min="12801" max="12801" width="2.85546875" style="19" customWidth="1"/>
    <col min="12802" max="12802" width="3.5703125" style="19" customWidth="1"/>
    <col min="12803" max="13047" width="9.140625" style="19"/>
    <col min="13048" max="13048" width="8.7109375" style="19" customWidth="1"/>
    <col min="13049" max="13049" width="9.85546875" style="19" customWidth="1"/>
    <col min="13050" max="13050" width="14.42578125" style="19" customWidth="1"/>
    <col min="13051" max="13051" width="7.28515625" style="19" customWidth="1"/>
    <col min="13052" max="13052" width="5.5703125" style="19" customWidth="1"/>
    <col min="13053" max="13053" width="9" style="19" customWidth="1"/>
    <col min="13054" max="13055" width="9.85546875" style="19" customWidth="1"/>
    <col min="13056" max="13056" width="11.140625" style="19" customWidth="1"/>
    <col min="13057" max="13057" width="2.85546875" style="19" customWidth="1"/>
    <col min="13058" max="13058" width="3.5703125" style="19" customWidth="1"/>
    <col min="13059" max="13303" width="9.140625" style="19"/>
    <col min="13304" max="13304" width="8.7109375" style="19" customWidth="1"/>
    <col min="13305" max="13305" width="9.85546875" style="19" customWidth="1"/>
    <col min="13306" max="13306" width="14.42578125" style="19" customWidth="1"/>
    <col min="13307" max="13307" width="7.28515625" style="19" customWidth="1"/>
    <col min="13308" max="13308" width="5.5703125" style="19" customWidth="1"/>
    <col min="13309" max="13309" width="9" style="19" customWidth="1"/>
    <col min="13310" max="13311" width="9.85546875" style="19" customWidth="1"/>
    <col min="13312" max="13312" width="11.140625" style="19" customWidth="1"/>
    <col min="13313" max="13313" width="2.85546875" style="19" customWidth="1"/>
    <col min="13314" max="13314" width="3.5703125" style="19" customWidth="1"/>
    <col min="13315" max="13559" width="9.140625" style="19"/>
    <col min="13560" max="13560" width="8.7109375" style="19" customWidth="1"/>
    <col min="13561" max="13561" width="9.85546875" style="19" customWidth="1"/>
    <col min="13562" max="13562" width="14.42578125" style="19" customWidth="1"/>
    <col min="13563" max="13563" width="7.28515625" style="19" customWidth="1"/>
    <col min="13564" max="13564" width="5.5703125" style="19" customWidth="1"/>
    <col min="13565" max="13565" width="9" style="19" customWidth="1"/>
    <col min="13566" max="13567" width="9.85546875" style="19" customWidth="1"/>
    <col min="13568" max="13568" width="11.140625" style="19" customWidth="1"/>
    <col min="13569" max="13569" width="2.85546875" style="19" customWidth="1"/>
    <col min="13570" max="13570" width="3.5703125" style="19" customWidth="1"/>
    <col min="13571" max="13815" width="9.140625" style="19"/>
    <col min="13816" max="13816" width="8.7109375" style="19" customWidth="1"/>
    <col min="13817" max="13817" width="9.85546875" style="19" customWidth="1"/>
    <col min="13818" max="13818" width="14.42578125" style="19" customWidth="1"/>
    <col min="13819" max="13819" width="7.28515625" style="19" customWidth="1"/>
    <col min="13820" max="13820" width="5.5703125" style="19" customWidth="1"/>
    <col min="13821" max="13821" width="9" style="19" customWidth="1"/>
    <col min="13822" max="13823" width="9.85546875" style="19" customWidth="1"/>
    <col min="13824" max="13824" width="11.140625" style="19" customWidth="1"/>
    <col min="13825" max="13825" width="2.85546875" style="19" customWidth="1"/>
    <col min="13826" max="13826" width="3.5703125" style="19" customWidth="1"/>
    <col min="13827" max="14071" width="9.140625" style="19"/>
    <col min="14072" max="14072" width="8.7109375" style="19" customWidth="1"/>
    <col min="14073" max="14073" width="9.85546875" style="19" customWidth="1"/>
    <col min="14074" max="14074" width="14.42578125" style="19" customWidth="1"/>
    <col min="14075" max="14075" width="7.28515625" style="19" customWidth="1"/>
    <col min="14076" max="14076" width="5.5703125" style="19" customWidth="1"/>
    <col min="14077" max="14077" width="9" style="19" customWidth="1"/>
    <col min="14078" max="14079" width="9.85546875" style="19" customWidth="1"/>
    <col min="14080" max="14080" width="11.140625" style="19" customWidth="1"/>
    <col min="14081" max="14081" width="2.85546875" style="19" customWidth="1"/>
    <col min="14082" max="14082" width="3.5703125" style="19" customWidth="1"/>
    <col min="14083" max="14327" width="9.140625" style="19"/>
    <col min="14328" max="14328" width="8.7109375" style="19" customWidth="1"/>
    <col min="14329" max="14329" width="9.85546875" style="19" customWidth="1"/>
    <col min="14330" max="14330" width="14.42578125" style="19" customWidth="1"/>
    <col min="14331" max="14331" width="7.28515625" style="19" customWidth="1"/>
    <col min="14332" max="14332" width="5.5703125" style="19" customWidth="1"/>
    <col min="14333" max="14333" width="9" style="19" customWidth="1"/>
    <col min="14334" max="14335" width="9.85546875" style="19" customWidth="1"/>
    <col min="14336" max="14336" width="11.140625" style="19" customWidth="1"/>
    <col min="14337" max="14337" width="2.85546875" style="19" customWidth="1"/>
    <col min="14338" max="14338" width="3.5703125" style="19" customWidth="1"/>
    <col min="14339" max="14583" width="9.140625" style="19"/>
    <col min="14584" max="14584" width="8.7109375" style="19" customWidth="1"/>
    <col min="14585" max="14585" width="9.85546875" style="19" customWidth="1"/>
    <col min="14586" max="14586" width="14.42578125" style="19" customWidth="1"/>
    <col min="14587" max="14587" width="7.28515625" style="19" customWidth="1"/>
    <col min="14588" max="14588" width="5.5703125" style="19" customWidth="1"/>
    <col min="14589" max="14589" width="9" style="19" customWidth="1"/>
    <col min="14590" max="14591" width="9.85546875" style="19" customWidth="1"/>
    <col min="14592" max="14592" width="11.140625" style="19" customWidth="1"/>
    <col min="14593" max="14593" width="2.85546875" style="19" customWidth="1"/>
    <col min="14594" max="14594" width="3.5703125" style="19" customWidth="1"/>
    <col min="14595" max="14839" width="9.140625" style="19"/>
    <col min="14840" max="14840" width="8.7109375" style="19" customWidth="1"/>
    <col min="14841" max="14841" width="9.85546875" style="19" customWidth="1"/>
    <col min="14842" max="14842" width="14.42578125" style="19" customWidth="1"/>
    <col min="14843" max="14843" width="7.28515625" style="19" customWidth="1"/>
    <col min="14844" max="14844" width="5.5703125" style="19" customWidth="1"/>
    <col min="14845" max="14845" width="9" style="19" customWidth="1"/>
    <col min="14846" max="14847" width="9.85546875" style="19" customWidth="1"/>
    <col min="14848" max="14848" width="11.140625" style="19" customWidth="1"/>
    <col min="14849" max="14849" width="2.85546875" style="19" customWidth="1"/>
    <col min="14850" max="14850" width="3.5703125" style="19" customWidth="1"/>
    <col min="14851" max="15095" width="9.140625" style="19"/>
    <col min="15096" max="15096" width="8.7109375" style="19" customWidth="1"/>
    <col min="15097" max="15097" width="9.85546875" style="19" customWidth="1"/>
    <col min="15098" max="15098" width="14.42578125" style="19" customWidth="1"/>
    <col min="15099" max="15099" width="7.28515625" style="19" customWidth="1"/>
    <col min="15100" max="15100" width="5.5703125" style="19" customWidth="1"/>
    <col min="15101" max="15101" width="9" style="19" customWidth="1"/>
    <col min="15102" max="15103" width="9.85546875" style="19" customWidth="1"/>
    <col min="15104" max="15104" width="11.140625" style="19" customWidth="1"/>
    <col min="15105" max="15105" width="2.85546875" style="19" customWidth="1"/>
    <col min="15106" max="15106" width="3.5703125" style="19" customWidth="1"/>
    <col min="15107" max="15351" width="9.140625" style="19"/>
    <col min="15352" max="15352" width="8.7109375" style="19" customWidth="1"/>
    <col min="15353" max="15353" width="9.85546875" style="19" customWidth="1"/>
    <col min="15354" max="15354" width="14.42578125" style="19" customWidth="1"/>
    <col min="15355" max="15355" width="7.28515625" style="19" customWidth="1"/>
    <col min="15356" max="15356" width="5.5703125" style="19" customWidth="1"/>
    <col min="15357" max="15357" width="9" style="19" customWidth="1"/>
    <col min="15358" max="15359" width="9.85546875" style="19" customWidth="1"/>
    <col min="15360" max="15360" width="11.140625" style="19" customWidth="1"/>
    <col min="15361" max="15361" width="2.85546875" style="19" customWidth="1"/>
    <col min="15362" max="15362" width="3.5703125" style="19" customWidth="1"/>
    <col min="15363" max="15607" width="9.140625" style="19"/>
    <col min="15608" max="15608" width="8.7109375" style="19" customWidth="1"/>
    <col min="15609" max="15609" width="9.85546875" style="19" customWidth="1"/>
    <col min="15610" max="15610" width="14.42578125" style="19" customWidth="1"/>
    <col min="15611" max="15611" width="7.28515625" style="19" customWidth="1"/>
    <col min="15612" max="15612" width="5.5703125" style="19" customWidth="1"/>
    <col min="15613" max="15613" width="9" style="19" customWidth="1"/>
    <col min="15614" max="15615" width="9.85546875" style="19" customWidth="1"/>
    <col min="15616" max="15616" width="11.140625" style="19" customWidth="1"/>
    <col min="15617" max="15617" width="2.85546875" style="19" customWidth="1"/>
    <col min="15618" max="15618" width="3.5703125" style="19" customWidth="1"/>
    <col min="15619" max="15863" width="9.140625" style="19"/>
    <col min="15864" max="15864" width="8.7109375" style="19" customWidth="1"/>
    <col min="15865" max="15865" width="9.85546875" style="19" customWidth="1"/>
    <col min="15866" max="15866" width="14.42578125" style="19" customWidth="1"/>
    <col min="15867" max="15867" width="7.28515625" style="19" customWidth="1"/>
    <col min="15868" max="15868" width="5.5703125" style="19" customWidth="1"/>
    <col min="15869" max="15869" width="9" style="19" customWidth="1"/>
    <col min="15870" max="15871" width="9.85546875" style="19" customWidth="1"/>
    <col min="15872" max="15872" width="11.140625" style="19" customWidth="1"/>
    <col min="15873" max="15873" width="2.85546875" style="19" customWidth="1"/>
    <col min="15874" max="15874" width="3.5703125" style="19" customWidth="1"/>
    <col min="15875" max="16119" width="9.140625" style="19"/>
    <col min="16120" max="16120" width="8.7109375" style="19" customWidth="1"/>
    <col min="16121" max="16121" width="9.85546875" style="19" customWidth="1"/>
    <col min="16122" max="16122" width="14.42578125" style="19" customWidth="1"/>
    <col min="16123" max="16123" width="7.28515625" style="19" customWidth="1"/>
    <col min="16124" max="16124" width="5.5703125" style="19" customWidth="1"/>
    <col min="16125" max="16125" width="9" style="19" customWidth="1"/>
    <col min="16126" max="16127" width="9.85546875" style="19" customWidth="1"/>
    <col min="16128" max="16128" width="11.140625" style="19" customWidth="1"/>
    <col min="16129" max="16129" width="2.85546875" style="19" customWidth="1"/>
    <col min="16130" max="16130" width="3.5703125" style="19" customWidth="1"/>
    <col min="16131" max="16384" width="9.140625" style="19"/>
  </cols>
  <sheetData>
    <row r="1" spans="1:26" ht="46.5" customHeight="1" x14ac:dyDescent="0.25">
      <c r="A1" s="194" t="s">
        <v>159</v>
      </c>
      <c r="B1" s="194"/>
      <c r="C1" s="194"/>
      <c r="D1" s="194"/>
      <c r="E1" s="194"/>
      <c r="F1" s="194"/>
      <c r="G1" s="194"/>
      <c r="H1" s="194"/>
    </row>
    <row r="2" spans="1:26" ht="16.5" customHeight="1" x14ac:dyDescent="0.25">
      <c r="A2" s="195" t="s">
        <v>0</v>
      </c>
      <c r="B2" s="195"/>
      <c r="C2" s="195"/>
      <c r="D2" s="195"/>
      <c r="E2" s="195"/>
      <c r="F2" s="195"/>
      <c r="G2" s="195"/>
      <c r="H2" s="195"/>
    </row>
    <row r="3" spans="1:26" x14ac:dyDescent="0.25">
      <c r="A3" s="161" t="s">
        <v>1</v>
      </c>
      <c r="B3" s="161"/>
      <c r="C3" s="161"/>
      <c r="D3" s="161"/>
      <c r="E3" s="161" t="str">
        <f ca="1">TEXT(TODAY(),"DD/MM/YYYY")</f>
        <v>19/08/2025</v>
      </c>
      <c r="F3" s="161"/>
      <c r="G3" s="161"/>
      <c r="H3" s="161"/>
      <c r="K3" s="55" t="s">
        <v>231</v>
      </c>
      <c r="L3" s="51" t="s">
        <v>229</v>
      </c>
      <c r="M3" s="51" t="s">
        <v>234</v>
      </c>
      <c r="N3" s="51" t="s">
        <v>232</v>
      </c>
      <c r="O3" s="51" t="s">
        <v>233</v>
      </c>
      <c r="P3" s="51" t="s">
        <v>235</v>
      </c>
    </row>
    <row r="4" spans="1:26" ht="15" customHeight="1" x14ac:dyDescent="0.25">
      <c r="A4" s="161" t="s">
        <v>228</v>
      </c>
      <c r="B4" s="161"/>
      <c r="C4" s="161"/>
      <c r="D4" s="161"/>
      <c r="E4" s="100" t="s">
        <v>229</v>
      </c>
      <c r="F4" s="100"/>
      <c r="G4" s="100"/>
      <c r="H4" s="100"/>
      <c r="K4" s="50" t="s">
        <v>230</v>
      </c>
      <c r="L4" s="51" t="s">
        <v>165</v>
      </c>
      <c r="M4" s="51" t="s">
        <v>239</v>
      </c>
      <c r="N4" s="51" t="s">
        <v>241</v>
      </c>
      <c r="O4" s="51" t="s">
        <v>243</v>
      </c>
      <c r="P4" s="51"/>
    </row>
    <row r="5" spans="1:26" ht="15" customHeight="1" x14ac:dyDescent="0.25">
      <c r="A5" s="161" t="s">
        <v>2</v>
      </c>
      <c r="B5" s="161"/>
      <c r="C5" s="161"/>
      <c r="D5" s="161"/>
      <c r="E5" s="100" t="s">
        <v>237</v>
      </c>
      <c r="F5" s="100"/>
      <c r="G5" s="100"/>
      <c r="H5" s="100"/>
      <c r="K5" s="50"/>
      <c r="L5" s="51" t="s">
        <v>236</v>
      </c>
      <c r="M5" s="51" t="s">
        <v>240</v>
      </c>
      <c r="N5" s="51" t="s">
        <v>242</v>
      </c>
      <c r="O5" s="51" t="s">
        <v>244</v>
      </c>
      <c r="P5" s="51"/>
    </row>
    <row r="6" spans="1:26" x14ac:dyDescent="0.25">
      <c r="A6" s="161" t="s">
        <v>3</v>
      </c>
      <c r="B6" s="161"/>
      <c r="C6" s="161"/>
      <c r="D6" s="161"/>
      <c r="E6" s="197">
        <v>45880</v>
      </c>
      <c r="F6" s="161"/>
      <c r="G6" s="161"/>
      <c r="H6" s="161"/>
      <c r="K6" s="50"/>
      <c r="L6" s="51" t="s">
        <v>237</v>
      </c>
      <c r="M6" s="51"/>
      <c r="N6" s="51"/>
      <c r="O6" s="51" t="s">
        <v>245</v>
      </c>
      <c r="P6" s="51"/>
    </row>
    <row r="7" spans="1:26" ht="16.5" customHeight="1" x14ac:dyDescent="0.25">
      <c r="A7" s="161" t="s">
        <v>4</v>
      </c>
      <c r="B7" s="161"/>
      <c r="C7" s="161"/>
      <c r="D7" s="161"/>
      <c r="E7" s="161" t="s">
        <v>293</v>
      </c>
      <c r="F7" s="161"/>
      <c r="G7" s="161"/>
      <c r="H7" s="161"/>
      <c r="K7" s="50"/>
      <c r="L7" s="51" t="s">
        <v>238</v>
      </c>
      <c r="M7" s="51"/>
      <c r="N7" s="51"/>
      <c r="O7" s="51" t="s">
        <v>245</v>
      </c>
      <c r="P7" s="51"/>
    </row>
    <row r="8" spans="1:26" ht="15" customHeight="1" x14ac:dyDescent="0.25">
      <c r="A8" s="161" t="s">
        <v>5</v>
      </c>
      <c r="B8" s="161"/>
      <c r="C8" s="161"/>
      <c r="D8" s="161"/>
      <c r="E8" s="161" t="str">
        <f>E7</f>
        <v>Trio Infrastructure Private Limited</v>
      </c>
      <c r="F8" s="161"/>
      <c r="G8" s="161"/>
      <c r="H8" s="161"/>
      <c r="K8" s="50"/>
      <c r="L8" s="51"/>
      <c r="M8" s="51"/>
      <c r="N8" s="51"/>
      <c r="O8" s="51" t="s">
        <v>246</v>
      </c>
      <c r="P8" s="51"/>
    </row>
    <row r="9" spans="1:26" x14ac:dyDescent="0.25">
      <c r="A9" s="161" t="s">
        <v>6</v>
      </c>
      <c r="B9" s="161"/>
      <c r="C9" s="161"/>
      <c r="D9" s="161"/>
      <c r="E9" s="196" t="s">
        <v>294</v>
      </c>
      <c r="F9" s="144"/>
      <c r="G9" s="144"/>
      <c r="H9" s="144"/>
      <c r="K9" s="50"/>
      <c r="L9" s="51"/>
      <c r="M9" s="51"/>
      <c r="N9" s="51"/>
      <c r="O9" s="51" t="s">
        <v>247</v>
      </c>
      <c r="P9" s="51"/>
    </row>
    <row r="10" spans="1:26" x14ac:dyDescent="0.25">
      <c r="A10" s="161" t="s">
        <v>162</v>
      </c>
      <c r="B10" s="161"/>
      <c r="C10" s="161"/>
      <c r="D10" s="161"/>
      <c r="E10" s="161" t="s">
        <v>28</v>
      </c>
      <c r="F10" s="161"/>
      <c r="G10" s="161"/>
      <c r="H10" s="161"/>
      <c r="K10" s="50"/>
      <c r="L10" s="51"/>
      <c r="M10" s="51"/>
      <c r="N10" s="51"/>
      <c r="O10" s="51"/>
      <c r="P10" s="51"/>
    </row>
    <row r="11" spans="1:26" x14ac:dyDescent="0.25">
      <c r="A11" s="161" t="s">
        <v>163</v>
      </c>
      <c r="B11" s="161"/>
      <c r="C11" s="161"/>
      <c r="D11" s="161"/>
      <c r="E11" s="161" t="s">
        <v>353</v>
      </c>
      <c r="F11" s="161"/>
      <c r="G11" s="161"/>
      <c r="H11" s="161"/>
    </row>
    <row r="12" spans="1:26" x14ac:dyDescent="0.25">
      <c r="A12" s="161" t="s">
        <v>7</v>
      </c>
      <c r="B12" s="161"/>
      <c r="C12" s="161"/>
      <c r="D12" s="161"/>
      <c r="E12" s="161" t="s">
        <v>298</v>
      </c>
      <c r="F12" s="161"/>
      <c r="G12" s="161"/>
      <c r="H12" s="161"/>
    </row>
    <row r="13" spans="1:26" x14ac:dyDescent="0.25">
      <c r="A13" s="161" t="s">
        <v>166</v>
      </c>
      <c r="B13" s="161"/>
      <c r="C13" s="161"/>
      <c r="D13" s="161"/>
      <c r="E13" s="161" t="s">
        <v>28</v>
      </c>
      <c r="F13" s="161"/>
      <c r="G13" s="161"/>
      <c r="H13" s="161"/>
      <c r="S13" s="51" t="s">
        <v>174</v>
      </c>
      <c r="T13" s="51" t="s">
        <v>184</v>
      </c>
      <c r="U13" s="51" t="s">
        <v>167</v>
      </c>
      <c r="V13" s="51" t="s">
        <v>189</v>
      </c>
      <c r="W13" s="51" t="s">
        <v>207</v>
      </c>
      <c r="X13"/>
      <c r="Y13" t="s">
        <v>189</v>
      </c>
      <c r="Z13" t="e">
        <f ca="1">OFFSET($S$13,1,MATCH($G20,$S$13:$W$13,0)-1,15,1)</f>
        <v>#VALUE!</v>
      </c>
    </row>
    <row r="14" spans="1:26" x14ac:dyDescent="0.25">
      <c r="A14" s="102" t="s">
        <v>274</v>
      </c>
      <c r="B14" s="102"/>
      <c r="C14" s="102"/>
      <c r="D14" s="102"/>
      <c r="E14" s="152" t="s">
        <v>345</v>
      </c>
      <c r="F14" s="152"/>
      <c r="G14" s="152"/>
      <c r="H14" s="152"/>
      <c r="S14" s="51" t="s">
        <v>175</v>
      </c>
      <c r="T14" s="51" t="s">
        <v>182</v>
      </c>
      <c r="U14" s="51" t="s">
        <v>204</v>
      </c>
      <c r="V14" s="51" t="s">
        <v>190</v>
      </c>
      <c r="W14" s="51" t="s">
        <v>208</v>
      </c>
      <c r="X14"/>
      <c r="Y14"/>
      <c r="Z14"/>
    </row>
    <row r="15" spans="1:26" x14ac:dyDescent="0.25">
      <c r="A15" s="102" t="s">
        <v>8</v>
      </c>
      <c r="B15" s="102"/>
      <c r="C15" s="102"/>
      <c r="D15" s="102"/>
      <c r="E15" s="101" t="s">
        <v>295</v>
      </c>
      <c r="F15" s="100"/>
      <c r="G15" s="100"/>
      <c r="H15" s="100"/>
      <c r="I15" s="233" t="e">
        <f ca="1">OFFSET($D$5,1,MATCH($J13,$D$5:$H$5,0)-1,15,1)</f>
        <v>#N/A</v>
      </c>
      <c r="J15" s="234"/>
      <c r="K15" s="234"/>
      <c r="L15" s="234"/>
      <c r="M15" s="234"/>
      <c r="N15" s="234"/>
      <c r="O15" s="234"/>
      <c r="P15" s="234"/>
      <c r="S15" s="51" t="s">
        <v>176</v>
      </c>
      <c r="T15" s="51" t="s">
        <v>183</v>
      </c>
      <c r="U15" s="51" t="s">
        <v>205</v>
      </c>
      <c r="V15" s="51" t="s">
        <v>191</v>
      </c>
      <c r="W15" s="51" t="s">
        <v>221</v>
      </c>
      <c r="X15"/>
      <c r="Y15"/>
      <c r="Z15"/>
    </row>
    <row r="16" spans="1:26" ht="48.75" customHeight="1" x14ac:dyDescent="0.25">
      <c r="A16" s="95" t="s">
        <v>9</v>
      </c>
      <c r="B16" s="95"/>
      <c r="C16" s="95" t="str">
        <f>CONCATENATE((IF(OR(E9="",E9="NA"),"",E9)),", ",(IF(OR(A17="",A17="NA"),"",A17)),".",(IF(OR(C17="",C17="NA"),"",C17)),", near ",(IF(OR(C22="",C22="NA"),"",C22)),", ",(IF(OR(C19="",C19="NA"),"",C19)),", ",(IF(OR(C18="",C18="NA"),"",C18)),", ",(IF(OR(G19="",G19="NA"),"",G19)),", ",(IF(OR(C20="",C20="NA"),"",C20)),", ",(IF(OR(C21="",C21="NA"),"",C21)),", ",(IF(OR(G20="",G20="NA"),"",G20))," - ",(IF(OR(G21="",G21="NA"),"",G21)),".")</f>
        <v>Sereno, Survey No (As per approved CC).81, H.No.18, S.No.82, H.No.1, 2, 3/3, 8/1, 10, S.No.76, Group Housing Scheme, near Gladiolus Tower, Internal Road, Rajavali, Gohkiware, Vasai Road East, Vasai, Palghar - 401208.</v>
      </c>
      <c r="D16" s="95"/>
      <c r="E16" s="95"/>
      <c r="F16" s="95"/>
      <c r="G16" s="95"/>
      <c r="H16" s="95"/>
      <c r="S16" s="51" t="s">
        <v>177</v>
      </c>
      <c r="T16" s="51" t="s">
        <v>185</v>
      </c>
      <c r="U16" s="51" t="s">
        <v>206</v>
      </c>
      <c r="V16" s="51" t="s">
        <v>192</v>
      </c>
      <c r="W16" s="51" t="s">
        <v>209</v>
      </c>
      <c r="X16"/>
      <c r="Y16"/>
      <c r="Z16"/>
    </row>
    <row r="17" spans="1:26" ht="31.5" customHeight="1" x14ac:dyDescent="0.25">
      <c r="A17" s="101" t="s">
        <v>319</v>
      </c>
      <c r="B17" s="101"/>
      <c r="C17" s="152" t="s">
        <v>340</v>
      </c>
      <c r="D17" s="152"/>
      <c r="E17" s="152"/>
      <c r="F17" s="152"/>
      <c r="G17" s="152"/>
      <c r="H17" s="152"/>
      <c r="S17" s="51" t="s">
        <v>178</v>
      </c>
      <c r="T17" s="51" t="s">
        <v>186</v>
      </c>
      <c r="U17" s="51" t="s">
        <v>167</v>
      </c>
      <c r="V17" s="51" t="s">
        <v>193</v>
      </c>
      <c r="W17" s="51" t="s">
        <v>210</v>
      </c>
      <c r="X17"/>
      <c r="Y17"/>
      <c r="Z17"/>
    </row>
    <row r="18" spans="1:26" ht="15.75" customHeight="1" x14ac:dyDescent="0.25">
      <c r="A18" s="101" t="s">
        <v>157</v>
      </c>
      <c r="B18" s="101"/>
      <c r="C18" s="152" t="s">
        <v>317</v>
      </c>
      <c r="D18" s="152"/>
      <c r="E18" s="152"/>
      <c r="F18" s="152"/>
      <c r="G18" s="152"/>
      <c r="H18" s="152"/>
      <c r="S18" s="51" t="s">
        <v>179</v>
      </c>
      <c r="T18" s="51" t="s">
        <v>184</v>
      </c>
      <c r="U18" s="51"/>
      <c r="V18" s="51" t="s">
        <v>194</v>
      </c>
      <c r="W18" s="51" t="s">
        <v>211</v>
      </c>
      <c r="X18"/>
      <c r="Y18"/>
      <c r="Z18"/>
    </row>
    <row r="19" spans="1:26" ht="15.75" customHeight="1" x14ac:dyDescent="0.25">
      <c r="A19" s="101" t="s">
        <v>10</v>
      </c>
      <c r="B19" s="101"/>
      <c r="C19" s="190" t="s">
        <v>311</v>
      </c>
      <c r="D19" s="191"/>
      <c r="E19" s="101" t="s">
        <v>69</v>
      </c>
      <c r="F19" s="101"/>
      <c r="G19" s="101" t="s">
        <v>318</v>
      </c>
      <c r="H19" s="101"/>
      <c r="S19" s="51" t="s">
        <v>180</v>
      </c>
      <c r="T19" s="51" t="s">
        <v>187</v>
      </c>
      <c r="U19" s="51"/>
      <c r="V19" s="51" t="s">
        <v>195</v>
      </c>
      <c r="W19" s="51" t="s">
        <v>212</v>
      </c>
      <c r="X19"/>
      <c r="Y19"/>
      <c r="Z19"/>
    </row>
    <row r="20" spans="1:26" x14ac:dyDescent="0.25">
      <c r="A20" s="100" t="s">
        <v>12</v>
      </c>
      <c r="B20" s="100"/>
      <c r="C20" s="101" t="s">
        <v>310</v>
      </c>
      <c r="D20" s="101"/>
      <c r="E20" s="101" t="s">
        <v>11</v>
      </c>
      <c r="F20" s="101"/>
      <c r="G20" s="192" t="s">
        <v>184</v>
      </c>
      <c r="H20" s="192"/>
      <c r="S20" s="51" t="s">
        <v>181</v>
      </c>
      <c r="T20" s="51" t="s">
        <v>188</v>
      </c>
      <c r="U20" s="51"/>
      <c r="V20" s="51" t="s">
        <v>196</v>
      </c>
      <c r="W20" s="51" t="s">
        <v>213</v>
      </c>
      <c r="X20"/>
      <c r="Y20"/>
      <c r="Z20"/>
    </row>
    <row r="21" spans="1:26" x14ac:dyDescent="0.25">
      <c r="A21" s="100" t="s">
        <v>70</v>
      </c>
      <c r="B21" s="100"/>
      <c r="C21" s="101" t="s">
        <v>185</v>
      </c>
      <c r="D21" s="101"/>
      <c r="E21" s="101" t="s">
        <v>13</v>
      </c>
      <c r="F21" s="101"/>
      <c r="G21" s="101">
        <v>401208</v>
      </c>
      <c r="H21" s="101"/>
      <c r="S21" s="51"/>
      <c r="T21" s="51"/>
      <c r="U21" s="51"/>
      <c r="V21" s="51" t="s">
        <v>197</v>
      </c>
      <c r="W21" s="51" t="s">
        <v>214</v>
      </c>
      <c r="X21"/>
      <c r="Y21"/>
      <c r="Z21"/>
    </row>
    <row r="22" spans="1:26" ht="34.5" customHeight="1" x14ac:dyDescent="0.25">
      <c r="A22" s="102" t="s">
        <v>116</v>
      </c>
      <c r="B22" s="102"/>
      <c r="C22" s="152" t="s">
        <v>314</v>
      </c>
      <c r="D22" s="152"/>
      <c r="E22" s="95" t="s">
        <v>14</v>
      </c>
      <c r="F22" s="95"/>
      <c r="G22" s="152" t="s">
        <v>333</v>
      </c>
      <c r="H22" s="152"/>
      <c r="S22" s="51"/>
      <c r="T22" s="51"/>
      <c r="U22" s="51"/>
      <c r="V22" s="51" t="s">
        <v>198</v>
      </c>
      <c r="W22" s="51" t="s">
        <v>215</v>
      </c>
      <c r="X22"/>
      <c r="Y22"/>
      <c r="Z22"/>
    </row>
    <row r="23" spans="1:26" ht="15" customHeight="1" x14ac:dyDescent="0.25">
      <c r="A23" s="95" t="s">
        <v>72</v>
      </c>
      <c r="B23" s="95"/>
      <c r="C23" s="95"/>
      <c r="D23" s="95"/>
      <c r="E23" s="161" t="s">
        <v>15</v>
      </c>
      <c r="F23" s="161"/>
      <c r="G23" s="161"/>
      <c r="H23" s="161"/>
      <c r="S23" s="51"/>
      <c r="T23" s="51"/>
      <c r="U23" s="51"/>
      <c r="V23" s="51" t="s">
        <v>199</v>
      </c>
      <c r="W23" s="51" t="s">
        <v>216</v>
      </c>
      <c r="X23"/>
      <c r="Y23"/>
      <c r="Z23"/>
    </row>
    <row r="24" spans="1:26" ht="18.75" customHeight="1" x14ac:dyDescent="0.25">
      <c r="A24" s="95"/>
      <c r="B24" s="95"/>
      <c r="C24" s="95"/>
      <c r="D24" s="95"/>
      <c r="E24" s="161"/>
      <c r="F24" s="161"/>
      <c r="G24" s="161"/>
      <c r="H24" s="161"/>
      <c r="S24" s="51"/>
      <c r="T24" s="51"/>
      <c r="U24" s="51"/>
      <c r="V24" s="51" t="s">
        <v>200</v>
      </c>
      <c r="W24" s="51" t="s">
        <v>217</v>
      </c>
      <c r="X24"/>
      <c r="Y24"/>
      <c r="Z24"/>
    </row>
    <row r="25" spans="1:26" ht="15" customHeight="1" x14ac:dyDescent="0.25">
      <c r="A25" s="95" t="s">
        <v>16</v>
      </c>
      <c r="B25" s="95"/>
      <c r="C25" s="95"/>
      <c r="D25" s="95"/>
      <c r="E25" s="152" t="s">
        <v>17</v>
      </c>
      <c r="F25" s="152"/>
      <c r="G25" s="152"/>
      <c r="H25" s="152"/>
      <c r="S25" s="51"/>
      <c r="T25" s="51"/>
      <c r="U25" s="51"/>
      <c r="V25" s="51" t="s">
        <v>201</v>
      </c>
      <c r="W25" s="51" t="s">
        <v>218</v>
      </c>
      <c r="X25"/>
      <c r="Y25"/>
      <c r="Z25"/>
    </row>
    <row r="26" spans="1:26" ht="15" customHeight="1" x14ac:dyDescent="0.25">
      <c r="A26" s="102" t="s">
        <v>18</v>
      </c>
      <c r="B26" s="102"/>
      <c r="C26" s="102"/>
      <c r="D26" s="102"/>
      <c r="E26" s="152" t="str">
        <f>IF(AND(G20="Mumbai"),"Upper Class","Middle Class")</f>
        <v>Middle Class</v>
      </c>
      <c r="F26" s="152"/>
      <c r="G26" s="152"/>
      <c r="H26" s="152"/>
      <c r="S26" s="51"/>
      <c r="T26" s="51"/>
      <c r="U26" s="51"/>
      <c r="V26" s="51" t="s">
        <v>202</v>
      </c>
      <c r="W26" s="51" t="s">
        <v>219</v>
      </c>
      <c r="X26"/>
      <c r="Y26"/>
      <c r="Z26"/>
    </row>
    <row r="27" spans="1:26" x14ac:dyDescent="0.25">
      <c r="A27" s="102" t="s">
        <v>19</v>
      </c>
      <c r="B27" s="102"/>
      <c r="C27" s="102"/>
      <c r="D27" s="102"/>
      <c r="E27" s="152" t="s">
        <v>20</v>
      </c>
      <c r="F27" s="152"/>
      <c r="G27" s="152"/>
      <c r="H27" s="152"/>
      <c r="S27" s="51"/>
      <c r="T27" s="51"/>
      <c r="U27" s="51"/>
      <c r="V27" s="51" t="s">
        <v>203</v>
      </c>
      <c r="W27" s="51" t="s">
        <v>220</v>
      </c>
      <c r="X27"/>
      <c r="Y27"/>
      <c r="Z27"/>
    </row>
    <row r="28" spans="1:26" ht="15.75" customHeight="1" x14ac:dyDescent="0.25">
      <c r="A28" s="102" t="s">
        <v>21</v>
      </c>
      <c r="B28" s="102"/>
      <c r="C28" s="102"/>
      <c r="D28" s="102"/>
      <c r="E28" s="152" t="str">
        <f>IF(AND(G20="Mumbai"),"Developed","Developing")</f>
        <v>Developing</v>
      </c>
      <c r="F28" s="152"/>
      <c r="G28" s="152"/>
      <c r="H28" s="152"/>
    </row>
    <row r="29" spans="1:26" x14ac:dyDescent="0.25">
      <c r="A29" s="102" t="s">
        <v>22</v>
      </c>
      <c r="B29" s="102"/>
      <c r="C29" s="102"/>
      <c r="D29" s="102"/>
      <c r="E29" s="152" t="s">
        <v>23</v>
      </c>
      <c r="F29" s="152"/>
      <c r="G29" s="152"/>
      <c r="H29" s="152"/>
    </row>
    <row r="30" spans="1:26" ht="15.75" customHeight="1" x14ac:dyDescent="0.25">
      <c r="A30" s="102" t="s">
        <v>77</v>
      </c>
      <c r="B30" s="102"/>
      <c r="C30" s="102"/>
      <c r="D30" s="102"/>
      <c r="E30" s="152" t="s">
        <v>78</v>
      </c>
      <c r="F30" s="152"/>
      <c r="G30" s="152"/>
      <c r="H30" s="152"/>
    </row>
    <row r="31" spans="1:26" ht="15" customHeight="1" x14ac:dyDescent="0.25">
      <c r="A31" s="102" t="s">
        <v>30</v>
      </c>
      <c r="B31" s="102"/>
      <c r="C31" s="102"/>
      <c r="D31" s="102"/>
      <c r="E31" s="152"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 + Commercial</v>
      </c>
      <c r="F31" s="152"/>
      <c r="G31" s="152"/>
      <c r="H31" s="152"/>
    </row>
    <row r="32" spans="1:26" ht="15.75" customHeight="1" x14ac:dyDescent="0.25">
      <c r="A32" s="102" t="s">
        <v>88</v>
      </c>
      <c r="B32" s="102"/>
      <c r="C32" s="102"/>
      <c r="D32" s="102"/>
      <c r="E32" s="152" t="s">
        <v>31</v>
      </c>
      <c r="F32" s="152"/>
      <c r="G32" s="152"/>
      <c r="H32" s="152"/>
    </row>
    <row r="33" spans="1:19" s="20" customFormat="1" x14ac:dyDescent="0.25">
      <c r="A33" s="189" t="s">
        <v>89</v>
      </c>
      <c r="B33" s="189"/>
      <c r="C33" s="186" t="s">
        <v>168</v>
      </c>
      <c r="D33" s="187"/>
      <c r="E33" s="188"/>
      <c r="F33" s="186" t="s">
        <v>29</v>
      </c>
      <c r="G33" s="187"/>
      <c r="H33" s="188"/>
      <c r="S33" s="20" t="e">
        <f ca="1">OFFSET($S$13,1,MATCH($G20,$S$13:$W$13,0)-1,15,1)</f>
        <v>#VALUE!</v>
      </c>
    </row>
    <row r="34" spans="1:19" s="20" customFormat="1" x14ac:dyDescent="0.25">
      <c r="A34" s="167" t="s">
        <v>24</v>
      </c>
      <c r="B34" s="167" t="s">
        <v>28</v>
      </c>
      <c r="C34" s="185" t="s">
        <v>316</v>
      </c>
      <c r="D34" s="169"/>
      <c r="E34" s="170"/>
      <c r="F34" s="168" t="s">
        <v>316</v>
      </c>
      <c r="G34" s="169"/>
      <c r="H34" s="170"/>
    </row>
    <row r="35" spans="1:19" x14ac:dyDescent="0.25">
      <c r="A35" s="167" t="s">
        <v>25</v>
      </c>
      <c r="B35" s="167" t="s">
        <v>28</v>
      </c>
      <c r="C35" s="185" t="s">
        <v>343</v>
      </c>
      <c r="D35" s="169"/>
      <c r="E35" s="170"/>
      <c r="F35" s="168" t="s">
        <v>342</v>
      </c>
      <c r="G35" s="169"/>
      <c r="H35" s="170"/>
    </row>
    <row r="36" spans="1:19" s="20" customFormat="1" x14ac:dyDescent="0.25">
      <c r="A36" s="167" t="s">
        <v>27</v>
      </c>
      <c r="B36" s="167" t="s">
        <v>28</v>
      </c>
      <c r="C36" s="185" t="s">
        <v>341</v>
      </c>
      <c r="D36" s="169"/>
      <c r="E36" s="170"/>
      <c r="F36" s="168" t="s">
        <v>311</v>
      </c>
      <c r="G36" s="169"/>
      <c r="H36" s="170"/>
    </row>
    <row r="37" spans="1:19" x14ac:dyDescent="0.25">
      <c r="A37" s="167" t="s">
        <v>26</v>
      </c>
      <c r="B37" s="167" t="s">
        <v>28</v>
      </c>
      <c r="C37" s="168" t="s">
        <v>315</v>
      </c>
      <c r="D37" s="169"/>
      <c r="E37" s="170"/>
      <c r="F37" s="168" t="s">
        <v>315</v>
      </c>
      <c r="G37" s="169"/>
      <c r="H37" s="170"/>
    </row>
    <row r="38" spans="1:19" x14ac:dyDescent="0.25">
      <c r="A38" s="102" t="s">
        <v>275</v>
      </c>
      <c r="B38" s="102"/>
      <c r="C38" s="102"/>
      <c r="D38" s="102"/>
      <c r="E38" s="102"/>
      <c r="F38" s="102"/>
      <c r="G38" s="102"/>
      <c r="H38" s="102"/>
    </row>
    <row r="39" spans="1:19" ht="15.75" customHeight="1" x14ac:dyDescent="0.25">
      <c r="A39" s="102" t="s">
        <v>160</v>
      </c>
      <c r="B39" s="102"/>
      <c r="C39" s="160" t="s">
        <v>312</v>
      </c>
      <c r="D39" s="160"/>
      <c r="E39" s="160"/>
      <c r="F39" s="160"/>
      <c r="G39" s="160"/>
      <c r="H39" s="160"/>
    </row>
    <row r="40" spans="1:19" x14ac:dyDescent="0.25">
      <c r="A40" s="102" t="s">
        <v>156</v>
      </c>
      <c r="B40" s="102"/>
      <c r="C40" s="151" t="s">
        <v>313</v>
      </c>
      <c r="D40" s="152"/>
      <c r="E40" s="152"/>
      <c r="F40" s="152"/>
      <c r="G40" s="152"/>
      <c r="H40" s="152"/>
    </row>
    <row r="41" spans="1:19" x14ac:dyDescent="0.25">
      <c r="A41" s="171" t="s">
        <v>32</v>
      </c>
      <c r="B41" s="171"/>
      <c r="C41" s="171"/>
      <c r="D41" s="171"/>
      <c r="E41" s="171"/>
      <c r="F41" s="171"/>
      <c r="G41" s="171"/>
      <c r="H41" s="171"/>
    </row>
    <row r="42" spans="1:19" x14ac:dyDescent="0.25">
      <c r="A42" s="102" t="s">
        <v>33</v>
      </c>
      <c r="B42" s="102"/>
      <c r="C42" s="102"/>
      <c r="D42" s="102"/>
      <c r="E42" s="81" t="s">
        <v>320</v>
      </c>
      <c r="F42" s="81"/>
      <c r="G42" s="81"/>
      <c r="H42" s="81"/>
      <c r="I42" s="81">
        <v>0</v>
      </c>
      <c r="J42" s="81"/>
      <c r="K42" s="81"/>
      <c r="L42" s="81"/>
    </row>
    <row r="43" spans="1:19" hidden="1" x14ac:dyDescent="0.25">
      <c r="A43" s="102" t="s">
        <v>34</v>
      </c>
      <c r="B43" s="102"/>
      <c r="C43" s="102"/>
      <c r="D43" s="102"/>
      <c r="E43" s="82" t="s">
        <v>320</v>
      </c>
      <c r="F43" s="82"/>
      <c r="G43" s="82"/>
      <c r="H43" s="82"/>
      <c r="I43" s="82">
        <v>0</v>
      </c>
      <c r="J43" s="82"/>
      <c r="K43" s="82"/>
      <c r="L43" s="82"/>
    </row>
    <row r="44" spans="1:19" hidden="1" x14ac:dyDescent="0.25">
      <c r="A44" s="102" t="s">
        <v>35</v>
      </c>
      <c r="B44" s="102"/>
      <c r="C44" s="102"/>
      <c r="D44" s="102"/>
      <c r="E44" s="82" t="s">
        <v>320</v>
      </c>
      <c r="F44" s="82"/>
      <c r="G44" s="82"/>
      <c r="H44" s="82"/>
      <c r="I44" s="82" t="e">
        <f>I46/I42-I43</f>
        <v>#DIV/0!</v>
      </c>
      <c r="J44" s="82"/>
      <c r="K44" s="82"/>
      <c r="L44" s="82"/>
    </row>
    <row r="45" spans="1:19" hidden="1" x14ac:dyDescent="0.25">
      <c r="A45" s="102" t="s">
        <v>36</v>
      </c>
      <c r="B45" s="102"/>
      <c r="C45" s="102"/>
      <c r="D45" s="102"/>
      <c r="E45" s="82" t="s">
        <v>320</v>
      </c>
      <c r="F45" s="82"/>
      <c r="G45" s="82"/>
      <c r="H45" s="82"/>
      <c r="I45" s="82" t="e">
        <f>I43+I44</f>
        <v>#DIV/0!</v>
      </c>
      <c r="J45" s="82"/>
      <c r="K45" s="82"/>
      <c r="L45" s="82"/>
    </row>
    <row r="46" spans="1:19" hidden="1" x14ac:dyDescent="0.25">
      <c r="A46" s="102" t="s">
        <v>87</v>
      </c>
      <c r="B46" s="102"/>
      <c r="C46" s="102"/>
      <c r="D46" s="102"/>
      <c r="E46" s="82" t="s">
        <v>320</v>
      </c>
      <c r="F46" s="82"/>
      <c r="G46" s="82"/>
      <c r="H46" s="82"/>
      <c r="I46" s="83">
        <v>0</v>
      </c>
      <c r="J46" s="83"/>
      <c r="K46" s="83"/>
      <c r="L46" s="83"/>
    </row>
    <row r="47" spans="1:19" x14ac:dyDescent="0.25">
      <c r="A47" s="161" t="s">
        <v>37</v>
      </c>
      <c r="B47" s="161"/>
      <c r="C47" s="161"/>
      <c r="D47" s="161"/>
      <c r="E47" s="161" t="s">
        <v>332</v>
      </c>
      <c r="F47" s="161"/>
      <c r="G47" s="161"/>
      <c r="H47" s="161"/>
    </row>
    <row r="48" spans="1:19" x14ac:dyDescent="0.25">
      <c r="A48" s="160" t="s">
        <v>38</v>
      </c>
      <c r="B48" s="160"/>
      <c r="C48" s="160"/>
      <c r="D48" s="160"/>
      <c r="E48" s="160"/>
      <c r="F48" s="160"/>
      <c r="G48" s="160"/>
      <c r="H48" s="160"/>
    </row>
    <row r="49" spans="1:24" ht="33.75" customHeight="1" x14ac:dyDescent="0.25">
      <c r="A49" s="129" t="s">
        <v>145</v>
      </c>
      <c r="B49" s="130"/>
      <c r="C49" s="131" t="s">
        <v>300</v>
      </c>
      <c r="D49" s="132"/>
      <c r="E49" s="132"/>
      <c r="F49" s="132"/>
      <c r="G49" s="132"/>
      <c r="H49" s="133"/>
      <c r="R49" t="s">
        <v>248</v>
      </c>
      <c r="S49" t="s">
        <v>167</v>
      </c>
      <c r="T49" t="s">
        <v>174</v>
      </c>
      <c r="U49" t="s">
        <v>189</v>
      </c>
      <c r="V49" t="s">
        <v>184</v>
      </c>
    </row>
    <row r="50" spans="1:24" ht="15.75" customHeight="1" x14ac:dyDescent="0.25">
      <c r="A50" s="174" t="s">
        <v>39</v>
      </c>
      <c r="B50" s="176"/>
      <c r="C50" s="174" t="s">
        <v>320</v>
      </c>
      <c r="D50" s="175"/>
      <c r="E50" s="176"/>
      <c r="F50" s="77" t="s">
        <v>40</v>
      </c>
      <c r="G50" s="174" t="s">
        <v>28</v>
      </c>
      <c r="H50" s="176"/>
      <c r="R50"/>
      <c r="S50" t="s">
        <v>249</v>
      </c>
      <c r="T50" t="s">
        <v>254</v>
      </c>
      <c r="U50" t="s">
        <v>265</v>
      </c>
      <c r="V50" t="s">
        <v>270</v>
      </c>
    </row>
    <row r="51" spans="1:24" ht="38.25" customHeight="1" x14ac:dyDescent="0.25">
      <c r="A51" s="174" t="s">
        <v>296</v>
      </c>
      <c r="B51" s="176"/>
      <c r="C51" s="174" t="s">
        <v>321</v>
      </c>
      <c r="D51" s="175"/>
      <c r="E51" s="176"/>
      <c r="F51" s="77" t="s">
        <v>40</v>
      </c>
      <c r="G51" s="219">
        <v>45322</v>
      </c>
      <c r="H51" s="176"/>
      <c r="R51"/>
      <c r="S51"/>
      <c r="T51"/>
      <c r="U51" t="s">
        <v>300</v>
      </c>
      <c r="V51"/>
    </row>
    <row r="52" spans="1:24" ht="36" customHeight="1" x14ac:dyDescent="0.25">
      <c r="A52" s="174" t="s">
        <v>297</v>
      </c>
      <c r="B52" s="176"/>
      <c r="C52" s="174" t="s">
        <v>321</v>
      </c>
      <c r="D52" s="175"/>
      <c r="E52" s="176"/>
      <c r="F52" s="77" t="s">
        <v>40</v>
      </c>
      <c r="G52" s="219">
        <v>45322</v>
      </c>
      <c r="H52" s="176"/>
      <c r="R52"/>
      <c r="S52" t="s">
        <v>250</v>
      </c>
      <c r="T52" t="s">
        <v>255</v>
      </c>
      <c r="U52" t="s">
        <v>263</v>
      </c>
      <c r="V52" t="s">
        <v>271</v>
      </c>
    </row>
    <row r="53" spans="1:24" s="21" customFormat="1" ht="34.5" customHeight="1" x14ac:dyDescent="0.25">
      <c r="A53" s="220" t="s">
        <v>149</v>
      </c>
      <c r="B53" s="221"/>
      <c r="C53" s="174" t="s">
        <v>322</v>
      </c>
      <c r="D53" s="175"/>
      <c r="E53" s="176"/>
      <c r="F53" s="77" t="s">
        <v>40</v>
      </c>
      <c r="G53" s="219">
        <v>45322</v>
      </c>
      <c r="H53" s="176"/>
      <c r="R53"/>
      <c r="S53" t="s">
        <v>251</v>
      </c>
      <c r="T53" t="s">
        <v>256</v>
      </c>
      <c r="U53" t="s">
        <v>253</v>
      </c>
      <c r="V53" t="s">
        <v>272</v>
      </c>
    </row>
    <row r="54" spans="1:24" s="21" customFormat="1" ht="52.5" customHeight="1" x14ac:dyDescent="0.25">
      <c r="A54" s="222"/>
      <c r="B54" s="223"/>
      <c r="C54" s="174" t="s">
        <v>323</v>
      </c>
      <c r="D54" s="175"/>
      <c r="E54" s="175"/>
      <c r="F54" s="175"/>
      <c r="G54" s="175"/>
      <c r="H54" s="176"/>
      <c r="R54"/>
      <c r="S54" t="s">
        <v>252</v>
      </c>
      <c r="T54" t="s">
        <v>259</v>
      </c>
      <c r="U54" t="s">
        <v>266</v>
      </c>
    </row>
    <row r="55" spans="1:24" s="21" customFormat="1" hidden="1" x14ac:dyDescent="0.25">
      <c r="A55" s="229" t="s">
        <v>276</v>
      </c>
      <c r="B55" s="230"/>
      <c r="C55" s="129" t="str">
        <f>C54</f>
        <v>Sector III - Building No.3 (Wing E) = Gr + P1 &amp; P2 + 1st to 22nd Floor (Residential)
Sector III - Building No.3 (Wing H) = Gr + P1 &amp; P2 + 1st to 22nd Floor (Residential with Shop)</v>
      </c>
      <c r="D55" s="173"/>
      <c r="E55" s="130"/>
      <c r="F55" s="16" t="s">
        <v>40</v>
      </c>
      <c r="G55" s="129"/>
      <c r="H55" s="130"/>
      <c r="R55"/>
      <c r="S55" t="s">
        <v>251</v>
      </c>
      <c r="T55" t="s">
        <v>256</v>
      </c>
      <c r="U55" t="s">
        <v>253</v>
      </c>
      <c r="V55" t="s">
        <v>272</v>
      </c>
    </row>
    <row r="56" spans="1:24" s="21" customFormat="1" ht="32.25" hidden="1" customHeight="1" x14ac:dyDescent="0.25">
      <c r="A56" s="231"/>
      <c r="B56" s="232"/>
      <c r="C56" s="157"/>
      <c r="D56" s="158"/>
      <c r="E56" s="158"/>
      <c r="F56" s="158"/>
      <c r="G56" s="158"/>
      <c r="H56" s="159"/>
      <c r="R56"/>
      <c r="S56" t="s">
        <v>253</v>
      </c>
      <c r="T56" t="s">
        <v>257</v>
      </c>
      <c r="U56" t="s">
        <v>267</v>
      </c>
      <c r="V56" s="19"/>
      <c r="W56" s="19"/>
      <c r="X56" s="19"/>
    </row>
    <row r="57" spans="1:24" s="21" customFormat="1" ht="34.5" hidden="1" customHeight="1" x14ac:dyDescent="0.25">
      <c r="A57" s="229" t="s">
        <v>277</v>
      </c>
      <c r="B57" s="230"/>
      <c r="C57" s="129">
        <f>C56</f>
        <v>0</v>
      </c>
      <c r="D57" s="173"/>
      <c r="E57" s="130"/>
      <c r="F57" s="16" t="s">
        <v>40</v>
      </c>
      <c r="G57" s="129">
        <f>G56</f>
        <v>0</v>
      </c>
      <c r="H57" s="130"/>
      <c r="R57"/>
      <c r="S57" s="19"/>
      <c r="T57" t="s">
        <v>258</v>
      </c>
      <c r="U57" t="s">
        <v>268</v>
      </c>
      <c r="V57" s="19"/>
      <c r="W57" s="19"/>
      <c r="X57" s="19"/>
    </row>
    <row r="58" spans="1:24" s="21" customFormat="1" hidden="1" x14ac:dyDescent="0.25">
      <c r="A58" s="231"/>
      <c r="B58" s="232"/>
      <c r="C58" s="129"/>
      <c r="D58" s="173"/>
      <c r="E58" s="173"/>
      <c r="F58" s="173"/>
      <c r="G58" s="173"/>
      <c r="H58" s="130"/>
      <c r="R58"/>
      <c r="S58" s="19"/>
      <c r="T58" t="s">
        <v>260</v>
      </c>
      <c r="U58" t="s">
        <v>269</v>
      </c>
      <c r="V58" s="19"/>
      <c r="W58" s="19"/>
      <c r="X58" s="19"/>
    </row>
    <row r="59" spans="1:24" s="21" customFormat="1" ht="15.75" hidden="1" customHeight="1" x14ac:dyDescent="0.25">
      <c r="A59" s="229" t="s">
        <v>278</v>
      </c>
      <c r="B59" s="230"/>
      <c r="C59" s="129">
        <f>C58</f>
        <v>0</v>
      </c>
      <c r="D59" s="173"/>
      <c r="E59" s="130"/>
      <c r="F59" s="16" t="s">
        <v>40</v>
      </c>
      <c r="G59" s="129">
        <f>G58</f>
        <v>0</v>
      </c>
      <c r="H59" s="130"/>
      <c r="R59"/>
      <c r="S59" s="19"/>
      <c r="T59" t="s">
        <v>261</v>
      </c>
      <c r="U59" s="19" t="s">
        <v>292</v>
      </c>
      <c r="V59" s="19"/>
      <c r="W59" s="19"/>
      <c r="X59" s="19"/>
    </row>
    <row r="60" spans="1:24" s="21" customFormat="1" ht="33.75" hidden="1" customHeight="1" x14ac:dyDescent="0.25">
      <c r="A60" s="231"/>
      <c r="B60" s="232"/>
      <c r="C60" s="129"/>
      <c r="D60" s="173"/>
      <c r="E60" s="173"/>
      <c r="F60" s="173"/>
      <c r="G60" s="173"/>
      <c r="H60" s="130"/>
      <c r="R60"/>
      <c r="S60" s="19"/>
      <c r="T60" t="s">
        <v>262</v>
      </c>
      <c r="U60" s="19"/>
      <c r="V60" s="19"/>
      <c r="W60" s="19"/>
      <c r="X60" s="19"/>
    </row>
    <row r="61" spans="1:24" x14ac:dyDescent="0.25">
      <c r="A61" s="236" t="s">
        <v>41</v>
      </c>
      <c r="B61" s="237"/>
      <c r="C61" s="236" t="s">
        <v>100</v>
      </c>
      <c r="D61" s="238"/>
      <c r="E61" s="237"/>
      <c r="F61" s="41" t="s">
        <v>40</v>
      </c>
      <c r="G61" s="227" t="s">
        <v>28</v>
      </c>
      <c r="H61" s="228"/>
      <c r="R61"/>
      <c r="T61" t="s">
        <v>264</v>
      </c>
    </row>
    <row r="62" spans="1:24" x14ac:dyDescent="0.25">
      <c r="A62" s="210" t="s">
        <v>43</v>
      </c>
      <c r="B62" s="210"/>
      <c r="C62" s="210"/>
      <c r="D62" s="210"/>
      <c r="E62" s="210"/>
      <c r="F62" s="210"/>
      <c r="G62" s="210"/>
      <c r="H62" s="210"/>
      <c r="T62" t="s">
        <v>273</v>
      </c>
    </row>
    <row r="63" spans="1:24" ht="32.25" customHeight="1" x14ac:dyDescent="0.25">
      <c r="A63" s="152" t="s">
        <v>344</v>
      </c>
      <c r="B63" s="152"/>
      <c r="C63" s="152"/>
      <c r="D63" s="161">
        <v>26031.67</v>
      </c>
      <c r="E63" s="161"/>
      <c r="F63" s="161"/>
      <c r="G63" s="161"/>
      <c r="H63" s="161"/>
      <c r="R63"/>
    </row>
    <row r="64" spans="1:24" x14ac:dyDescent="0.25">
      <c r="A64" s="152" t="s">
        <v>44</v>
      </c>
      <c r="B64" s="161"/>
      <c r="C64" s="161"/>
      <c r="D64" s="161" t="s">
        <v>334</v>
      </c>
      <c r="E64" s="161"/>
      <c r="F64" s="161"/>
      <c r="G64" s="161"/>
      <c r="H64" s="161"/>
      <c r="I64" s="22"/>
      <c r="R64"/>
    </row>
    <row r="65" spans="1:19" ht="33" customHeight="1" x14ac:dyDescent="0.25">
      <c r="A65" s="164" t="s">
        <v>45</v>
      </c>
      <c r="B65" s="165"/>
      <c r="C65" s="166"/>
      <c r="D65" s="162" t="s">
        <v>348</v>
      </c>
      <c r="E65" s="163"/>
      <c r="F65" s="163"/>
      <c r="G65" s="163"/>
      <c r="H65" s="163"/>
      <c r="R65"/>
    </row>
    <row r="66" spans="1:19" ht="15.75" customHeight="1" x14ac:dyDescent="0.25">
      <c r="A66" s="164" t="s">
        <v>85</v>
      </c>
      <c r="B66" s="165"/>
      <c r="C66" s="165"/>
      <c r="D66" s="179" t="s">
        <v>324</v>
      </c>
      <c r="E66" s="180"/>
      <c r="F66" s="180"/>
      <c r="G66" s="180"/>
      <c r="H66" s="181"/>
      <c r="R66"/>
    </row>
    <row r="67" spans="1:19" ht="15.75" customHeight="1" x14ac:dyDescent="0.25">
      <c r="A67" s="177"/>
      <c r="B67" s="178"/>
      <c r="C67" s="178"/>
      <c r="D67" s="182" t="s">
        <v>325</v>
      </c>
      <c r="E67" s="183"/>
      <c r="F67" s="183"/>
      <c r="G67" s="183"/>
      <c r="H67" s="184"/>
      <c r="R67"/>
    </row>
    <row r="68" spans="1:19" ht="15.75" customHeight="1" x14ac:dyDescent="0.25">
      <c r="A68" s="102" t="s">
        <v>42</v>
      </c>
      <c r="B68" s="102"/>
      <c r="C68" s="102"/>
      <c r="D68" s="95" t="s">
        <v>299</v>
      </c>
      <c r="E68" s="95"/>
      <c r="F68" s="95"/>
      <c r="G68" s="95"/>
      <c r="H68" s="95"/>
      <c r="J68" s="23"/>
      <c r="K68" s="22"/>
      <c r="N68" s="22"/>
      <c r="S68"/>
    </row>
    <row r="69" spans="1:19" ht="15.75" customHeight="1" x14ac:dyDescent="0.25">
      <c r="A69" s="102" t="s">
        <v>83</v>
      </c>
      <c r="B69" s="102"/>
      <c r="C69" s="102"/>
      <c r="D69" s="172" t="str">
        <f>(IF(G61="NA","60 Years After Completion",IF(G61&lt;&gt;"NA",""&amp;60-ROUNDDOWN((E3-G61)/360,0)&amp;" Years"," ")))</f>
        <v>60 Years After Completion</v>
      </c>
      <c r="E69" s="172"/>
      <c r="F69" s="172"/>
      <c r="G69" s="172"/>
      <c r="H69" s="172"/>
      <c r="N69" s="22"/>
      <c r="S69"/>
    </row>
    <row r="70" spans="1:19" ht="15.75" customHeight="1" x14ac:dyDescent="0.25">
      <c r="A70" s="102" t="s">
        <v>84</v>
      </c>
      <c r="B70" s="102"/>
      <c r="C70" s="102"/>
      <c r="D70" s="95" t="s">
        <v>23</v>
      </c>
      <c r="E70" s="95"/>
      <c r="F70" s="95"/>
      <c r="G70" s="95"/>
      <c r="H70" s="95"/>
      <c r="J70" s="24"/>
      <c r="K70" s="24"/>
      <c r="S70"/>
    </row>
    <row r="71" spans="1:19" ht="80.25" customHeight="1" x14ac:dyDescent="0.25">
      <c r="A71" s="100" t="s">
        <v>301</v>
      </c>
      <c r="B71" s="100"/>
      <c r="C71" s="100"/>
      <c r="D71" s="101" t="s">
        <v>302</v>
      </c>
      <c r="E71" s="101"/>
      <c r="F71" s="101"/>
      <c r="G71" s="101"/>
      <c r="H71" s="101"/>
      <c r="I71" s="67" t="s">
        <v>303</v>
      </c>
      <c r="S71"/>
    </row>
    <row r="72" spans="1:19" x14ac:dyDescent="0.25">
      <c r="A72" s="95" t="s">
        <v>142</v>
      </c>
      <c r="B72" s="95"/>
      <c r="C72" s="95"/>
      <c r="D72" s="95" t="s">
        <v>28</v>
      </c>
      <c r="E72" s="95"/>
      <c r="F72" s="95"/>
      <c r="G72" s="95"/>
      <c r="H72" s="95"/>
      <c r="I72" s="25"/>
      <c r="J72" s="25"/>
      <c r="K72" s="25"/>
      <c r="L72" s="25"/>
      <c r="M72" s="25"/>
      <c r="N72" s="25"/>
    </row>
    <row r="73" spans="1:19" ht="15.75" customHeight="1" x14ac:dyDescent="0.25">
      <c r="A73" s="239" t="s">
        <v>82</v>
      </c>
      <c r="B73" s="239"/>
      <c r="C73" s="239"/>
      <c r="D73" s="120" t="str">
        <f ca="1">(IF(G93&gt;95%,"Nothing",IF(G93&gt;0%,"Cement, Aggregate, Steel, etc",IF(G93=0%,"Work not yet Started"))))</f>
        <v>Cement, Aggregate, Steel, etc</v>
      </c>
      <c r="E73" s="120"/>
      <c r="F73" s="120"/>
      <c r="G73" s="120"/>
      <c r="H73" s="120"/>
      <c r="J73" s="24"/>
      <c r="S73"/>
    </row>
    <row r="74" spans="1:19" ht="33.75" customHeight="1" thickBot="1" x14ac:dyDescent="0.3">
      <c r="A74" s="119" t="s">
        <v>113</v>
      </c>
      <c r="B74" s="119"/>
      <c r="C74" s="119"/>
      <c r="D74" s="120" t="str">
        <f ca="1">(IF(D73="Nothing","Yes",IF(D73="Cement, Aggregate, Steel, etc","Under Construction",IF(D73="Work not yet Started","Work not yet Started"))))</f>
        <v>Under Construction</v>
      </c>
      <c r="E74" s="120"/>
      <c r="F74" s="120" t="str">
        <f ca="1">(IF(D73="Nothing","Yes",IF(D73="Cement, Aggregate, Steel, etc","Under Construction",IF(D73="Work not yet Started","Work not yet Started"))))</f>
        <v>Under Construction</v>
      </c>
      <c r="G74" s="120"/>
      <c r="H74" s="120"/>
      <c r="S74"/>
    </row>
    <row r="75" spans="1:19" ht="15.75" customHeight="1" x14ac:dyDescent="0.25">
      <c r="A75" s="145" t="s">
        <v>134</v>
      </c>
      <c r="B75" s="146"/>
      <c r="C75" s="147" t="str">
        <f>D66</f>
        <v>Building No.3 (Wing E) = Gr + P1 &amp; P2 + 1st to 28th Floor</v>
      </c>
      <c r="D75" s="148"/>
      <c r="E75" s="148"/>
      <c r="F75" s="148"/>
      <c r="G75" s="148"/>
      <c r="H75" s="149"/>
      <c r="I75" s="43" t="str">
        <f ca="1">IF(D88=100%,"All work Completed. Possession granted to the Building.",IF(D87=100%,"All work Completed, Waiting for OC",I76&amp;""&amp;I77&amp;""&amp;J76&amp;""&amp;J75&amp;" "&amp;J77))</f>
        <v xml:space="preserve">Excavation Completed, Plinth work is process </v>
      </c>
      <c r="J75" s="44"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c r="S75"/>
    </row>
    <row r="76" spans="1:19" x14ac:dyDescent="0.25">
      <c r="A76" s="15" t="s">
        <v>136</v>
      </c>
      <c r="B76" s="47">
        <f>IF(AND(ISNUMBER(SEARCH("1B",C75))),1,IF(AND(ISNUMBER(SEARCH("2B",C75))),2,IF(AND(ISNUMBER(SEARCH("3B",C75))),3,IF(AND(ISNUMBER(SEARCH("4B",C75))),4,IF(ISNUMBER(SEARCH("5B",C75)),5,0)))))</f>
        <v>0</v>
      </c>
      <c r="C76" s="68" t="s">
        <v>68</v>
      </c>
      <c r="D76" s="68">
        <v>1</v>
      </c>
      <c r="E76" s="68" t="s">
        <v>67</v>
      </c>
      <c r="F76" s="68">
        <v>2</v>
      </c>
      <c r="G76" s="68" t="s">
        <v>76</v>
      </c>
      <c r="H76" s="69">
        <f ca="1">--TRIM(RIGHT(SUBSTITUTE(LEFT(C75,_xlfn.AGGREGATE(16,6,FIND({0,1,2,3,4,5,6,7,8,9},C75,ROW(INDIRECT("1:"&amp;LEN(C75)))),1))," ",REPT(" ",LEN(C75))),LEN(C75)))</f>
        <v>28</v>
      </c>
      <c r="I76" s="45" t="str">
        <f ca="1">IF(D79=100%,"Excavation","")&amp;IF(D80=100%,", Plinth","")&amp;IF(D81=100%,", RCC Slab","")&amp;IF(D82=100%,", Brickwork","")&amp;IF(D83=100%,", Internal Plaster","")&amp;IF(D84=100%,", External Plaster","")&amp;IF(D85=100%,", Flooring","")&amp;IF(D86=100%,", Painting","")&amp;IF(D87=100%,", Building common Amenities","")</f>
        <v>Excavation</v>
      </c>
      <c r="J76" s="46"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Plinth work is process</v>
      </c>
      <c r="S76"/>
    </row>
    <row r="77" spans="1:19" x14ac:dyDescent="0.25">
      <c r="A77" s="143" t="s">
        <v>86</v>
      </c>
      <c r="B77" s="144"/>
      <c r="C77" s="96" t="str">
        <f ca="1">I75</f>
        <v xml:space="preserve">Excavation Completed, Plinth work is process </v>
      </c>
      <c r="D77" s="96"/>
      <c r="E77" s="96"/>
      <c r="F77" s="96"/>
      <c r="G77" s="96"/>
      <c r="H77" s="97"/>
      <c r="I77" s="45" t="str">
        <f ca="1">IF(I76&lt;&gt;""," Completed","")</f>
        <v xml:space="preserve"> Completed</v>
      </c>
      <c r="J77" s="46" t="str">
        <f ca="1">IF(J75&lt;&gt;"","Completed","")</f>
        <v/>
      </c>
      <c r="S77"/>
    </row>
    <row r="78" spans="1:19" ht="15.75" customHeight="1" x14ac:dyDescent="0.25">
      <c r="A78" s="98" t="s">
        <v>46</v>
      </c>
      <c r="B78" s="99"/>
      <c r="C78" s="63" t="s">
        <v>133</v>
      </c>
      <c r="D78" s="63" t="s">
        <v>79</v>
      </c>
      <c r="E78" s="99" t="s">
        <v>81</v>
      </c>
      <c r="F78" s="99"/>
      <c r="G78" s="99" t="s">
        <v>80</v>
      </c>
      <c r="H78" s="121"/>
      <c r="I78" s="13" t="s">
        <v>135</v>
      </c>
      <c r="J78" s="26">
        <f ca="1">H76*25%</f>
        <v>7</v>
      </c>
      <c r="S78"/>
    </row>
    <row r="79" spans="1:19" x14ac:dyDescent="0.25">
      <c r="A79" s="98" t="s">
        <v>122</v>
      </c>
      <c r="B79" s="99"/>
      <c r="C79" s="63">
        <f ca="1">J80</f>
        <v>28</v>
      </c>
      <c r="D79" s="17">
        <f ca="1">((100/H76)*C79)/100</f>
        <v>1</v>
      </c>
      <c r="E79" s="123">
        <f ca="1">(((C80/H76*10)+(40/(D76+F76+H76)*C81)+(7.5/(H76)*C82)+(7.5/(H76)*C83)+(10/H76*C84)+(10/H76*C85)+(5/H76*C86)+(5/H76*C87)+(5/H76*C88))/100)</f>
        <v>7.4999999999999997E-2</v>
      </c>
      <c r="F79" s="124"/>
      <c r="G79" s="123">
        <f ca="1">((((C79/H76)*20)+((C80/H76)*25)+(30/(H76+F76+D76)*C81)+(5/H76*C82)+(5/H76*C83)+(5/H76*C84)+(5/H76*C85)+(0/H76*C86)+(0/H76*C87)+(5/H76*C88))/100)</f>
        <v>0.38750000000000001</v>
      </c>
      <c r="H79" s="137"/>
      <c r="I79" s="13" t="s">
        <v>95</v>
      </c>
      <c r="J79" s="27">
        <f ca="1">H76*50%</f>
        <v>14</v>
      </c>
    </row>
    <row r="80" spans="1:19" x14ac:dyDescent="0.25">
      <c r="A80" s="98" t="s">
        <v>47</v>
      </c>
      <c r="B80" s="99"/>
      <c r="C80" s="70">
        <f ca="1">J87</f>
        <v>21</v>
      </c>
      <c r="D80" s="17">
        <f ca="1">((100/H76)*C80)/100</f>
        <v>0.75</v>
      </c>
      <c r="E80" s="125"/>
      <c r="F80" s="126"/>
      <c r="G80" s="125"/>
      <c r="H80" s="138"/>
      <c r="I80" s="13" t="s">
        <v>96</v>
      </c>
      <c r="J80" s="27">
        <f ca="1">H76</f>
        <v>28</v>
      </c>
      <c r="S80"/>
    </row>
    <row r="81" spans="1:19" ht="15.75" customHeight="1" x14ac:dyDescent="0.25">
      <c r="A81" s="98" t="s">
        <v>123</v>
      </c>
      <c r="B81" s="99"/>
      <c r="C81" s="63">
        <v>0</v>
      </c>
      <c r="D81" s="17">
        <f ca="1">((100/(D76+F76+H76))*C81)/100</f>
        <v>0</v>
      </c>
      <c r="E81" s="125"/>
      <c r="F81" s="126"/>
      <c r="G81" s="125"/>
      <c r="H81" s="138"/>
      <c r="I81" s="13" t="s">
        <v>97</v>
      </c>
      <c r="J81" s="28">
        <f ca="1">(IF(B76&gt;1,(H76/(B76+2)),H76/4))</f>
        <v>7</v>
      </c>
      <c r="S81"/>
    </row>
    <row r="82" spans="1:19" ht="15.75" customHeight="1" x14ac:dyDescent="0.25">
      <c r="A82" s="98" t="s">
        <v>130</v>
      </c>
      <c r="B82" s="99" t="s">
        <v>124</v>
      </c>
      <c r="C82" s="63">
        <v>0</v>
      </c>
      <c r="D82" s="17">
        <f ca="1">((100/H76)*C82)/100</f>
        <v>0</v>
      </c>
      <c r="E82" s="125"/>
      <c r="F82" s="126"/>
      <c r="G82" s="125"/>
      <c r="H82" s="138"/>
      <c r="I82" s="13" t="s">
        <v>98</v>
      </c>
      <c r="J82" s="28">
        <f ca="1">(IF(B76&gt;1,(H76/(B76+2)+J81),H76/4+J81))</f>
        <v>14</v>
      </c>
    </row>
    <row r="83" spans="1:19" ht="15.75" customHeight="1" x14ac:dyDescent="0.25">
      <c r="A83" s="98" t="s">
        <v>131</v>
      </c>
      <c r="B83" s="99" t="s">
        <v>124</v>
      </c>
      <c r="C83" s="63">
        <v>0</v>
      </c>
      <c r="D83" s="17">
        <f ca="1">((100/H76)*C83)/100</f>
        <v>0</v>
      </c>
      <c r="E83" s="125"/>
      <c r="F83" s="126"/>
      <c r="G83" s="125"/>
      <c r="H83" s="138"/>
      <c r="I83" s="13" t="s">
        <v>140</v>
      </c>
      <c r="J83" s="28">
        <f>(IF(B76&gt;1,(H76/(B76+2)+J82),0))</f>
        <v>0</v>
      </c>
    </row>
    <row r="84" spans="1:19" ht="15" customHeight="1" x14ac:dyDescent="0.25">
      <c r="A84" s="98" t="s">
        <v>129</v>
      </c>
      <c r="B84" s="99" t="s">
        <v>126</v>
      </c>
      <c r="C84" s="63">
        <v>0</v>
      </c>
      <c r="D84" s="17">
        <f ca="1">((100/(H76))*C84)/100</f>
        <v>0</v>
      </c>
      <c r="E84" s="125"/>
      <c r="F84" s="126"/>
      <c r="G84" s="125"/>
      <c r="H84" s="138"/>
      <c r="I84" s="13" t="s">
        <v>137</v>
      </c>
      <c r="J84" s="28">
        <f>(IF(B76&gt;2,(H76/(B76+2)+J83),0))</f>
        <v>0</v>
      </c>
    </row>
    <row r="85" spans="1:19" ht="15.75" customHeight="1" x14ac:dyDescent="0.25">
      <c r="A85" s="98" t="s">
        <v>125</v>
      </c>
      <c r="B85" s="99" t="s">
        <v>125</v>
      </c>
      <c r="C85" s="63">
        <v>0</v>
      </c>
      <c r="D85" s="17">
        <f ca="1">((100/H76)*C85)/100</f>
        <v>0</v>
      </c>
      <c r="E85" s="125"/>
      <c r="F85" s="126"/>
      <c r="G85" s="125"/>
      <c r="H85" s="138"/>
      <c r="I85" s="13" t="s">
        <v>138</v>
      </c>
      <c r="J85" s="29">
        <f>(IF(B76&gt;3,(H76/(B76+2)+J84),0))</f>
        <v>0</v>
      </c>
    </row>
    <row r="86" spans="1:19" ht="15.75" customHeight="1" x14ac:dyDescent="0.25">
      <c r="A86" s="98" t="s">
        <v>132</v>
      </c>
      <c r="B86" s="99"/>
      <c r="C86" s="63">
        <v>0</v>
      </c>
      <c r="D86" s="17">
        <f ca="1">((100/H76)*C86)/100</f>
        <v>0</v>
      </c>
      <c r="E86" s="125"/>
      <c r="F86" s="126"/>
      <c r="G86" s="125"/>
      <c r="H86" s="138"/>
      <c r="I86" s="13" t="s">
        <v>139</v>
      </c>
      <c r="J86" s="28">
        <f>(IF(B76&gt;4,(H76/(B76+2)+J85),0))</f>
        <v>0</v>
      </c>
    </row>
    <row r="87" spans="1:19" ht="15.75" customHeight="1" x14ac:dyDescent="0.25">
      <c r="A87" s="98" t="s">
        <v>127</v>
      </c>
      <c r="B87" s="99" t="s">
        <v>127</v>
      </c>
      <c r="C87" s="63">
        <v>0</v>
      </c>
      <c r="D87" s="17">
        <f ca="1">((100/(H76))*C87)/100</f>
        <v>0</v>
      </c>
      <c r="E87" s="125"/>
      <c r="F87" s="126"/>
      <c r="G87" s="125"/>
      <c r="H87" s="138"/>
      <c r="I87" s="13" t="s">
        <v>141</v>
      </c>
      <c r="J87" s="28">
        <f ca="1">(IF(B76=1,(H76/(B76+3)+J82),IF(B76=0,(H76/4+J82),IF(B76&gt;1,0))))</f>
        <v>21</v>
      </c>
    </row>
    <row r="88" spans="1:19" ht="16.5" thickBot="1" x14ac:dyDescent="0.3">
      <c r="A88" s="103" t="s">
        <v>128</v>
      </c>
      <c r="B88" s="104"/>
      <c r="C88" s="62">
        <v>0</v>
      </c>
      <c r="D88" s="18">
        <f ca="1">((100/(H76))*C88)/100</f>
        <v>0</v>
      </c>
      <c r="E88" s="127"/>
      <c r="F88" s="128"/>
      <c r="G88" s="127"/>
      <c r="H88" s="139"/>
      <c r="I88" s="14" t="s">
        <v>99</v>
      </c>
      <c r="J88" s="30">
        <f ca="1">(IF(B76&gt;1.5,(H76/(B76+2)+J82+MAX(0,J83-J82)+MAX(0,J84-J83)+MAX(0,J85-J84)+MAX(0,J86-J85)+MAX(0,J87-J86)),IF(B76=1,(H76/(B76+3)+J87),IF(B76=0,H76/4+J87))))</f>
        <v>28</v>
      </c>
    </row>
    <row r="89" spans="1:19" ht="15.75" customHeight="1" x14ac:dyDescent="0.25">
      <c r="A89" s="145" t="s">
        <v>134</v>
      </c>
      <c r="B89" s="146"/>
      <c r="C89" s="147" t="str">
        <f>D67</f>
        <v>Building No.3 (Wing H) = Gr + P1 &amp; P2 + 1st to 28th Floor</v>
      </c>
      <c r="D89" s="148"/>
      <c r="E89" s="148"/>
      <c r="F89" s="148"/>
      <c r="G89" s="148"/>
      <c r="H89" s="149"/>
      <c r="I89" s="43" t="str">
        <f ca="1">IF(D102=100%,"All work Completed. Possession granted to the Building.",IF(D101=100%,"All work Completed, Waiting for OC",I90&amp;""&amp;I91&amp;""&amp;J90&amp;""&amp;J89&amp;" "&amp;J91))</f>
        <v>Excavation, Plinth Completed, RCC upto 7 Slab, Brickwork upto 1 Floor Completed</v>
      </c>
      <c r="J89" s="44"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RCC upto 7 Slab, Brickwork upto 1 Floor</v>
      </c>
    </row>
    <row r="90" spans="1:19" x14ac:dyDescent="0.25">
      <c r="A90" s="15" t="s">
        <v>136</v>
      </c>
      <c r="B90" s="48">
        <f>IF(AND(ISNUMBER(SEARCH("1B",C89))),1,IF(AND(ISNUMBER(SEARCH("2B",C89))),2,IF(AND(ISNUMBER(SEARCH("3B",C89))),3,IF(AND(ISNUMBER(SEARCH("4B",C89))),4,IF(ISNUMBER(SEARCH("5B",C89)),5,0)))))</f>
        <v>0</v>
      </c>
      <c r="C90" s="68" t="s">
        <v>68</v>
      </c>
      <c r="D90" s="68">
        <v>1</v>
      </c>
      <c r="E90" s="68" t="s">
        <v>67</v>
      </c>
      <c r="F90" s="68">
        <v>2</v>
      </c>
      <c r="G90" s="68" t="s">
        <v>76</v>
      </c>
      <c r="H90" s="69">
        <f ca="1">--TRIM(RIGHT(SUBSTITUTE(LEFT(C89,_xlfn.AGGREGATE(16,6,FIND({0,1,2,3,4,5,6,7,8,9},C89,ROW(INDIRECT("1:"&amp;LEN(C89)))),1))," ",REPT(" ",LEN(C89))),LEN(C89)))</f>
        <v>28</v>
      </c>
      <c r="I90" s="45" t="str">
        <f ca="1">IF(D93=100%,"Excavation","")&amp;IF(D94=100%,", Plinth","")&amp;IF(D95=100%,", RCC Slab","")&amp;IF(D96=100%,", Brickwork","")&amp;IF(D97=100%,", Internal Plaster","")&amp;IF(D98=100%,", External Plaster","")&amp;IF(D99=100%,", Flooring","")&amp;IF(D100=100%,", Painting","")&amp;IF(D101=100%,", Building common Amenities","")</f>
        <v>Excavation, Plinth</v>
      </c>
      <c r="J90" s="46"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row>
    <row r="91" spans="1:19" x14ac:dyDescent="0.25">
      <c r="A91" s="143" t="s">
        <v>86</v>
      </c>
      <c r="B91" s="144"/>
      <c r="C91" s="96" t="str">
        <f ca="1">(IF($G$61="NA",I89,"All work Completed. OC Received."))</f>
        <v>Excavation, Plinth Completed, RCC upto 7 Slab, Brickwork upto 1 Floor Completed</v>
      </c>
      <c r="D91" s="96"/>
      <c r="E91" s="96"/>
      <c r="F91" s="96"/>
      <c r="G91" s="96"/>
      <c r="H91" s="97"/>
      <c r="I91" s="45" t="str">
        <f ca="1">IF(I90&lt;&gt;""," Completed","")</f>
        <v xml:space="preserve"> Completed</v>
      </c>
      <c r="J91" s="46" t="str">
        <f ca="1">IF(J89&lt;&gt;"","Completed","")</f>
        <v>Completed</v>
      </c>
    </row>
    <row r="92" spans="1:19" ht="15.75" customHeight="1" x14ac:dyDescent="0.25">
      <c r="A92" s="98" t="s">
        <v>46</v>
      </c>
      <c r="B92" s="99"/>
      <c r="C92" s="63" t="s">
        <v>133</v>
      </c>
      <c r="D92" s="63" t="s">
        <v>79</v>
      </c>
      <c r="E92" s="99" t="s">
        <v>81</v>
      </c>
      <c r="F92" s="99"/>
      <c r="G92" s="99" t="s">
        <v>80</v>
      </c>
      <c r="H92" s="121"/>
      <c r="I92" s="13" t="s">
        <v>135</v>
      </c>
      <c r="J92" s="26">
        <f ca="1">H90*25%</f>
        <v>7</v>
      </c>
    </row>
    <row r="93" spans="1:19" x14ac:dyDescent="0.25">
      <c r="A93" s="98" t="s">
        <v>122</v>
      </c>
      <c r="B93" s="99"/>
      <c r="C93" s="63">
        <f ca="1">J94</f>
        <v>28</v>
      </c>
      <c r="D93" s="17">
        <f ca="1">((100/H90)*C93)/100</f>
        <v>1</v>
      </c>
      <c r="E93" s="123">
        <f ca="1">(((C94/H90*10)+(40/(D90+F90+H90)*C95)+(7.5/(H90)*C96)+(7.5/(H90)*C97)+(10/H90*C98)+(10/H90*C99)+(5/H90*C100)+(5/H90*C101)+(5/H90*C102))/100)</f>
        <v>0.1930011520737327</v>
      </c>
      <c r="F93" s="124"/>
      <c r="G93" s="123">
        <f ca="1">((((C93/H90)*20)+((C94/H90)*25)+(30/(H90+F90+D90)*C95)+(5/H90*C96)+(5/H90*C97)+(5/H90*C98)+(5/H90*C99)+(0/H90*C100)+(0/H90*C101)+(5/H90*C102))/100)</f>
        <v>0.51952764976958532</v>
      </c>
      <c r="H93" s="137"/>
      <c r="I93" s="13" t="s">
        <v>95</v>
      </c>
      <c r="J93" s="27">
        <f ca="1">H90*50%</f>
        <v>14</v>
      </c>
    </row>
    <row r="94" spans="1:19" x14ac:dyDescent="0.25">
      <c r="A94" s="98" t="s">
        <v>47</v>
      </c>
      <c r="B94" s="99"/>
      <c r="C94" s="70">
        <f ca="1">J102</f>
        <v>28</v>
      </c>
      <c r="D94" s="17">
        <f ca="1">((100/H90)*C94)/100</f>
        <v>1</v>
      </c>
      <c r="E94" s="125"/>
      <c r="F94" s="126"/>
      <c r="G94" s="125"/>
      <c r="H94" s="138"/>
      <c r="I94" s="13" t="s">
        <v>96</v>
      </c>
      <c r="J94" s="27">
        <f ca="1">H90</f>
        <v>28</v>
      </c>
    </row>
    <row r="95" spans="1:19" ht="15.75" customHeight="1" x14ac:dyDescent="0.25">
      <c r="A95" s="98" t="s">
        <v>123</v>
      </c>
      <c r="B95" s="99"/>
      <c r="C95" s="63">
        <v>7</v>
      </c>
      <c r="D95" s="17">
        <f ca="1">((100/(D90+F90+H90))*C95)/100</f>
        <v>0.22580645161290319</v>
      </c>
      <c r="E95" s="125"/>
      <c r="F95" s="126"/>
      <c r="G95" s="125"/>
      <c r="H95" s="138"/>
      <c r="I95" s="13" t="s">
        <v>97</v>
      </c>
      <c r="J95" s="28">
        <f ca="1">(IF(B90&gt;1,(H90/(B90+2)),H90/4))</f>
        <v>7</v>
      </c>
    </row>
    <row r="96" spans="1:19" ht="15.75" customHeight="1" x14ac:dyDescent="0.25">
      <c r="A96" s="98" t="s">
        <v>130</v>
      </c>
      <c r="B96" s="99" t="s">
        <v>124</v>
      </c>
      <c r="C96" s="63">
        <v>1</v>
      </c>
      <c r="D96" s="17">
        <f ca="1">((100/H90)*C96)/100</f>
        <v>3.5714285714285719E-2</v>
      </c>
      <c r="E96" s="125"/>
      <c r="F96" s="126"/>
      <c r="G96" s="125"/>
      <c r="H96" s="138"/>
      <c r="I96" s="13" t="s">
        <v>98</v>
      </c>
      <c r="J96" s="28">
        <f ca="1">(IF(B90&gt;1,(H90/(B90+2)+J95),H90/4+J95))</f>
        <v>14</v>
      </c>
    </row>
    <row r="97" spans="1:22" ht="15.75" customHeight="1" x14ac:dyDescent="0.25">
      <c r="A97" s="98" t="s">
        <v>131</v>
      </c>
      <c r="B97" s="99" t="s">
        <v>124</v>
      </c>
      <c r="C97" s="63">
        <v>0</v>
      </c>
      <c r="D97" s="17">
        <f ca="1">((100/H90)*C97)/100</f>
        <v>0</v>
      </c>
      <c r="E97" s="125"/>
      <c r="F97" s="126"/>
      <c r="G97" s="125"/>
      <c r="H97" s="138"/>
      <c r="I97" s="13" t="s">
        <v>140</v>
      </c>
      <c r="J97" s="28">
        <f>(IF(B90&gt;1,(H90/(B90+2)+J96),0))</f>
        <v>0</v>
      </c>
    </row>
    <row r="98" spans="1:22" ht="15" customHeight="1" x14ac:dyDescent="0.25">
      <c r="A98" s="98" t="s">
        <v>129</v>
      </c>
      <c r="B98" s="99" t="s">
        <v>126</v>
      </c>
      <c r="C98" s="63">
        <v>0</v>
      </c>
      <c r="D98" s="17">
        <f ca="1">((100/(H90))*C98)/100</f>
        <v>0</v>
      </c>
      <c r="E98" s="125"/>
      <c r="F98" s="126"/>
      <c r="G98" s="125"/>
      <c r="H98" s="138"/>
      <c r="I98" s="13" t="s">
        <v>137</v>
      </c>
      <c r="J98" s="28">
        <f>(IF(B90&gt;2,(H90/(B90+2)+J97),0))</f>
        <v>0</v>
      </c>
    </row>
    <row r="99" spans="1:22" ht="15.75" customHeight="1" x14ac:dyDescent="0.25">
      <c r="A99" s="98" t="s">
        <v>125</v>
      </c>
      <c r="B99" s="99" t="s">
        <v>125</v>
      </c>
      <c r="C99" s="63">
        <v>0</v>
      </c>
      <c r="D99" s="17">
        <f ca="1">((100/H90)*C99)/100</f>
        <v>0</v>
      </c>
      <c r="E99" s="125"/>
      <c r="F99" s="126"/>
      <c r="G99" s="125"/>
      <c r="H99" s="138"/>
      <c r="I99" s="13" t="s">
        <v>138</v>
      </c>
      <c r="J99" s="29">
        <f>(IF(B90&gt;3,(H90/(B90+2)+J98),0))</f>
        <v>0</v>
      </c>
    </row>
    <row r="100" spans="1:22" ht="15.75" customHeight="1" x14ac:dyDescent="0.25">
      <c r="A100" s="98" t="s">
        <v>132</v>
      </c>
      <c r="B100" s="99"/>
      <c r="C100" s="63">
        <v>0</v>
      </c>
      <c r="D100" s="17">
        <f ca="1">((100/H90)*C100)/100</f>
        <v>0</v>
      </c>
      <c r="E100" s="125"/>
      <c r="F100" s="126"/>
      <c r="G100" s="125"/>
      <c r="H100" s="138"/>
      <c r="I100" s="13" t="s">
        <v>139</v>
      </c>
      <c r="J100" s="28">
        <f>(IF(B90&gt;4,(H90/(B90+2)+J99),0))</f>
        <v>0</v>
      </c>
    </row>
    <row r="101" spans="1:22" ht="15.75" customHeight="1" x14ac:dyDescent="0.25">
      <c r="A101" s="98" t="s">
        <v>127</v>
      </c>
      <c r="B101" s="99" t="s">
        <v>127</v>
      </c>
      <c r="C101" s="63">
        <v>0</v>
      </c>
      <c r="D101" s="17">
        <f ca="1">((100/(H90))*C101)/100</f>
        <v>0</v>
      </c>
      <c r="E101" s="125"/>
      <c r="F101" s="126"/>
      <c r="G101" s="125"/>
      <c r="H101" s="138"/>
      <c r="I101" s="13" t="s">
        <v>141</v>
      </c>
      <c r="J101" s="28">
        <f ca="1">(IF(B90=1,(H90/(B90+3)+J96),IF(B90=0,(H90/4+J96),IF(B90&gt;1,0))))</f>
        <v>21</v>
      </c>
    </row>
    <row r="102" spans="1:22" ht="16.5" thickBot="1" x14ac:dyDescent="0.3">
      <c r="A102" s="103" t="s">
        <v>128</v>
      </c>
      <c r="B102" s="104"/>
      <c r="C102" s="62">
        <v>0</v>
      </c>
      <c r="D102" s="18">
        <f ca="1">((100/(H90))*C102)/100</f>
        <v>0</v>
      </c>
      <c r="E102" s="127"/>
      <c r="F102" s="128"/>
      <c r="G102" s="127"/>
      <c r="H102" s="139"/>
      <c r="I102" s="14" t="s">
        <v>99</v>
      </c>
      <c r="J102" s="30">
        <f ca="1">(IF(B90&gt;1.5,(H90/(B90+2)+J96+MAX(0,J97-J96)+MAX(0,J98-J97)+MAX(0,J99-J98)+MAX(0,J100-J99)+MAX(0,J101-J100)),IF(B90=1,(H90/(B90+3)+J101),IF(B90=0,H90/4+J101))))</f>
        <v>28</v>
      </c>
    </row>
    <row r="103" spans="1:22" x14ac:dyDescent="0.25">
      <c r="A103" s="140" t="s">
        <v>151</v>
      </c>
      <c r="B103" s="140"/>
      <c r="C103" s="140"/>
      <c r="D103" s="140"/>
      <c r="E103" s="140"/>
      <c r="F103" s="118" t="s">
        <v>155</v>
      </c>
      <c r="G103" s="118"/>
      <c r="H103" s="118"/>
      <c r="R103" t="s">
        <v>248</v>
      </c>
      <c r="S103" t="s">
        <v>167</v>
      </c>
      <c r="T103" t="s">
        <v>174</v>
      </c>
      <c r="U103" t="s">
        <v>189</v>
      </c>
      <c r="V103" t="s">
        <v>184</v>
      </c>
    </row>
    <row r="104" spans="1:22" x14ac:dyDescent="0.25">
      <c r="A104" s="102" t="s">
        <v>153</v>
      </c>
      <c r="B104" s="102"/>
      <c r="C104" s="102"/>
      <c r="D104" s="102"/>
      <c r="E104" s="102"/>
      <c r="F104" s="122">
        <v>5600</v>
      </c>
      <c r="G104" s="122"/>
      <c r="H104" s="122"/>
      <c r="I104" s="19" t="s">
        <v>352</v>
      </c>
      <c r="R104"/>
      <c r="S104">
        <v>800000</v>
      </c>
      <c r="T104">
        <v>300000</v>
      </c>
      <c r="U104">
        <v>100000</v>
      </c>
      <c r="V104">
        <v>100000</v>
      </c>
    </row>
    <row r="105" spans="1:22" x14ac:dyDescent="0.25">
      <c r="A105" s="102" t="s">
        <v>152</v>
      </c>
      <c r="B105" s="102"/>
      <c r="C105" s="102"/>
      <c r="D105" s="102"/>
      <c r="E105" s="102"/>
      <c r="F105" s="122">
        <v>9000</v>
      </c>
      <c r="G105" s="122"/>
      <c r="H105" s="122"/>
      <c r="R105"/>
      <c r="S105">
        <v>900000</v>
      </c>
      <c r="T105">
        <v>350000</v>
      </c>
      <c r="U105">
        <v>150000</v>
      </c>
      <c r="V105">
        <v>150000</v>
      </c>
    </row>
    <row r="106" spans="1:22" hidden="1" x14ac:dyDescent="0.25">
      <c r="A106" s="102" t="s">
        <v>154</v>
      </c>
      <c r="B106" s="102"/>
      <c r="C106" s="102"/>
      <c r="D106" s="102"/>
      <c r="E106" s="102"/>
      <c r="F106" s="122"/>
      <c r="G106" s="122"/>
      <c r="H106" s="122"/>
      <c r="R106"/>
      <c r="S106">
        <v>1000000</v>
      </c>
      <c r="T106">
        <v>400000</v>
      </c>
      <c r="U106">
        <v>200000</v>
      </c>
      <c r="V106">
        <v>200000</v>
      </c>
    </row>
    <row r="107" spans="1:22" s="31" customFormat="1" hidden="1" x14ac:dyDescent="0.25">
      <c r="A107" s="102" t="s">
        <v>170</v>
      </c>
      <c r="B107" s="102"/>
      <c r="C107" s="102"/>
      <c r="D107" s="102"/>
      <c r="E107" s="102"/>
      <c r="F107" s="122"/>
      <c r="G107" s="122"/>
      <c r="H107" s="122"/>
      <c r="R107"/>
      <c r="S107">
        <v>1100000</v>
      </c>
      <c r="T107">
        <v>500000</v>
      </c>
      <c r="U107">
        <v>250000</v>
      </c>
      <c r="V107" s="21">
        <v>250000</v>
      </c>
    </row>
    <row r="108" spans="1:22" s="31" customFormat="1" x14ac:dyDescent="0.25">
      <c r="A108" s="102" t="s">
        <v>350</v>
      </c>
      <c r="B108" s="102"/>
      <c r="C108" s="102"/>
      <c r="D108" s="102"/>
      <c r="E108" s="102"/>
      <c r="F108" s="122">
        <v>250000</v>
      </c>
      <c r="G108" s="122"/>
      <c r="H108" s="122"/>
      <c r="R108"/>
      <c r="S108">
        <v>1200000</v>
      </c>
      <c r="T108">
        <v>600000</v>
      </c>
      <c r="U108">
        <v>300000</v>
      </c>
      <c r="V108">
        <v>300000</v>
      </c>
    </row>
    <row r="109" spans="1:22" s="31" customFormat="1" hidden="1" x14ac:dyDescent="0.25">
      <c r="A109" s="102" t="s">
        <v>90</v>
      </c>
      <c r="B109" s="102"/>
      <c r="C109" s="102"/>
      <c r="D109" s="102"/>
      <c r="E109" s="102"/>
      <c r="F109" s="122"/>
      <c r="G109" s="122"/>
      <c r="H109" s="122"/>
      <c r="R109"/>
      <c r="S109">
        <v>1300000</v>
      </c>
      <c r="T109">
        <v>700000</v>
      </c>
      <c r="U109">
        <v>350000</v>
      </c>
      <c r="V109" s="21">
        <v>400000</v>
      </c>
    </row>
    <row r="110" spans="1:22" s="31" customFormat="1" hidden="1" x14ac:dyDescent="0.25">
      <c r="A110" s="102" t="s">
        <v>91</v>
      </c>
      <c r="B110" s="102"/>
      <c r="C110" s="102"/>
      <c r="D110" s="102"/>
      <c r="E110" s="102"/>
      <c r="F110" s="122"/>
      <c r="G110" s="122"/>
      <c r="H110" s="122"/>
      <c r="R110"/>
      <c r="S110">
        <v>1400000</v>
      </c>
      <c r="T110">
        <v>800000</v>
      </c>
      <c r="U110">
        <v>400000</v>
      </c>
      <c r="V110"/>
    </row>
    <row r="111" spans="1:22" s="31" customFormat="1" hidden="1" x14ac:dyDescent="0.25">
      <c r="A111" s="102" t="s">
        <v>92</v>
      </c>
      <c r="B111" s="102"/>
      <c r="C111" s="102"/>
      <c r="D111" s="102"/>
      <c r="E111" s="102"/>
      <c r="F111" s="122"/>
      <c r="G111" s="122"/>
      <c r="H111" s="122"/>
      <c r="R111"/>
      <c r="S111">
        <v>1500000</v>
      </c>
      <c r="T111">
        <v>900000</v>
      </c>
      <c r="U111">
        <v>500000</v>
      </c>
      <c r="V111" s="21"/>
    </row>
    <row r="112" spans="1:22" s="31" customFormat="1" hidden="1" x14ac:dyDescent="0.25">
      <c r="A112" s="102" t="s">
        <v>93</v>
      </c>
      <c r="B112" s="102"/>
      <c r="C112" s="102"/>
      <c r="D112" s="102"/>
      <c r="E112" s="102"/>
      <c r="F112" s="122"/>
      <c r="G112" s="122"/>
      <c r="H112" s="122"/>
      <c r="R112"/>
      <c r="S112">
        <v>1600000</v>
      </c>
      <c r="T112">
        <v>1000000</v>
      </c>
      <c r="U112">
        <v>600000</v>
      </c>
      <c r="V112"/>
    </row>
    <row r="113" spans="1:22" s="31" customFormat="1" hidden="1" x14ac:dyDescent="0.25">
      <c r="A113" s="102" t="s">
        <v>94</v>
      </c>
      <c r="B113" s="102"/>
      <c r="C113" s="102"/>
      <c r="D113" s="102"/>
      <c r="E113" s="102"/>
      <c r="F113" s="122"/>
      <c r="G113" s="122"/>
      <c r="H113" s="122"/>
      <c r="R113"/>
      <c r="S113">
        <v>1700000</v>
      </c>
      <c r="T113"/>
      <c r="U113"/>
      <c r="V113" s="21"/>
    </row>
    <row r="114" spans="1:22" x14ac:dyDescent="0.25">
      <c r="A114" s="102" t="s">
        <v>48</v>
      </c>
      <c r="B114" s="102"/>
      <c r="C114" s="102"/>
      <c r="D114" s="102"/>
      <c r="E114" s="102"/>
      <c r="F114" s="201">
        <v>250000</v>
      </c>
      <c r="G114" s="201"/>
      <c r="H114" s="201"/>
      <c r="R114"/>
      <c r="S114">
        <v>1800000</v>
      </c>
      <c r="T114"/>
      <c r="U114"/>
    </row>
    <row r="115" spans="1:22" s="32" customFormat="1" x14ac:dyDescent="0.25">
      <c r="A115" s="160" t="s">
        <v>49</v>
      </c>
      <c r="B115" s="160"/>
      <c r="C115" s="160"/>
      <c r="D115" s="160"/>
      <c r="E115" s="160"/>
      <c r="F115" s="122">
        <f>F104*0.8</f>
        <v>4480</v>
      </c>
      <c r="G115" s="122"/>
      <c r="H115" s="122"/>
      <c r="R115" s="19"/>
      <c r="S115" s="19"/>
      <c r="T115"/>
      <c r="U115"/>
      <c r="V115" s="19"/>
    </row>
    <row r="116" spans="1:22" s="32" customFormat="1" ht="15.75" customHeight="1" x14ac:dyDescent="0.25">
      <c r="A116" s="84" t="s">
        <v>338</v>
      </c>
      <c r="B116" s="85"/>
      <c r="C116" s="85"/>
      <c r="D116" s="85"/>
      <c r="E116" s="85"/>
      <c r="F116" s="85"/>
      <c r="G116" s="85"/>
      <c r="H116" s="86"/>
      <c r="R116" s="19"/>
      <c r="S116" s="19"/>
      <c r="T116"/>
      <c r="U116"/>
      <c r="V116" s="19"/>
    </row>
    <row r="117" spans="1:22" s="33" customFormat="1" ht="15.75" customHeight="1" x14ac:dyDescent="0.25">
      <c r="A117" s="109" t="s">
        <v>71</v>
      </c>
      <c r="B117" s="109"/>
      <c r="C117" s="109"/>
      <c r="D117" s="109"/>
      <c r="E117" s="109"/>
      <c r="F117" s="109"/>
      <c r="G117" s="109"/>
      <c r="H117" s="109"/>
      <c r="R117"/>
      <c r="S117" s="19"/>
      <c r="T117"/>
      <c r="U117"/>
      <c r="V117" s="19"/>
    </row>
    <row r="118" spans="1:22" s="33" customFormat="1" ht="15.75" customHeight="1" x14ac:dyDescent="0.25">
      <c r="A118" s="114" t="s">
        <v>50</v>
      </c>
      <c r="B118" s="114"/>
      <c r="C118" s="111" t="s">
        <v>74</v>
      </c>
      <c r="D118" s="111"/>
      <c r="E118" s="113" t="s">
        <v>51</v>
      </c>
      <c r="F118" s="113"/>
      <c r="G118" s="114" t="s">
        <v>52</v>
      </c>
      <c r="H118" s="114"/>
      <c r="R118"/>
      <c r="S118" s="19"/>
      <c r="T118"/>
      <c r="U118" s="19"/>
      <c r="V118" s="19"/>
    </row>
    <row r="119" spans="1:22" s="33" customFormat="1" x14ac:dyDescent="0.25">
      <c r="A119" s="115" t="s">
        <v>339</v>
      </c>
      <c r="B119" s="115"/>
      <c r="C119" s="116">
        <f>COUNT(D134:D150)</f>
        <v>17</v>
      </c>
      <c r="D119" s="153"/>
      <c r="E119" s="117">
        <f>SUM(F134:F150)</f>
        <v>2619.6077699999996</v>
      </c>
      <c r="F119" s="154"/>
      <c r="G119" s="117">
        <f>SUM(H134:H150)</f>
        <v>4060.3920434999991</v>
      </c>
      <c r="H119" s="154"/>
      <c r="R119"/>
      <c r="S119" s="19"/>
      <c r="T119"/>
      <c r="U119" s="19"/>
      <c r="V119" s="19"/>
    </row>
    <row r="120" spans="1:22" s="33" customFormat="1" x14ac:dyDescent="0.25">
      <c r="A120" s="109" t="s">
        <v>144</v>
      </c>
      <c r="B120" s="109"/>
      <c r="C120" s="110">
        <f t="shared" ref="C120:G120" si="0">SUM(C119)</f>
        <v>17</v>
      </c>
      <c r="D120" s="111"/>
      <c r="E120" s="112">
        <f t="shared" si="0"/>
        <v>2619.6077699999996</v>
      </c>
      <c r="F120" s="113"/>
      <c r="G120" s="114">
        <f t="shared" si="0"/>
        <v>4060.3920434999991</v>
      </c>
      <c r="H120" s="114"/>
      <c r="R120"/>
      <c r="S120" s="19"/>
      <c r="T120"/>
      <c r="U120" s="19"/>
      <c r="V120" s="19"/>
    </row>
    <row r="121" spans="1:22" s="33" customFormat="1" x14ac:dyDescent="0.25">
      <c r="A121" s="109" t="s">
        <v>66</v>
      </c>
      <c r="B121" s="109"/>
      <c r="C121" s="109"/>
      <c r="D121" s="109"/>
      <c r="E121" s="109"/>
      <c r="F121" s="109"/>
      <c r="G121" s="109"/>
      <c r="H121" s="109"/>
      <c r="T121"/>
    </row>
    <row r="122" spans="1:22" s="33" customFormat="1" ht="15.75" customHeight="1" x14ac:dyDescent="0.25">
      <c r="A122" s="114" t="s">
        <v>50</v>
      </c>
      <c r="B122" s="114"/>
      <c r="C122" s="111" t="s">
        <v>74</v>
      </c>
      <c r="D122" s="111"/>
      <c r="E122" s="113" t="s">
        <v>51</v>
      </c>
      <c r="F122" s="113"/>
      <c r="G122" s="114" t="s">
        <v>52</v>
      </c>
      <c r="H122" s="114"/>
      <c r="T122"/>
    </row>
    <row r="123" spans="1:22" s="33" customFormat="1" x14ac:dyDescent="0.25">
      <c r="A123" s="202" t="s">
        <v>336</v>
      </c>
      <c r="B123" s="202"/>
      <c r="C123" s="116">
        <f>COUNT(F159:F168)+COUNT(F170:F179)*17+COUNT(F181:F184,F186:F190)*4</f>
        <v>216</v>
      </c>
      <c r="D123" s="116"/>
      <c r="E123" s="117">
        <f>SUM(F159:F168)+SUM(F170:F179)*17+SUM(F181:F184,F186:F190)*4</f>
        <v>114362.52165</v>
      </c>
      <c r="F123" s="117"/>
      <c r="G123" s="117">
        <f>SUM(H159:H168)+SUM(H170:H179)*17+SUM(H181:H184,H186:H190)*4</f>
        <v>171872.73031499999</v>
      </c>
      <c r="H123" s="117"/>
      <c r="T123"/>
    </row>
    <row r="124" spans="1:22" s="33" customFormat="1" x14ac:dyDescent="0.25">
      <c r="A124" s="115" t="s">
        <v>337</v>
      </c>
      <c r="B124" s="115"/>
      <c r="C124" s="116">
        <f>COUNT(F194:F203)+COUNT(F205:F214)*17+COUNT(F216:F220,F222:F225)*4</f>
        <v>216</v>
      </c>
      <c r="D124" s="116"/>
      <c r="E124" s="117">
        <f>SUM(F194:F203)+SUM(F205:F214)*17+SUM(F216:F220,F222:F225)*4</f>
        <v>114669.18801000001</v>
      </c>
      <c r="F124" s="117"/>
      <c r="G124" s="117">
        <f>SUM(H194:H203)+SUM(H205:H214)*17+SUM(H216:H220,H222:H225)*4</f>
        <v>172316.26093499997</v>
      </c>
      <c r="H124" s="117"/>
    </row>
    <row r="125" spans="1:22" s="33" customFormat="1" ht="16.5" thickBot="1" x14ac:dyDescent="0.3">
      <c r="A125" s="105" t="s">
        <v>144</v>
      </c>
      <c r="B125" s="105"/>
      <c r="C125" s="225">
        <f t="shared" ref="C125" si="1">SUM(C123:D124)</f>
        <v>432</v>
      </c>
      <c r="D125" s="226"/>
      <c r="E125" s="106">
        <f>SUM(E123:F124)</f>
        <v>229031.70965999999</v>
      </c>
      <c r="F125" s="107"/>
      <c r="G125" s="108">
        <f t="shared" ref="G125" si="2">SUM(G123:H124)</f>
        <v>344188.99124999996</v>
      </c>
      <c r="H125" s="108"/>
    </row>
    <row r="126" spans="1:22" s="33" customFormat="1" ht="16.5" thickBot="1" x14ac:dyDescent="0.3">
      <c r="A126" s="211" t="s">
        <v>161</v>
      </c>
      <c r="B126" s="212"/>
      <c r="C126" s="213">
        <f>C120+C125</f>
        <v>449</v>
      </c>
      <c r="D126" s="213"/>
      <c r="E126" s="214">
        <f>E120+E125</f>
        <v>231651.31743</v>
      </c>
      <c r="F126" s="214"/>
      <c r="G126" s="155">
        <f>G120+G125</f>
        <v>348249.38329349994</v>
      </c>
      <c r="H126" s="156"/>
    </row>
    <row r="127" spans="1:22" s="32" customFormat="1" x14ac:dyDescent="0.25">
      <c r="A127" s="203" t="s">
        <v>53</v>
      </c>
      <c r="B127" s="203"/>
      <c r="C127" s="203"/>
      <c r="D127" s="203"/>
      <c r="E127" s="203"/>
      <c r="F127" s="203"/>
      <c r="G127" s="203"/>
      <c r="H127" s="203"/>
      <c r="T127" s="33"/>
    </row>
    <row r="128" spans="1:22" x14ac:dyDescent="0.25">
      <c r="A128" s="235" t="s">
        <v>169</v>
      </c>
      <c r="B128" s="235"/>
      <c r="C128" s="235"/>
      <c r="D128" s="235"/>
      <c r="E128" s="235"/>
      <c r="F128" s="235"/>
      <c r="G128" s="235"/>
      <c r="H128" s="235"/>
      <c r="T128" s="33"/>
    </row>
    <row r="129" spans="1:20" ht="47.25" customHeight="1" x14ac:dyDescent="0.25">
      <c r="A129" s="93" t="s">
        <v>114</v>
      </c>
      <c r="B129" s="93" t="s">
        <v>171</v>
      </c>
      <c r="C129" s="93" t="s">
        <v>54</v>
      </c>
      <c r="D129" s="93" t="s">
        <v>335</v>
      </c>
      <c r="E129" s="141" t="s">
        <v>150</v>
      </c>
      <c r="F129" s="93" t="s">
        <v>55</v>
      </c>
      <c r="G129" s="141" t="s">
        <v>56</v>
      </c>
      <c r="H129" s="72" t="s">
        <v>143</v>
      </c>
      <c r="T129" s="33"/>
    </row>
    <row r="130" spans="1:20" s="35" customFormat="1" x14ac:dyDescent="0.25">
      <c r="A130" s="94"/>
      <c r="B130" s="94"/>
      <c r="C130" s="94"/>
      <c r="D130" s="94"/>
      <c r="E130" s="142"/>
      <c r="F130" s="94"/>
      <c r="G130" s="142"/>
      <c r="H130" s="73">
        <v>0.55000000000000004</v>
      </c>
      <c r="T130" s="32"/>
    </row>
    <row r="131" spans="1:20" s="65" customFormat="1" x14ac:dyDescent="0.25">
      <c r="A131" s="84" t="s">
        <v>338</v>
      </c>
      <c r="B131" s="85"/>
      <c r="C131" s="85"/>
      <c r="D131" s="85"/>
      <c r="E131" s="85"/>
      <c r="F131" s="85"/>
      <c r="G131" s="85"/>
      <c r="H131" s="86"/>
      <c r="T131" s="32"/>
    </row>
    <row r="132" spans="1:20" s="65" customFormat="1" x14ac:dyDescent="0.25">
      <c r="A132" s="84" t="s">
        <v>337</v>
      </c>
      <c r="B132" s="85"/>
      <c r="C132" s="85"/>
      <c r="D132" s="85"/>
      <c r="E132" s="85"/>
      <c r="F132" s="85"/>
      <c r="G132" s="85"/>
      <c r="H132" s="86"/>
      <c r="I132" s="71">
        <v>10.763999999999999</v>
      </c>
      <c r="T132" s="32"/>
    </row>
    <row r="133" spans="1:20" s="35" customFormat="1" x14ac:dyDescent="0.25">
      <c r="A133" s="84" t="s">
        <v>326</v>
      </c>
      <c r="B133" s="85"/>
      <c r="C133" s="85"/>
      <c r="D133" s="85"/>
      <c r="E133" s="85"/>
      <c r="F133" s="85"/>
      <c r="G133" s="85"/>
      <c r="H133" s="86"/>
      <c r="J133" s="34"/>
      <c r="T133" s="19"/>
    </row>
    <row r="134" spans="1:20" s="35" customFormat="1" ht="15.75" customHeight="1" x14ac:dyDescent="0.25">
      <c r="A134" s="87">
        <v>1</v>
      </c>
      <c r="B134" s="88"/>
      <c r="C134" s="40" t="s">
        <v>308</v>
      </c>
      <c r="D134" s="71">
        <f>(2.75*4.4+1.75*1.35+0.9*1.2)*10.764</f>
        <v>167.29947000000001</v>
      </c>
      <c r="E134" s="40">
        <v>0</v>
      </c>
      <c r="F134" s="60">
        <f>D134+(IF(E134&lt;201,E134,IF(E134&lt;301,E134/2,E134/3)))</f>
        <v>167.29947000000001</v>
      </c>
      <c r="G134" s="61">
        <v>0</v>
      </c>
      <c r="H134" s="60">
        <f>(F134+(IF(G134&lt;101,G134,IF(G134&lt;201,G134/2,IF(G134&lt;=301,G134/3,G134/4)))))*(($H$130)+1)</f>
        <v>259.31417850000003</v>
      </c>
      <c r="I134" s="75">
        <f>2.75*4.4+1.75*1.35+0.9*1.2</f>
        <v>15.542500000000002</v>
      </c>
      <c r="J134" s="34"/>
      <c r="L134" s="150"/>
      <c r="M134" s="150"/>
      <c r="N134" s="34"/>
      <c r="T134" s="19"/>
    </row>
    <row r="135" spans="1:20" s="35" customFormat="1" ht="15.75" customHeight="1" x14ac:dyDescent="0.25">
      <c r="A135" s="87">
        <f>A134+1</f>
        <v>2</v>
      </c>
      <c r="B135" s="88"/>
      <c r="C135" s="64" t="s">
        <v>308</v>
      </c>
      <c r="D135" s="71">
        <f>(2.3*4.4+1.2*1.35+1*1.2)*10.764</f>
        <v>139.28615999999997</v>
      </c>
      <c r="E135" s="40">
        <v>0</v>
      </c>
      <c r="F135" s="60">
        <f t="shared" ref="F135:F137" si="3">D135+(IF(E135&lt;201,E135,IF(E135&lt;301,E135/2,E135/3)))</f>
        <v>139.28615999999997</v>
      </c>
      <c r="G135" s="52">
        <v>0</v>
      </c>
      <c r="H135" s="60">
        <f t="shared" ref="H135:H137" si="4">(F135+(IF(G135&lt;101,G135,IF(G135&lt;201,G135/2,IF(G135&lt;=301,G135/3,G135/4)))))*(($H$130)+1)</f>
        <v>215.89354799999995</v>
      </c>
      <c r="I135" s="34"/>
      <c r="L135" s="150"/>
      <c r="M135" s="150"/>
      <c r="N135" s="34"/>
    </row>
    <row r="136" spans="1:20" s="35" customFormat="1" ht="15.75" customHeight="1" x14ac:dyDescent="0.25">
      <c r="A136" s="87">
        <f>A135+1</f>
        <v>3</v>
      </c>
      <c r="B136" s="88"/>
      <c r="C136" s="64" t="s">
        <v>308</v>
      </c>
      <c r="D136" s="71">
        <f>(2.9*4.4+1.75*1.35+1*1.2)*10.764</f>
        <v>175.69539</v>
      </c>
      <c r="E136" s="40">
        <v>0</v>
      </c>
      <c r="F136" s="60">
        <f t="shared" si="3"/>
        <v>175.69539</v>
      </c>
      <c r="G136" s="52">
        <v>0</v>
      </c>
      <c r="H136" s="60">
        <f t="shared" si="4"/>
        <v>272.3278545</v>
      </c>
      <c r="I136" s="34"/>
      <c r="L136" s="150"/>
      <c r="M136" s="150"/>
      <c r="N136" s="34"/>
    </row>
    <row r="137" spans="1:20" s="35" customFormat="1" ht="15.75" customHeight="1" x14ac:dyDescent="0.25">
      <c r="A137" s="87">
        <f>A136+1</f>
        <v>4</v>
      </c>
      <c r="B137" s="88"/>
      <c r="C137" s="64" t="s">
        <v>308</v>
      </c>
      <c r="D137" s="71">
        <f>(2.75*6.4+1.45*1.15+1.2*1)*10.764</f>
        <v>220.31217000000001</v>
      </c>
      <c r="E137" s="40">
        <v>0</v>
      </c>
      <c r="F137" s="60">
        <f t="shared" si="3"/>
        <v>220.31217000000001</v>
      </c>
      <c r="G137" s="52">
        <v>0</v>
      </c>
      <c r="H137" s="60">
        <f t="shared" si="4"/>
        <v>341.48386350000004</v>
      </c>
      <c r="I137" s="34">
        <f>2.75*6.4+1.45*1.15+1.21</f>
        <v>20.477500000000003</v>
      </c>
      <c r="L137" s="150"/>
      <c r="M137" s="150"/>
      <c r="N137" s="34"/>
    </row>
    <row r="138" spans="1:20" s="35" customFormat="1" x14ac:dyDescent="0.25">
      <c r="A138" s="87">
        <v>5</v>
      </c>
      <c r="B138" s="88"/>
      <c r="C138" s="64" t="s">
        <v>308</v>
      </c>
      <c r="D138" s="71">
        <f>(2.75*5.75+1.2*1.2)*10.764</f>
        <v>185.70590999999999</v>
      </c>
      <c r="E138" s="64">
        <v>0</v>
      </c>
      <c r="F138" s="64">
        <f>D138+(IF(E138&lt;201,E138,IF(E138&lt;301,E138/2,E138/3)))</f>
        <v>185.70590999999999</v>
      </c>
      <c r="G138" s="61">
        <v>0</v>
      </c>
      <c r="H138" s="64">
        <f>(F138+(IF(G138&lt;101,G138,IF(G138&lt;201,G138/2,IF(G138&lt;=301,G138/3,G138/4)))))*(($H$130)+1)</f>
        <v>287.84416049999999</v>
      </c>
      <c r="I138" s="34"/>
      <c r="N138" s="34"/>
    </row>
    <row r="139" spans="1:20" x14ac:dyDescent="0.25">
      <c r="A139" s="87">
        <f>A138+1</f>
        <v>6</v>
      </c>
      <c r="B139" s="88"/>
      <c r="C139" s="64" t="s">
        <v>308</v>
      </c>
      <c r="D139" s="71">
        <f>(2.15*3.45+1.2*0.95+0.9*1.2)*10.764</f>
        <v>103.73805</v>
      </c>
      <c r="E139" s="64">
        <v>0</v>
      </c>
      <c r="F139" s="64">
        <f t="shared" ref="F139:F141" si="5">D139+(IF(E139&lt;201,E139,IF(E139&lt;301,E139/2,E139/3)))</f>
        <v>103.73805</v>
      </c>
      <c r="G139" s="64">
        <v>0</v>
      </c>
      <c r="H139" s="64">
        <f t="shared" ref="H139:H141" si="6">(F139+(IF(G139&lt;101,G139,IF(G139&lt;201,G139/2,IF(G139&lt;=301,G139/3,G139/4)))))*(($H$130)+1)</f>
        <v>160.79397750000001</v>
      </c>
      <c r="I139" s="34"/>
      <c r="T139" s="35"/>
    </row>
    <row r="140" spans="1:20" s="35" customFormat="1" x14ac:dyDescent="0.25">
      <c r="A140" s="87">
        <f>A139+1</f>
        <v>7</v>
      </c>
      <c r="B140" s="88"/>
      <c r="C140" s="64" t="s">
        <v>308</v>
      </c>
      <c r="D140" s="71">
        <f>(2.75*3.45+1*1.2)*10.764</f>
        <v>115.04024999999999</v>
      </c>
      <c r="E140" s="64">
        <v>0</v>
      </c>
      <c r="F140" s="64">
        <f t="shared" si="5"/>
        <v>115.04024999999999</v>
      </c>
      <c r="G140" s="64">
        <v>0</v>
      </c>
      <c r="H140" s="64">
        <f t="shared" si="6"/>
        <v>178.31238749999997</v>
      </c>
      <c r="I140" s="34"/>
    </row>
    <row r="141" spans="1:20" s="65" customFormat="1" x14ac:dyDescent="0.25">
      <c r="A141" s="87">
        <f>A140+1</f>
        <v>8</v>
      </c>
      <c r="B141" s="88"/>
      <c r="C141" s="64" t="s">
        <v>308</v>
      </c>
      <c r="D141" s="71">
        <f>(2.75*3.45+1*1.2)*10.764</f>
        <v>115.04024999999999</v>
      </c>
      <c r="E141" s="64">
        <v>0</v>
      </c>
      <c r="F141" s="64">
        <f t="shared" si="5"/>
        <v>115.04024999999999</v>
      </c>
      <c r="G141" s="64">
        <v>0</v>
      </c>
      <c r="H141" s="64">
        <f t="shared" si="6"/>
        <v>178.31238749999997</v>
      </c>
      <c r="I141" s="34"/>
    </row>
    <row r="142" spans="1:20" s="65" customFormat="1" x14ac:dyDescent="0.25">
      <c r="A142" s="87">
        <v>9</v>
      </c>
      <c r="B142" s="88"/>
      <c r="C142" s="64" t="s">
        <v>308</v>
      </c>
      <c r="D142" s="71">
        <f>(2.2*3.45+1.2*0.95+1.2*0.9)*10.764</f>
        <v>105.59484</v>
      </c>
      <c r="E142" s="64">
        <v>0</v>
      </c>
      <c r="F142" s="64">
        <f>D142+(IF(E142&lt;201,E142,IF(E142&lt;301,E142/2,E142/3)))</f>
        <v>105.59484</v>
      </c>
      <c r="G142" s="61">
        <v>0</v>
      </c>
      <c r="H142" s="64">
        <f>(F142+(IF(G142&lt;101,G142,IF(G142&lt;201,G142/2,IF(G142&lt;=301,G142/3,G142/4)))))*(($H$130)+1)</f>
        <v>163.67200200000002</v>
      </c>
      <c r="I142" s="34"/>
    </row>
    <row r="143" spans="1:20" s="35" customFormat="1" x14ac:dyDescent="0.25">
      <c r="A143" s="87">
        <f>A142+1</f>
        <v>10</v>
      </c>
      <c r="B143" s="88"/>
      <c r="C143" s="64" t="s">
        <v>308</v>
      </c>
      <c r="D143" s="71">
        <f>(2.75*5.75+1.2*1.2)*10.764</f>
        <v>185.70590999999999</v>
      </c>
      <c r="E143" s="64">
        <v>0</v>
      </c>
      <c r="F143" s="64">
        <f t="shared" ref="F143:F145" si="7">D143+(IF(E143&lt;201,E143,IF(E143&lt;301,E143/2,E143/3)))</f>
        <v>185.70590999999999</v>
      </c>
      <c r="G143" s="64">
        <v>0</v>
      </c>
      <c r="H143" s="64">
        <f t="shared" ref="H143:H145" si="8">(F143+(IF(G143&lt;101,G143,IF(G143&lt;201,G143/2,IF(G143&lt;=301,G143/3,G143/4)))))*(($H$130)+1)</f>
        <v>287.84416049999999</v>
      </c>
      <c r="J143" s="34"/>
    </row>
    <row r="144" spans="1:20" s="35" customFormat="1" ht="15.75" customHeight="1" x14ac:dyDescent="0.25">
      <c r="A144" s="87">
        <f>A143+1</f>
        <v>11</v>
      </c>
      <c r="B144" s="88"/>
      <c r="C144" s="64" t="s">
        <v>308</v>
      </c>
      <c r="D144" s="71">
        <f>(2.75*5.75+1.2*1)*10.764</f>
        <v>183.12254999999999</v>
      </c>
      <c r="E144" s="64">
        <v>0</v>
      </c>
      <c r="F144" s="64">
        <f t="shared" si="7"/>
        <v>183.12254999999999</v>
      </c>
      <c r="G144" s="64">
        <v>0</v>
      </c>
      <c r="H144" s="64">
        <f t="shared" si="8"/>
        <v>283.83995249999998</v>
      </c>
      <c r="I144" s="34"/>
      <c r="L144" s="150"/>
      <c r="M144" s="150"/>
      <c r="N144" s="34"/>
      <c r="T144" s="19"/>
    </row>
    <row r="145" spans="1:14" s="35" customFormat="1" ht="15.75" customHeight="1" x14ac:dyDescent="0.25">
      <c r="A145" s="87">
        <f>A144+1</f>
        <v>12</v>
      </c>
      <c r="B145" s="88"/>
      <c r="C145" s="64" t="s">
        <v>308</v>
      </c>
      <c r="D145" s="71">
        <f>(2.2*3.6+1.2*0.9)*10.764</f>
        <v>96.875999999999991</v>
      </c>
      <c r="E145" s="64">
        <v>0</v>
      </c>
      <c r="F145" s="64">
        <f t="shared" si="7"/>
        <v>96.875999999999991</v>
      </c>
      <c r="G145" s="64">
        <v>0</v>
      </c>
      <c r="H145" s="64">
        <f t="shared" si="8"/>
        <v>150.15779999999998</v>
      </c>
      <c r="I145" s="34">
        <f>2.9*3+1.2*2.1+2.4*2.6+2.9*2.75+2.9*2.6+1.2*2+1.85*1.2+3.2*1</f>
        <v>40.795000000000002</v>
      </c>
      <c r="L145" s="150"/>
      <c r="M145" s="150"/>
      <c r="N145" s="34"/>
    </row>
    <row r="146" spans="1:14" s="35" customFormat="1" ht="15.75" customHeight="1" x14ac:dyDescent="0.25">
      <c r="A146" s="87">
        <v>13</v>
      </c>
      <c r="B146" s="88"/>
      <c r="C146" s="64" t="s">
        <v>308</v>
      </c>
      <c r="D146" s="71">
        <f>(4.1*3.6+1.2*0.9)*10.764</f>
        <v>170.50175999999999</v>
      </c>
      <c r="E146" s="64">
        <v>0</v>
      </c>
      <c r="F146" s="64">
        <f>D146+(IF(E146&lt;201,E146,IF(E146&lt;301,E146/2,E146/3)))</f>
        <v>170.50175999999999</v>
      </c>
      <c r="G146" s="61">
        <v>0</v>
      </c>
      <c r="H146" s="64">
        <f>(F146+(IF(G146&lt;101,G146,IF(G146&lt;201,G146/2,IF(G146&lt;=301,G146/3,G146/4)))))*(($H$130)+1)</f>
        <v>264.27772799999997</v>
      </c>
      <c r="I146" s="34"/>
      <c r="L146" s="150"/>
      <c r="M146" s="150"/>
      <c r="N146" s="34"/>
    </row>
    <row r="147" spans="1:14" s="35" customFormat="1" ht="15.75" customHeight="1" x14ac:dyDescent="0.25">
      <c r="A147" s="87">
        <f>A146+1</f>
        <v>14</v>
      </c>
      <c r="B147" s="88"/>
      <c r="C147" s="64" t="s">
        <v>308</v>
      </c>
      <c r="D147" s="71">
        <f>(2.75*3.6+1.1*0.9)*10.764</f>
        <v>117.21996</v>
      </c>
      <c r="E147" s="64">
        <v>0</v>
      </c>
      <c r="F147" s="64">
        <f t="shared" ref="F147:F149" si="9">D147+(IF(E147&lt;201,E147,IF(E147&lt;301,E147/2,E147/3)))</f>
        <v>117.21996</v>
      </c>
      <c r="G147" s="64">
        <v>0</v>
      </c>
      <c r="H147" s="64">
        <f t="shared" ref="H147:H149" si="10">(F147+(IF(G147&lt;101,G147,IF(G147&lt;201,G147/2,IF(G147&lt;=301,G147/3,G147/4)))))*(($H$130)+1)</f>
        <v>181.69093800000002</v>
      </c>
      <c r="I147" s="34">
        <f>2.9*2.9+1.25*1.15+2.45*2.4+2.75*2+1.85*0.6+1.2*2+1.2*2.3</f>
        <v>27.497499999999995</v>
      </c>
      <c r="L147" s="150"/>
      <c r="M147" s="150"/>
      <c r="N147" s="34"/>
    </row>
    <row r="148" spans="1:14" s="35" customFormat="1" x14ac:dyDescent="0.25">
      <c r="A148" s="87">
        <f>A147+1</f>
        <v>15</v>
      </c>
      <c r="B148" s="88"/>
      <c r="C148" s="64" t="s">
        <v>308</v>
      </c>
      <c r="D148" s="71">
        <f>(2.9*6.4+1.55*1.15+1.2*1)*10.764</f>
        <v>231.88346999999996</v>
      </c>
      <c r="E148" s="64">
        <v>0</v>
      </c>
      <c r="F148" s="64">
        <f t="shared" si="9"/>
        <v>231.88346999999996</v>
      </c>
      <c r="G148" s="64">
        <v>0</v>
      </c>
      <c r="H148" s="64">
        <f t="shared" si="10"/>
        <v>359.41937849999994</v>
      </c>
      <c r="I148" s="34"/>
      <c r="L148" s="150"/>
      <c r="M148" s="150"/>
    </row>
    <row r="149" spans="1:14" s="35" customFormat="1" x14ac:dyDescent="0.25">
      <c r="A149" s="87">
        <f>A148+1</f>
        <v>16</v>
      </c>
      <c r="B149" s="88"/>
      <c r="C149" s="64" t="s">
        <v>308</v>
      </c>
      <c r="D149" s="71">
        <f>(2.3*4.4+1.2*1.35+1*1.2)*10.764</f>
        <v>139.28615999999997</v>
      </c>
      <c r="E149" s="64">
        <v>0</v>
      </c>
      <c r="F149" s="64">
        <f t="shared" si="9"/>
        <v>139.28615999999997</v>
      </c>
      <c r="G149" s="64">
        <v>0</v>
      </c>
      <c r="H149" s="64">
        <f t="shared" si="10"/>
        <v>215.89354799999995</v>
      </c>
      <c r="I149" s="34"/>
      <c r="N149" s="34"/>
    </row>
    <row r="150" spans="1:14" s="65" customFormat="1" x14ac:dyDescent="0.25">
      <c r="A150" s="87">
        <f>A149+1</f>
        <v>17</v>
      </c>
      <c r="B150" s="88"/>
      <c r="C150" s="64" t="s">
        <v>308</v>
      </c>
      <c r="D150" s="71">
        <f>(2.75*4.4+1.75*1.35+0.9*1.2)*10.764</f>
        <v>167.29947000000001</v>
      </c>
      <c r="E150" s="64">
        <v>0</v>
      </c>
      <c r="F150" s="64">
        <f t="shared" ref="F150" si="11">D150+(IF(E150&lt;201,E150,IF(E150&lt;301,E150/2,E150/3)))</f>
        <v>167.29947000000001</v>
      </c>
      <c r="G150" s="64">
        <v>0</v>
      </c>
      <c r="H150" s="64">
        <f t="shared" ref="H150" si="12">(F150+(IF(G150&lt;101,G150,IF(G150&lt;201,G150/2,IF(G150&lt;=301,G150/3,G150/4)))))*(($H$130)+1)</f>
        <v>259.31417850000003</v>
      </c>
      <c r="I150" s="34"/>
      <c r="N150" s="34"/>
    </row>
    <row r="151" spans="1:14" s="35" customFormat="1" x14ac:dyDescent="0.25">
      <c r="A151" s="87"/>
      <c r="B151" s="90"/>
      <c r="C151" s="90"/>
      <c r="D151" s="90"/>
      <c r="E151" s="90"/>
      <c r="F151" s="90"/>
      <c r="G151" s="90"/>
      <c r="H151" s="88"/>
      <c r="I151" s="34"/>
      <c r="N151" s="34"/>
    </row>
    <row r="152" spans="1:14" s="35" customFormat="1" ht="31.5" x14ac:dyDescent="0.25">
      <c r="A152" s="91" t="s">
        <v>115</v>
      </c>
      <c r="B152" s="93" t="s">
        <v>172</v>
      </c>
      <c r="C152" s="93" t="s">
        <v>54</v>
      </c>
      <c r="D152" s="93" t="s">
        <v>335</v>
      </c>
      <c r="E152" s="93" t="s">
        <v>328</v>
      </c>
      <c r="F152" s="93" t="s">
        <v>55</v>
      </c>
      <c r="G152" s="141" t="s">
        <v>56</v>
      </c>
      <c r="H152" s="53" t="s">
        <v>143</v>
      </c>
      <c r="I152" s="34"/>
      <c r="N152" s="34"/>
    </row>
    <row r="153" spans="1:14" s="35" customFormat="1" x14ac:dyDescent="0.25">
      <c r="A153" s="92"/>
      <c r="B153" s="94"/>
      <c r="C153" s="94"/>
      <c r="D153" s="94"/>
      <c r="E153" s="94"/>
      <c r="F153" s="94"/>
      <c r="G153" s="142"/>
      <c r="H153" s="73">
        <v>0.5</v>
      </c>
      <c r="I153" s="34">
        <f>25*3+21*2+25*3+17*2+4</f>
        <v>230</v>
      </c>
      <c r="N153" s="34"/>
    </row>
    <row r="154" spans="1:14" s="35" customFormat="1" x14ac:dyDescent="0.25">
      <c r="A154" s="84" t="s">
        <v>338</v>
      </c>
      <c r="B154" s="85"/>
      <c r="C154" s="85"/>
      <c r="D154" s="85"/>
      <c r="E154" s="85"/>
      <c r="F154" s="85"/>
      <c r="G154" s="85"/>
      <c r="H154" s="86"/>
      <c r="I154" s="34"/>
      <c r="N154" s="34"/>
    </row>
    <row r="155" spans="1:14" s="35" customFormat="1" ht="15.75" customHeight="1" x14ac:dyDescent="0.25">
      <c r="A155" s="84" t="s">
        <v>336</v>
      </c>
      <c r="B155" s="85"/>
      <c r="C155" s="85"/>
      <c r="D155" s="85"/>
      <c r="E155" s="85"/>
      <c r="F155" s="85"/>
      <c r="G155" s="85"/>
      <c r="H155" s="86"/>
      <c r="I155" s="34"/>
    </row>
    <row r="156" spans="1:14" s="35" customFormat="1" ht="15.75" customHeight="1" x14ac:dyDescent="0.25">
      <c r="A156" s="84" t="s">
        <v>305</v>
      </c>
      <c r="B156" s="85"/>
      <c r="C156" s="85"/>
      <c r="D156" s="85"/>
      <c r="E156" s="85"/>
      <c r="F156" s="85"/>
      <c r="G156" s="85"/>
      <c r="H156" s="86"/>
      <c r="I156" s="34"/>
    </row>
    <row r="157" spans="1:14" s="35" customFormat="1" ht="15.75" customHeight="1" x14ac:dyDescent="0.25">
      <c r="A157" s="84" t="s">
        <v>327</v>
      </c>
      <c r="B157" s="85"/>
      <c r="C157" s="85"/>
      <c r="D157" s="85"/>
      <c r="E157" s="85"/>
      <c r="F157" s="85"/>
      <c r="G157" s="85"/>
      <c r="H157" s="86"/>
      <c r="I157" s="34"/>
    </row>
    <row r="158" spans="1:14" s="35" customFormat="1" ht="15.75" customHeight="1" x14ac:dyDescent="0.25">
      <c r="A158" s="84" t="s">
        <v>330</v>
      </c>
      <c r="B158" s="85"/>
      <c r="C158" s="85"/>
      <c r="D158" s="85"/>
      <c r="E158" s="85"/>
      <c r="F158" s="85"/>
      <c r="G158" s="85"/>
      <c r="H158" s="86"/>
      <c r="I158" s="34"/>
    </row>
    <row r="159" spans="1:14" s="35" customFormat="1" ht="15.75" customHeight="1" x14ac:dyDescent="0.25">
      <c r="A159" s="87">
        <v>1</v>
      </c>
      <c r="B159" s="88"/>
      <c r="C159" s="40" t="s">
        <v>307</v>
      </c>
      <c r="D159" s="71">
        <f>(28.64+(2.5+2.15+2.9))*10.764</f>
        <v>389.54915999999997</v>
      </c>
      <c r="E159" s="71">
        <f>(0.75*(2.5+2.15+2.9))*10.764</f>
        <v>60.951150000000005</v>
      </c>
      <c r="F159" s="52">
        <f t="shared" ref="F159:F166" si="13">D159+E159</f>
        <v>450.50030999999996</v>
      </c>
      <c r="G159" s="52">
        <v>0</v>
      </c>
      <c r="H159" s="52">
        <f t="shared" ref="H159:H166" si="14">F159*(($H$153)+1)+(IF(G159&lt;101,G159,IF(G159&lt;201,G159/2,IF(G159&lt;=301,G159/3,G159/4))))</f>
        <v>675.75046499999996</v>
      </c>
      <c r="I159" s="34">
        <f>2.35*3.7+1*1+2.15*2.15+2.15*2.9+2*1.2*2</f>
        <v>25.352499999999999</v>
      </c>
      <c r="J159" s="35">
        <f>2.7+2.15+2.9</f>
        <v>7.75</v>
      </c>
      <c r="K159" s="34">
        <f>I159+J159</f>
        <v>33.102499999999999</v>
      </c>
    </row>
    <row r="160" spans="1:14" s="35" customFormat="1" ht="15.75" customHeight="1" x14ac:dyDescent="0.25">
      <c r="A160" s="87">
        <f>A159+1</f>
        <v>2</v>
      </c>
      <c r="B160" s="88"/>
      <c r="C160" s="74" t="s">
        <v>307</v>
      </c>
      <c r="D160" s="71">
        <f>(28.64+(2.5+2.15+2.9))*10.764</f>
        <v>389.54915999999997</v>
      </c>
      <c r="E160" s="71">
        <f>(0.75*(2.5+2.15+2.9))*10.764</f>
        <v>60.951150000000005</v>
      </c>
      <c r="F160" s="52">
        <f t="shared" si="13"/>
        <v>450.50030999999996</v>
      </c>
      <c r="G160" s="71">
        <v>0</v>
      </c>
      <c r="H160" s="52">
        <f t="shared" si="14"/>
        <v>675.75046499999996</v>
      </c>
      <c r="I160" s="34"/>
    </row>
    <row r="161" spans="1:10" s="35" customFormat="1" ht="15.75" customHeight="1" x14ac:dyDescent="0.25">
      <c r="A161" s="87">
        <f>A160+1</f>
        <v>3</v>
      </c>
      <c r="B161" s="88"/>
      <c r="C161" s="74" t="s">
        <v>306</v>
      </c>
      <c r="D161" s="71">
        <f>(47.82+(2.9))*10.764</f>
        <v>545.95007999999996</v>
      </c>
      <c r="E161" s="71">
        <f>(0.75*(2.9+2.3+2.75*2))*10.764</f>
        <v>86.381099999999975</v>
      </c>
      <c r="F161" s="52">
        <f t="shared" si="13"/>
        <v>632.3311799999999</v>
      </c>
      <c r="G161" s="71">
        <v>0</v>
      </c>
      <c r="H161" s="52">
        <f t="shared" si="14"/>
        <v>948.49676999999986</v>
      </c>
      <c r="I161" s="34">
        <f>2.9*4.3+2.3*2.55+2.75*3.15+1.75*0.6+2.75*3+1.2*2*2+2.6*0.9</f>
        <v>43.4375</v>
      </c>
    </row>
    <row r="162" spans="1:10" s="35" customFormat="1" ht="15.75" customHeight="1" x14ac:dyDescent="0.25">
      <c r="A162" s="87">
        <f>A161+1</f>
        <v>4</v>
      </c>
      <c r="B162" s="88"/>
      <c r="C162" s="74" t="s">
        <v>306</v>
      </c>
      <c r="D162" s="71">
        <f>(48.08+(2.9))*10.764</f>
        <v>548.74871999999993</v>
      </c>
      <c r="E162" s="71">
        <v>0</v>
      </c>
      <c r="F162" s="64">
        <f t="shared" si="13"/>
        <v>548.74871999999993</v>
      </c>
      <c r="G162" s="71">
        <f>(6*1.2+2.7*0.8+2.75*1.2)*10.764</f>
        <v>136.27223999999998</v>
      </c>
      <c r="H162" s="64">
        <f t="shared" si="14"/>
        <v>891.25919999999985</v>
      </c>
      <c r="I162" s="34"/>
    </row>
    <row r="163" spans="1:10" s="35" customFormat="1" ht="15.75" customHeight="1" x14ac:dyDescent="0.25">
      <c r="A163" s="89">
        <v>5</v>
      </c>
      <c r="B163" s="89"/>
      <c r="C163" s="74" t="s">
        <v>307</v>
      </c>
      <c r="D163" s="71">
        <f>(28.63+(2.75*2+2.2))*10.764</f>
        <v>391.05611999999996</v>
      </c>
      <c r="E163" s="71">
        <v>0</v>
      </c>
      <c r="F163" s="52">
        <f t="shared" si="13"/>
        <v>391.05611999999996</v>
      </c>
      <c r="G163" s="71">
        <f>(2.75*1.8+5.4*1.2)*10.764</f>
        <v>123.03251999999999</v>
      </c>
      <c r="H163" s="52">
        <f t="shared" si="14"/>
        <v>648.10043999999994</v>
      </c>
      <c r="I163" s="34"/>
    </row>
    <row r="164" spans="1:10" s="35" customFormat="1" ht="15.75" customHeight="1" x14ac:dyDescent="0.25">
      <c r="A164" s="89">
        <f>A163+1</f>
        <v>6</v>
      </c>
      <c r="B164" s="89"/>
      <c r="C164" s="74" t="s">
        <v>307</v>
      </c>
      <c r="D164" s="71">
        <f>(28.25+(2.75*2+2.2))*10.764</f>
        <v>386.9658</v>
      </c>
      <c r="E164" s="71">
        <v>0</v>
      </c>
      <c r="F164" s="52">
        <f t="shared" si="13"/>
        <v>386.9658</v>
      </c>
      <c r="G164" s="71">
        <f>(2.75*1.8+5.4*1.2)*10.764</f>
        <v>123.03251999999999</v>
      </c>
      <c r="H164" s="52">
        <f t="shared" si="14"/>
        <v>641.96496000000002</v>
      </c>
      <c r="I164" s="34"/>
    </row>
    <row r="165" spans="1:10" s="35" customFormat="1" ht="15.75" customHeight="1" x14ac:dyDescent="0.25">
      <c r="A165" s="89">
        <f>A164+1</f>
        <v>7</v>
      </c>
      <c r="B165" s="89"/>
      <c r="C165" s="74" t="s">
        <v>307</v>
      </c>
      <c r="D165" s="71">
        <f>(29.32+(2.75*1.55+2.75))*10.764</f>
        <v>391.08303000000001</v>
      </c>
      <c r="E165" s="71">
        <v>0</v>
      </c>
      <c r="F165" s="52">
        <f t="shared" si="13"/>
        <v>391.08303000000001</v>
      </c>
      <c r="G165" s="71">
        <f>(2.75*1.8+5.4*1.2)*10.764</f>
        <v>123.03251999999999</v>
      </c>
      <c r="H165" s="52">
        <f t="shared" si="14"/>
        <v>648.140805</v>
      </c>
      <c r="I165" s="34"/>
    </row>
    <row r="166" spans="1:10" s="35" customFormat="1" ht="15.75" customHeight="1" x14ac:dyDescent="0.25">
      <c r="A166" s="89">
        <f>A165+1</f>
        <v>8</v>
      </c>
      <c r="B166" s="89"/>
      <c r="C166" s="74" t="s">
        <v>306</v>
      </c>
      <c r="D166" s="71">
        <f>(49.58+(2.9))*10.764</f>
        <v>564.89471999999989</v>
      </c>
      <c r="E166" s="71">
        <v>0</v>
      </c>
      <c r="F166" s="52">
        <f t="shared" si="13"/>
        <v>564.89471999999989</v>
      </c>
      <c r="G166" s="71">
        <f>(3.2*1.2+2.75*1.8+2.75*1.2+2.6*0.8)*10.764</f>
        <v>152.52588</v>
      </c>
      <c r="H166" s="52">
        <f t="shared" si="14"/>
        <v>923.60501999999985</v>
      </c>
      <c r="I166" s="34"/>
    </row>
    <row r="167" spans="1:10" s="35" customFormat="1" ht="15.75" customHeight="1" x14ac:dyDescent="0.25">
      <c r="A167" s="89">
        <f>A166+1</f>
        <v>9</v>
      </c>
      <c r="B167" s="89"/>
      <c r="C167" s="74" t="s">
        <v>306</v>
      </c>
      <c r="D167" s="71">
        <f>(49.4+(2.9))*10.764</f>
        <v>562.95719999999994</v>
      </c>
      <c r="E167" s="71">
        <f>(0.75*(2.9+2.3+2.75*2))*10.764</f>
        <v>86.381099999999975</v>
      </c>
      <c r="F167" s="74">
        <f t="shared" ref="F167:F168" si="15">D167+E167</f>
        <v>649.33829999999989</v>
      </c>
      <c r="G167" s="71">
        <v>0</v>
      </c>
      <c r="H167" s="74">
        <f t="shared" ref="H167:H168" si="16">F167*(($H$153)+1)+(IF(G167&lt;101,G167,IF(G167&lt;201,G167/2,IF(G167&lt;=301,G167/3,G167/4))))</f>
        <v>974.00744999999984</v>
      </c>
      <c r="I167" s="34"/>
    </row>
    <row r="168" spans="1:10" s="35" customFormat="1" ht="15.75" customHeight="1" x14ac:dyDescent="0.25">
      <c r="A168" s="89">
        <f>A167+1</f>
        <v>10</v>
      </c>
      <c r="B168" s="89"/>
      <c r="C168" s="74" t="s">
        <v>307</v>
      </c>
      <c r="D168" s="71">
        <f>(29.87+(2.75*1.5+2.15))*10.764</f>
        <v>389.06477999999998</v>
      </c>
      <c r="E168" s="71">
        <f>(0.75*(2.75*2+2.15))*10.764</f>
        <v>61.758450000000003</v>
      </c>
      <c r="F168" s="74">
        <f t="shared" si="15"/>
        <v>450.82322999999997</v>
      </c>
      <c r="G168" s="71">
        <v>0</v>
      </c>
      <c r="H168" s="74">
        <f t="shared" si="16"/>
        <v>676.23484499999995</v>
      </c>
      <c r="I168" s="34"/>
    </row>
    <row r="169" spans="1:10" s="33" customFormat="1" x14ac:dyDescent="0.25">
      <c r="A169" s="84" t="s">
        <v>329</v>
      </c>
      <c r="B169" s="85"/>
      <c r="C169" s="85"/>
      <c r="D169" s="85"/>
      <c r="E169" s="85"/>
      <c r="F169" s="85"/>
      <c r="G169" s="85"/>
      <c r="H169" s="86"/>
    </row>
    <row r="170" spans="1:10" s="33" customFormat="1" x14ac:dyDescent="0.25">
      <c r="A170" s="87">
        <v>1</v>
      </c>
      <c r="B170" s="88"/>
      <c r="C170" s="74" t="s">
        <v>307</v>
      </c>
      <c r="D170" s="71">
        <f>(28.64+(2.5+2.15+2.9))*10.764</f>
        <v>389.54915999999997</v>
      </c>
      <c r="E170" s="71">
        <f t="shared" ref="E170:E171" si="17">(0.75*(2.5+2.15+2.9))*10.764</f>
        <v>60.951150000000005</v>
      </c>
      <c r="F170" s="64">
        <f t="shared" ref="F170:F179" si="18">D170+E170</f>
        <v>450.50030999999996</v>
      </c>
      <c r="G170" s="64">
        <v>0</v>
      </c>
      <c r="H170" s="64">
        <f t="shared" ref="H170:H179" si="19">F170*(($H$153)+1)+(IF(G170&lt;101,G170,IF(G170&lt;201,G170/2,IF(G170&lt;=301,G170/3,G170/4))))</f>
        <v>675.75046499999996</v>
      </c>
    </row>
    <row r="171" spans="1:10" s="33" customFormat="1" x14ac:dyDescent="0.25">
      <c r="A171" s="87">
        <f>A170+1</f>
        <v>2</v>
      </c>
      <c r="B171" s="88"/>
      <c r="C171" s="74" t="s">
        <v>307</v>
      </c>
      <c r="D171" s="71">
        <f>(28.64+(2.5+2.15+2.9))*10.764</f>
        <v>389.54915999999997</v>
      </c>
      <c r="E171" s="71">
        <f t="shared" si="17"/>
        <v>60.951150000000005</v>
      </c>
      <c r="F171" s="64">
        <f t="shared" si="18"/>
        <v>450.50030999999996</v>
      </c>
      <c r="G171" s="64">
        <v>0</v>
      </c>
      <c r="H171" s="64">
        <f t="shared" si="19"/>
        <v>675.75046499999996</v>
      </c>
    </row>
    <row r="172" spans="1:10" s="33" customFormat="1" x14ac:dyDescent="0.25">
      <c r="A172" s="87">
        <f>A171+1</f>
        <v>3</v>
      </c>
      <c r="B172" s="88"/>
      <c r="C172" s="74" t="s">
        <v>306</v>
      </c>
      <c r="D172" s="71">
        <f>(47.82+(2.9))*10.764</f>
        <v>545.95007999999996</v>
      </c>
      <c r="E172" s="71">
        <f>(0.75*(2.9+2.3+2.75*2))*10.764</f>
        <v>86.381099999999975</v>
      </c>
      <c r="F172" s="64">
        <f t="shared" si="18"/>
        <v>632.3311799999999</v>
      </c>
      <c r="G172" s="64">
        <v>0</v>
      </c>
      <c r="H172" s="64">
        <f t="shared" si="19"/>
        <v>948.49676999999986</v>
      </c>
    </row>
    <row r="173" spans="1:10" s="33" customFormat="1" x14ac:dyDescent="0.25">
      <c r="A173" s="87">
        <f>A172+1</f>
        <v>4</v>
      </c>
      <c r="B173" s="88"/>
      <c r="C173" s="74" t="s">
        <v>306</v>
      </c>
      <c r="D173" s="71">
        <f>(48.08+(2.9))*10.764</f>
        <v>548.74871999999993</v>
      </c>
      <c r="E173" s="71">
        <f>(0.75*(2.9+2.3+2.75*2))*10.764</f>
        <v>86.381099999999975</v>
      </c>
      <c r="F173" s="64">
        <f t="shared" si="18"/>
        <v>635.12981999999988</v>
      </c>
      <c r="G173" s="64">
        <v>0</v>
      </c>
      <c r="H173" s="64">
        <f t="shared" si="19"/>
        <v>952.69472999999982</v>
      </c>
    </row>
    <row r="174" spans="1:10" s="33" customFormat="1" x14ac:dyDescent="0.25">
      <c r="A174" s="193">
        <v>5</v>
      </c>
      <c r="B174" s="193"/>
      <c r="C174" s="61" t="s">
        <v>307</v>
      </c>
      <c r="D174" s="80">
        <f>(28.63+(2.75*2+2.2))*10.764</f>
        <v>391.05611999999996</v>
      </c>
      <c r="E174" s="80">
        <f>(0.75*(2.75*2+2.2))*10.764</f>
        <v>62.162100000000002</v>
      </c>
      <c r="F174" s="61">
        <f t="shared" si="18"/>
        <v>453.21821999999997</v>
      </c>
      <c r="G174" s="61">
        <v>0</v>
      </c>
      <c r="H174" s="61">
        <f t="shared" si="19"/>
        <v>679.82732999999996</v>
      </c>
      <c r="I174" s="79">
        <f>H174*5600+200000</f>
        <v>4007033.048</v>
      </c>
      <c r="J174" s="79">
        <f>4000000-I174</f>
        <v>-7033.0479999999516</v>
      </c>
    </row>
    <row r="175" spans="1:10" s="33" customFormat="1" x14ac:dyDescent="0.25">
      <c r="A175" s="89">
        <f>A174+1</f>
        <v>6</v>
      </c>
      <c r="B175" s="89"/>
      <c r="C175" s="74" t="s">
        <v>307</v>
      </c>
      <c r="D175" s="71">
        <f>(28.25+(2.75*2+2.2))*10.764</f>
        <v>386.9658</v>
      </c>
      <c r="E175" s="71">
        <f>(0.75*(2.75*2+2.2))*10.764</f>
        <v>62.162100000000002</v>
      </c>
      <c r="F175" s="64">
        <f t="shared" si="18"/>
        <v>449.12790000000001</v>
      </c>
      <c r="G175" s="64">
        <v>0</v>
      </c>
      <c r="H175" s="64">
        <f t="shared" si="19"/>
        <v>673.69185000000004</v>
      </c>
    </row>
    <row r="176" spans="1:10" s="33" customFormat="1" x14ac:dyDescent="0.25">
      <c r="A176" s="89">
        <f>A175+1</f>
        <v>7</v>
      </c>
      <c r="B176" s="89"/>
      <c r="C176" s="74" t="s">
        <v>307</v>
      </c>
      <c r="D176" s="71">
        <f>(29.32+(2.75*1.55+2.75))*10.764</f>
        <v>391.08303000000001</v>
      </c>
      <c r="E176" s="71">
        <f>(0.75*(2.75*2+2.15))*10.764</f>
        <v>61.758450000000003</v>
      </c>
      <c r="F176" s="64">
        <f t="shared" si="18"/>
        <v>452.84147999999999</v>
      </c>
      <c r="G176" s="64">
        <v>0</v>
      </c>
      <c r="H176" s="64">
        <f t="shared" si="19"/>
        <v>679.26221999999996</v>
      </c>
    </row>
    <row r="177" spans="1:8" s="33" customFormat="1" x14ac:dyDescent="0.25">
      <c r="A177" s="89">
        <f>A176+1</f>
        <v>8</v>
      </c>
      <c r="B177" s="89"/>
      <c r="C177" s="74" t="s">
        <v>306</v>
      </c>
      <c r="D177" s="71">
        <f>(49.58+(2.9))*10.764</f>
        <v>564.89471999999989</v>
      </c>
      <c r="E177" s="71">
        <f>(0.75*(2.9+2.3+2.75*2))*10.764</f>
        <v>86.381099999999975</v>
      </c>
      <c r="F177" s="64">
        <f t="shared" si="18"/>
        <v>651.27581999999984</v>
      </c>
      <c r="G177" s="64">
        <v>0</v>
      </c>
      <c r="H177" s="64">
        <f t="shared" si="19"/>
        <v>976.91372999999976</v>
      </c>
    </row>
    <row r="178" spans="1:8" s="33" customFormat="1" x14ac:dyDescent="0.25">
      <c r="A178" s="89">
        <f>A177+1</f>
        <v>9</v>
      </c>
      <c r="B178" s="89"/>
      <c r="C178" s="74" t="s">
        <v>306</v>
      </c>
      <c r="D178" s="71">
        <f>(49.4+(2.9))*10.764</f>
        <v>562.95719999999994</v>
      </c>
      <c r="E178" s="71">
        <f>(0.75*(2.9+2.3+2.75*2))*10.764</f>
        <v>86.381099999999975</v>
      </c>
      <c r="F178" s="64">
        <f t="shared" si="18"/>
        <v>649.33829999999989</v>
      </c>
      <c r="G178" s="64">
        <v>0</v>
      </c>
      <c r="H178" s="64">
        <f t="shared" si="19"/>
        <v>974.00744999999984</v>
      </c>
    </row>
    <row r="179" spans="1:8" s="33" customFormat="1" x14ac:dyDescent="0.25">
      <c r="A179" s="89">
        <f>A178+1</f>
        <v>10</v>
      </c>
      <c r="B179" s="89"/>
      <c r="C179" s="74" t="s">
        <v>307</v>
      </c>
      <c r="D179" s="71">
        <f>(29.87+(2.75*1.5+2.15))*10.764</f>
        <v>389.06477999999998</v>
      </c>
      <c r="E179" s="71">
        <f>(0.75*(2.75*2+2.15))*10.764</f>
        <v>61.758450000000003</v>
      </c>
      <c r="F179" s="64">
        <f t="shared" si="18"/>
        <v>450.82322999999997</v>
      </c>
      <c r="G179" s="64">
        <v>0</v>
      </c>
      <c r="H179" s="64">
        <f t="shared" si="19"/>
        <v>676.23484499999995</v>
      </c>
    </row>
    <row r="180" spans="1:8" s="33" customFormat="1" x14ac:dyDescent="0.25">
      <c r="A180" s="84" t="s">
        <v>331</v>
      </c>
      <c r="B180" s="85"/>
      <c r="C180" s="85"/>
      <c r="D180" s="85"/>
      <c r="E180" s="85"/>
      <c r="F180" s="85"/>
      <c r="G180" s="85"/>
      <c r="H180" s="86"/>
    </row>
    <row r="181" spans="1:8" s="33" customFormat="1" x14ac:dyDescent="0.25">
      <c r="A181" s="87">
        <v>1</v>
      </c>
      <c r="B181" s="88"/>
      <c r="C181" s="74" t="s">
        <v>307</v>
      </c>
      <c r="D181" s="71">
        <f>(28.64+(2.5+2.15+2.9))*10.764</f>
        <v>389.54915999999997</v>
      </c>
      <c r="E181" s="71">
        <f t="shared" ref="E181:E182" si="20">(0.75*(2.5+2.15+2.9))*10.764</f>
        <v>60.951150000000005</v>
      </c>
      <c r="F181" s="74">
        <f t="shared" ref="F181:F190" si="21">D181+E181</f>
        <v>450.50030999999996</v>
      </c>
      <c r="G181" s="64">
        <v>0</v>
      </c>
      <c r="H181" s="64">
        <f>F181*(($H$153)+1)+(IF(G181&lt;101,G181,IF(G181&lt;201,G181/2,IF(G181&lt;=301,G181/3,G181/4))))</f>
        <v>675.75046499999996</v>
      </c>
    </row>
    <row r="182" spans="1:8" s="33" customFormat="1" x14ac:dyDescent="0.25">
      <c r="A182" s="87">
        <f>A181+1</f>
        <v>2</v>
      </c>
      <c r="B182" s="88"/>
      <c r="C182" s="74" t="s">
        <v>307</v>
      </c>
      <c r="D182" s="71">
        <f>(28.64+(2.5+2.15+2.9))*10.764</f>
        <v>389.54915999999997</v>
      </c>
      <c r="E182" s="71">
        <f t="shared" si="20"/>
        <v>60.951150000000005</v>
      </c>
      <c r="F182" s="74">
        <f t="shared" si="21"/>
        <v>450.50030999999996</v>
      </c>
      <c r="G182" s="64">
        <v>0</v>
      </c>
      <c r="H182" s="64">
        <f>F182*(($H$153)+1)+(IF(G182&lt;101,G182,IF(G182&lt;201,G182/2,IF(G182&lt;=301,G182/3,G182/4))))</f>
        <v>675.75046499999996</v>
      </c>
    </row>
    <row r="183" spans="1:8" s="33" customFormat="1" x14ac:dyDescent="0.25">
      <c r="A183" s="87">
        <f>A182+1</f>
        <v>3</v>
      </c>
      <c r="B183" s="88"/>
      <c r="C183" s="74" t="s">
        <v>306</v>
      </c>
      <c r="D183" s="71">
        <f>(47.82+(2.9))*10.764</f>
        <v>545.95007999999996</v>
      </c>
      <c r="E183" s="71">
        <f>(0.75*(2.9+2.3+2.75*2))*10.764</f>
        <v>86.381099999999975</v>
      </c>
      <c r="F183" s="74">
        <f t="shared" si="21"/>
        <v>632.3311799999999</v>
      </c>
      <c r="G183" s="64">
        <v>0</v>
      </c>
      <c r="H183" s="64">
        <f>F183*(($H$153)+1)+(IF(G183&lt;101,G183,IF(G183&lt;201,G183/2,IF(G183&lt;=301,G183/3,G183/4))))</f>
        <v>948.49676999999986</v>
      </c>
    </row>
    <row r="184" spans="1:8" s="33" customFormat="1" x14ac:dyDescent="0.25">
      <c r="A184" s="87">
        <f>A183+1</f>
        <v>4</v>
      </c>
      <c r="B184" s="88"/>
      <c r="C184" s="74" t="s">
        <v>306</v>
      </c>
      <c r="D184" s="71">
        <f>(48.08+(2.9))*10.764</f>
        <v>548.74871999999993</v>
      </c>
      <c r="E184" s="71">
        <f>(0.75*(2.9+2.3+2.75*2))*10.764</f>
        <v>86.381099999999975</v>
      </c>
      <c r="F184" s="74">
        <f t="shared" si="21"/>
        <v>635.12981999999988</v>
      </c>
      <c r="G184" s="74">
        <v>0</v>
      </c>
      <c r="H184" s="74">
        <f>F184*(($H$153)+1)+(IF(G184&lt;101,G184,IF(G184&lt;201,G184/2,IF(G184&lt;=301,G184/3,G184/4))))</f>
        <v>952.69472999999982</v>
      </c>
    </row>
    <row r="185" spans="1:8" s="33" customFormat="1" x14ac:dyDescent="0.25">
      <c r="A185" s="89">
        <v>5</v>
      </c>
      <c r="B185" s="89"/>
      <c r="C185" s="87" t="s">
        <v>309</v>
      </c>
      <c r="D185" s="90"/>
      <c r="E185" s="90"/>
      <c r="F185" s="90"/>
      <c r="G185" s="90"/>
      <c r="H185" s="88"/>
    </row>
    <row r="186" spans="1:8" s="33" customFormat="1" x14ac:dyDescent="0.25">
      <c r="A186" s="89">
        <f>A185+1</f>
        <v>6</v>
      </c>
      <c r="B186" s="89"/>
      <c r="C186" s="74" t="s">
        <v>306</v>
      </c>
      <c r="D186" s="71">
        <f>(37.39+(2.75*2+2.2))*10.764</f>
        <v>485.34876000000003</v>
      </c>
      <c r="E186" s="71">
        <f>(0.75*(2.75*3+2.2))*10.764</f>
        <v>84.362849999999995</v>
      </c>
      <c r="F186" s="74">
        <f t="shared" si="21"/>
        <v>569.71161000000006</v>
      </c>
      <c r="G186" s="64">
        <v>0</v>
      </c>
      <c r="H186" s="64">
        <f>F186*(($H$153)+1)+(IF(G186&lt;101,G186,IF(G186&lt;201,G186/2,IF(G186&lt;=301,G186/3,G186/4))))</f>
        <v>854.5674150000001</v>
      </c>
    </row>
    <row r="187" spans="1:8" s="33" customFormat="1" x14ac:dyDescent="0.25">
      <c r="A187" s="89">
        <f>A186+1</f>
        <v>7</v>
      </c>
      <c r="B187" s="89"/>
      <c r="C187" s="74" t="s">
        <v>307</v>
      </c>
      <c r="D187" s="71">
        <f>(29.32+(2.75*1.55+2.75))*10.764</f>
        <v>391.08303000000001</v>
      </c>
      <c r="E187" s="71">
        <f>(0.75*(2.75*2+2.15))*10.764</f>
        <v>61.758450000000003</v>
      </c>
      <c r="F187" s="74">
        <f t="shared" si="21"/>
        <v>452.84147999999999</v>
      </c>
      <c r="G187" s="64">
        <v>0</v>
      </c>
      <c r="H187" s="64">
        <f>F187*(($H$153)+1)+(IF(G187&lt;101,G187,IF(G187&lt;201,G187/2,IF(G187&lt;=301,G187/3,G187/4))))</f>
        <v>679.26221999999996</v>
      </c>
    </row>
    <row r="188" spans="1:8" s="33" customFormat="1" x14ac:dyDescent="0.25">
      <c r="A188" s="89">
        <f>A187+1</f>
        <v>8</v>
      </c>
      <c r="B188" s="89"/>
      <c r="C188" s="74" t="s">
        <v>306</v>
      </c>
      <c r="D188" s="71">
        <f>(49.58+(2.9))*10.764</f>
        <v>564.89471999999989</v>
      </c>
      <c r="E188" s="71">
        <f>(0.75*(2.9+2.3+2.75*2))*10.764</f>
        <v>86.381099999999975</v>
      </c>
      <c r="F188" s="74">
        <f t="shared" si="21"/>
        <v>651.27581999999984</v>
      </c>
      <c r="G188" s="64">
        <v>0</v>
      </c>
      <c r="H188" s="64">
        <f>F188*(($H$153)+1)+(IF(G188&lt;101,G188,IF(G188&lt;201,G188/2,IF(G188&lt;=301,G188/3,G188/4))))</f>
        <v>976.91372999999976</v>
      </c>
    </row>
    <row r="189" spans="1:8" s="33" customFormat="1" x14ac:dyDescent="0.25">
      <c r="A189" s="89">
        <f>A188+1</f>
        <v>9</v>
      </c>
      <c r="B189" s="89"/>
      <c r="C189" s="74" t="s">
        <v>306</v>
      </c>
      <c r="D189" s="71">
        <f>(49.4+(2.9))*10.764</f>
        <v>562.95719999999994</v>
      </c>
      <c r="E189" s="71">
        <f>(0.75*(2.9+2.3+2.75*2))*10.764</f>
        <v>86.381099999999975</v>
      </c>
      <c r="F189" s="74">
        <f t="shared" si="21"/>
        <v>649.33829999999989</v>
      </c>
      <c r="G189" s="66">
        <v>0</v>
      </c>
      <c r="H189" s="66">
        <f t="shared" ref="H189:H190" si="22">F189*(($H$153)+1)+(IF(G189&lt;101,G189,IF(G189&lt;201,G189/2,IF(G189&lt;=301,G189/3,G189/4))))</f>
        <v>974.00744999999984</v>
      </c>
    </row>
    <row r="190" spans="1:8" s="33" customFormat="1" x14ac:dyDescent="0.25">
      <c r="A190" s="89">
        <f>A189+1</f>
        <v>10</v>
      </c>
      <c r="B190" s="89"/>
      <c r="C190" s="74" t="s">
        <v>307</v>
      </c>
      <c r="D190" s="71">
        <f>(29.87+(2.75*1.5+2.15))*10.764</f>
        <v>389.06477999999998</v>
      </c>
      <c r="E190" s="71">
        <f>(0.75*(2.75*2+2.15))*10.764</f>
        <v>61.758450000000003</v>
      </c>
      <c r="F190" s="74">
        <f t="shared" si="21"/>
        <v>450.82322999999997</v>
      </c>
      <c r="G190" s="66">
        <v>0</v>
      </c>
      <c r="H190" s="66">
        <f t="shared" si="22"/>
        <v>676.23484499999995</v>
      </c>
    </row>
    <row r="191" spans="1:8" s="33" customFormat="1" x14ac:dyDescent="0.25">
      <c r="A191" s="84" t="s">
        <v>337</v>
      </c>
      <c r="B191" s="85"/>
      <c r="C191" s="85"/>
      <c r="D191" s="85"/>
      <c r="E191" s="85"/>
      <c r="F191" s="85"/>
      <c r="G191" s="85"/>
      <c r="H191" s="86"/>
    </row>
    <row r="192" spans="1:8" s="33" customFormat="1" x14ac:dyDescent="0.25">
      <c r="A192" s="84" t="s">
        <v>327</v>
      </c>
      <c r="B192" s="85"/>
      <c r="C192" s="85"/>
      <c r="D192" s="85"/>
      <c r="E192" s="85"/>
      <c r="F192" s="85"/>
      <c r="G192" s="85"/>
      <c r="H192" s="86"/>
    </row>
    <row r="193" spans="1:20" s="33" customFormat="1" x14ac:dyDescent="0.25">
      <c r="A193" s="84" t="s">
        <v>330</v>
      </c>
      <c r="B193" s="85"/>
      <c r="C193" s="85"/>
      <c r="D193" s="85"/>
      <c r="E193" s="85"/>
      <c r="F193" s="85"/>
      <c r="G193" s="85"/>
      <c r="H193" s="86"/>
    </row>
    <row r="194" spans="1:20" s="33" customFormat="1" x14ac:dyDescent="0.25">
      <c r="A194" s="87">
        <v>1</v>
      </c>
      <c r="B194" s="88"/>
      <c r="C194" s="74" t="s">
        <v>307</v>
      </c>
      <c r="D194" s="71">
        <f>(29.87+(2.75*1.5+2.15))*10.764</f>
        <v>389.06477999999998</v>
      </c>
      <c r="E194" s="71">
        <f>(0.75*(2.75*2+2.15))*10.764</f>
        <v>61.758450000000003</v>
      </c>
      <c r="F194" s="64">
        <f t="shared" ref="F194:F201" si="23">D194+E194</f>
        <v>450.82322999999997</v>
      </c>
      <c r="G194" s="64">
        <v>0</v>
      </c>
      <c r="H194" s="64">
        <f t="shared" ref="H194:H201" si="24">F194*(($H$153)+1)+(IF(G194&lt;101,G194,IF(G194&lt;201,G194/2,IF(G194&lt;=301,G194/3,G194/4))))</f>
        <v>676.23484499999995</v>
      </c>
    </row>
    <row r="195" spans="1:20" s="33" customFormat="1" x14ac:dyDescent="0.25">
      <c r="A195" s="87">
        <f>A194+1</f>
        <v>2</v>
      </c>
      <c r="B195" s="88"/>
      <c r="C195" s="74" t="s">
        <v>306</v>
      </c>
      <c r="D195" s="71">
        <f>(49.4+(2.9))*10.764</f>
        <v>562.95719999999994</v>
      </c>
      <c r="E195" s="71">
        <f>(0.75*(2.9+2.3+2.75*2))*10.764</f>
        <v>86.381099999999975</v>
      </c>
      <c r="F195" s="64">
        <f t="shared" si="23"/>
        <v>649.33829999999989</v>
      </c>
      <c r="G195" s="71">
        <v>0</v>
      </c>
      <c r="H195" s="64">
        <f t="shared" si="24"/>
        <v>974.00744999999984</v>
      </c>
    </row>
    <row r="196" spans="1:20" s="33" customFormat="1" x14ac:dyDescent="0.25">
      <c r="A196" s="87">
        <f>A195+1</f>
        <v>3</v>
      </c>
      <c r="B196" s="88"/>
      <c r="C196" s="74" t="s">
        <v>306</v>
      </c>
      <c r="D196" s="71">
        <f>(49.58+(2.9))*10.764</f>
        <v>564.89471999999989</v>
      </c>
      <c r="E196" s="71">
        <v>0</v>
      </c>
      <c r="F196" s="64">
        <f t="shared" si="23"/>
        <v>564.89471999999989</v>
      </c>
      <c r="G196" s="71">
        <f>(3.2*1.2+2.75*1.8+2.75*1.2+2.6*0.8)*10.764</f>
        <v>152.52588</v>
      </c>
      <c r="H196" s="64">
        <f t="shared" si="24"/>
        <v>923.60501999999985</v>
      </c>
    </row>
    <row r="197" spans="1:20" s="33" customFormat="1" x14ac:dyDescent="0.25">
      <c r="A197" s="87">
        <f>A196+1</f>
        <v>4</v>
      </c>
      <c r="B197" s="88"/>
      <c r="C197" s="74" t="s">
        <v>307</v>
      </c>
      <c r="D197" s="71">
        <f>(29.32+(2.75*1.55+2.75))*10.764</f>
        <v>391.08303000000001</v>
      </c>
      <c r="E197" s="71">
        <v>0</v>
      </c>
      <c r="F197" s="64">
        <f t="shared" si="23"/>
        <v>391.08303000000001</v>
      </c>
      <c r="G197" s="71">
        <f>(2.75*1.8+5.4*1.2)*10.764</f>
        <v>123.03251999999999</v>
      </c>
      <c r="H197" s="64">
        <f t="shared" si="24"/>
        <v>648.140805</v>
      </c>
    </row>
    <row r="198" spans="1:20" s="33" customFormat="1" x14ac:dyDescent="0.25">
      <c r="A198" s="89">
        <v>5</v>
      </c>
      <c r="B198" s="89"/>
      <c r="C198" s="74" t="s">
        <v>307</v>
      </c>
      <c r="D198" s="71">
        <f>(27.85+(2.75*1.35+2.2+2.75))*10.764</f>
        <v>393.02055000000001</v>
      </c>
      <c r="E198" s="71">
        <v>0</v>
      </c>
      <c r="F198" s="64">
        <f t="shared" si="23"/>
        <v>393.02055000000001</v>
      </c>
      <c r="G198" s="71">
        <f>(8.3*1.2)*10.764</f>
        <v>107.20944</v>
      </c>
      <c r="H198" s="64">
        <f t="shared" si="24"/>
        <v>643.13554500000009</v>
      </c>
    </row>
    <row r="199" spans="1:20" s="33" customFormat="1" x14ac:dyDescent="0.25">
      <c r="A199" s="89">
        <f>A198+1</f>
        <v>6</v>
      </c>
      <c r="B199" s="89"/>
      <c r="C199" s="74" t="s">
        <v>307</v>
      </c>
      <c r="D199" s="71">
        <f>(27.71+(2.75*1.35+2.2+2.75))*10.764</f>
        <v>391.51359000000002</v>
      </c>
      <c r="E199" s="71">
        <v>0</v>
      </c>
      <c r="F199" s="64">
        <f t="shared" si="23"/>
        <v>391.51359000000002</v>
      </c>
      <c r="G199" s="71">
        <f>(8.2*1.2)*10.764</f>
        <v>105.91775999999997</v>
      </c>
      <c r="H199" s="64">
        <f t="shared" si="24"/>
        <v>640.22926500000005</v>
      </c>
    </row>
    <row r="200" spans="1:20" s="33" customFormat="1" x14ac:dyDescent="0.25">
      <c r="A200" s="89">
        <f>A199+1</f>
        <v>7</v>
      </c>
      <c r="B200" s="89"/>
      <c r="C200" s="74" t="s">
        <v>306</v>
      </c>
      <c r="D200" s="71">
        <f>(48.08+(2.9))*10.764</f>
        <v>548.74871999999993</v>
      </c>
      <c r="E200" s="71">
        <v>0</v>
      </c>
      <c r="F200" s="64">
        <f t="shared" si="23"/>
        <v>548.74871999999993</v>
      </c>
      <c r="G200" s="71">
        <f>(6*1.2+2.7*0.8+2.75*1.2)*10.764</f>
        <v>136.27223999999998</v>
      </c>
      <c r="H200" s="64">
        <f t="shared" si="24"/>
        <v>891.25919999999985</v>
      </c>
    </row>
    <row r="201" spans="1:20" s="33" customFormat="1" x14ac:dyDescent="0.25">
      <c r="A201" s="89">
        <f>A200+1</f>
        <v>8</v>
      </c>
      <c r="B201" s="89"/>
      <c r="C201" s="74" t="s">
        <v>306</v>
      </c>
      <c r="D201" s="71">
        <f>(47.82+(2.9))*10.764</f>
        <v>545.95007999999996</v>
      </c>
      <c r="E201" s="71">
        <f>(0.75*(2.9+2.3+2.75*2))*10.764</f>
        <v>86.381099999999975</v>
      </c>
      <c r="F201" s="64">
        <f t="shared" si="23"/>
        <v>632.3311799999999</v>
      </c>
      <c r="G201" s="71">
        <v>0</v>
      </c>
      <c r="H201" s="64">
        <f t="shared" si="24"/>
        <v>948.49676999999986</v>
      </c>
    </row>
    <row r="202" spans="1:20" s="33" customFormat="1" x14ac:dyDescent="0.25">
      <c r="A202" s="89">
        <f>A201+1</f>
        <v>9</v>
      </c>
      <c r="B202" s="89"/>
      <c r="C202" s="74" t="s">
        <v>307</v>
      </c>
      <c r="D202" s="71">
        <f>(28.64+(2.7+2.15+2.9))*10.764</f>
        <v>391.70195999999999</v>
      </c>
      <c r="E202" s="71">
        <f>(0.75*(2.7+2.15+2.9))*10.764</f>
        <v>62.565749999999994</v>
      </c>
      <c r="F202" s="74">
        <f t="shared" ref="F202:F203" si="25">D202+E202</f>
        <v>454.26770999999997</v>
      </c>
      <c r="G202" s="74">
        <v>0</v>
      </c>
      <c r="H202" s="74">
        <f t="shared" ref="H202:H203" si="26">F202*(($H$153)+1)+(IF(G202&lt;101,G202,IF(G202&lt;201,G202/2,IF(G202&lt;=301,G202/3,G202/4))))</f>
        <v>681.40156499999989</v>
      </c>
    </row>
    <row r="203" spans="1:20" x14ac:dyDescent="0.25">
      <c r="A203" s="89">
        <f>A202+1</f>
        <v>10</v>
      </c>
      <c r="B203" s="89"/>
      <c r="C203" s="74" t="s">
        <v>307</v>
      </c>
      <c r="D203" s="71">
        <f>(28.64+(2.7+2.15+2.9))*10.764</f>
        <v>391.70195999999999</v>
      </c>
      <c r="E203" s="71">
        <f>(0.75*(2.7+2.15+2.9))*10.764</f>
        <v>62.565749999999994</v>
      </c>
      <c r="F203" s="74">
        <f t="shared" si="25"/>
        <v>454.26770999999997</v>
      </c>
      <c r="G203" s="74">
        <v>0</v>
      </c>
      <c r="H203" s="74">
        <f t="shared" si="26"/>
        <v>681.40156499999989</v>
      </c>
      <c r="T203" s="33"/>
    </row>
    <row r="204" spans="1:20" ht="15.75" customHeight="1" x14ac:dyDescent="0.25">
      <c r="A204" s="84" t="s">
        <v>329</v>
      </c>
      <c r="B204" s="85"/>
      <c r="C204" s="85"/>
      <c r="D204" s="85"/>
      <c r="E204" s="85"/>
      <c r="F204" s="85"/>
      <c r="G204" s="85"/>
      <c r="H204" s="86"/>
      <c r="T204" s="33"/>
    </row>
    <row r="205" spans="1:20" ht="15.75" customHeight="1" x14ac:dyDescent="0.25">
      <c r="A205" s="87">
        <v>1</v>
      </c>
      <c r="B205" s="88"/>
      <c r="C205" s="74" t="s">
        <v>307</v>
      </c>
      <c r="D205" s="71">
        <f>(29.87+(2.75*1.5+2.15))*10.764</f>
        <v>389.06477999999998</v>
      </c>
      <c r="E205" s="71">
        <f>(0.75*(2.75*2+2.15))*10.764</f>
        <v>61.758450000000003</v>
      </c>
      <c r="F205" s="64">
        <f t="shared" ref="F205:F212" si="27">D205+E205</f>
        <v>450.82322999999997</v>
      </c>
      <c r="G205" s="64">
        <v>0</v>
      </c>
      <c r="H205" s="64">
        <f t="shared" ref="H205:H212" si="28">F205*(($H$153)+1)+(IF(G205&lt;101,G205,IF(G205&lt;201,G205/2,IF(G205&lt;=301,G205/3,G205/4))))</f>
        <v>676.23484499999995</v>
      </c>
      <c r="J205" s="19">
        <f>3449000/H205</f>
        <v>5100.2991423785625</v>
      </c>
      <c r="T205" s="33"/>
    </row>
    <row r="206" spans="1:20" x14ac:dyDescent="0.25">
      <c r="A206" s="87">
        <f>A205+1</f>
        <v>2</v>
      </c>
      <c r="B206" s="88"/>
      <c r="C206" s="74" t="s">
        <v>306</v>
      </c>
      <c r="D206" s="71">
        <f>(49.58+(2.9))*10.764</f>
        <v>564.89471999999989</v>
      </c>
      <c r="E206" s="71">
        <f>(0.75*(2.9+2.3+2.75*2))*10.764</f>
        <v>86.381099999999975</v>
      </c>
      <c r="F206" s="64">
        <f t="shared" si="27"/>
        <v>651.27581999999984</v>
      </c>
      <c r="G206" s="64">
        <v>0</v>
      </c>
      <c r="H206" s="64">
        <f t="shared" si="28"/>
        <v>976.91372999999976</v>
      </c>
      <c r="J206" s="19">
        <f>4944000/H206</f>
        <v>5060.8358222173838</v>
      </c>
    </row>
    <row r="207" spans="1:20" x14ac:dyDescent="0.25">
      <c r="A207" s="87">
        <f>A206+1</f>
        <v>3</v>
      </c>
      <c r="B207" s="88"/>
      <c r="C207" s="74" t="s">
        <v>306</v>
      </c>
      <c r="D207" s="71">
        <f>(49.4+(2.9))*10.764</f>
        <v>562.95719999999994</v>
      </c>
      <c r="E207" s="71">
        <f>(0.75*(2.9+2.3+2.75*2))*10.764</f>
        <v>86.381099999999975</v>
      </c>
      <c r="F207" s="64">
        <f t="shared" si="27"/>
        <v>649.33829999999989</v>
      </c>
      <c r="G207" s="66">
        <v>0</v>
      </c>
      <c r="H207" s="64">
        <f t="shared" si="28"/>
        <v>974.00744999999984</v>
      </c>
    </row>
    <row r="208" spans="1:20" x14ac:dyDescent="0.25">
      <c r="A208" s="87">
        <f>A207+1</f>
        <v>4</v>
      </c>
      <c r="B208" s="88"/>
      <c r="C208" s="74" t="s">
        <v>307</v>
      </c>
      <c r="D208" s="71">
        <f>(29.32+(2.75*1.55+2.75))*10.764</f>
        <v>391.08303000000001</v>
      </c>
      <c r="E208" s="71">
        <f>(0.75*(2.75*2+2.15))*10.764</f>
        <v>61.758450000000003</v>
      </c>
      <c r="F208" s="64">
        <f t="shared" si="27"/>
        <v>452.84147999999999</v>
      </c>
      <c r="G208" s="66">
        <v>0</v>
      </c>
      <c r="H208" s="64">
        <f t="shared" si="28"/>
        <v>679.26221999999996</v>
      </c>
    </row>
    <row r="209" spans="1:8" x14ac:dyDescent="0.25">
      <c r="A209" s="89">
        <v>5</v>
      </c>
      <c r="B209" s="89"/>
      <c r="C209" s="74" t="s">
        <v>307</v>
      </c>
      <c r="D209" s="71">
        <f>(27.85+(2.75*1.35+2.2+2.75))*10.764</f>
        <v>393.02055000000001</v>
      </c>
      <c r="E209" s="71">
        <f>(0.75*(2.75*2+2.2))*10.764</f>
        <v>62.162100000000002</v>
      </c>
      <c r="F209" s="64">
        <f t="shared" si="27"/>
        <v>455.18265000000002</v>
      </c>
      <c r="G209" s="66">
        <v>0</v>
      </c>
      <c r="H209" s="64">
        <f t="shared" si="28"/>
        <v>682.77397500000006</v>
      </c>
    </row>
    <row r="210" spans="1:8" x14ac:dyDescent="0.25">
      <c r="A210" s="89">
        <f>A209+1</f>
        <v>6</v>
      </c>
      <c r="B210" s="89"/>
      <c r="C210" s="74" t="s">
        <v>307</v>
      </c>
      <c r="D210" s="71">
        <f>(27.71+(2.75*1.35+2.2+2.75))*10.764</f>
        <v>391.51359000000002</v>
      </c>
      <c r="E210" s="71">
        <f>(0.75*(2.75*2+2.2))*10.764</f>
        <v>62.162100000000002</v>
      </c>
      <c r="F210" s="64">
        <f t="shared" si="27"/>
        <v>453.67569000000003</v>
      </c>
      <c r="G210" s="66">
        <v>0</v>
      </c>
      <c r="H210" s="64">
        <f t="shared" si="28"/>
        <v>680.51353500000005</v>
      </c>
    </row>
    <row r="211" spans="1:8" x14ac:dyDescent="0.25">
      <c r="A211" s="89">
        <f>A210+1</f>
        <v>7</v>
      </c>
      <c r="B211" s="89"/>
      <c r="C211" s="74" t="s">
        <v>306</v>
      </c>
      <c r="D211" s="71">
        <f>(48.08+(2.9))*10.764</f>
        <v>548.74871999999993</v>
      </c>
      <c r="E211" s="71">
        <f>(0.75*(2.9+2.3+2.75*2))*10.764</f>
        <v>86.381099999999975</v>
      </c>
      <c r="F211" s="64">
        <f t="shared" si="27"/>
        <v>635.12981999999988</v>
      </c>
      <c r="G211" s="66">
        <v>0</v>
      </c>
      <c r="H211" s="64">
        <f t="shared" si="28"/>
        <v>952.69472999999982</v>
      </c>
    </row>
    <row r="212" spans="1:8" x14ac:dyDescent="0.25">
      <c r="A212" s="89">
        <f>A211+1</f>
        <v>8</v>
      </c>
      <c r="B212" s="89"/>
      <c r="C212" s="74" t="s">
        <v>306</v>
      </c>
      <c r="D212" s="71">
        <f>(47.82+(2.9))*10.764</f>
        <v>545.95007999999996</v>
      </c>
      <c r="E212" s="71">
        <f>(0.75*(2.9+2.3+2.75*2))*10.764</f>
        <v>86.381099999999975</v>
      </c>
      <c r="F212" s="64">
        <f t="shared" si="27"/>
        <v>632.3311799999999</v>
      </c>
      <c r="G212" s="66">
        <v>0</v>
      </c>
      <c r="H212" s="64">
        <f t="shared" si="28"/>
        <v>948.49676999999986</v>
      </c>
    </row>
    <row r="213" spans="1:8" x14ac:dyDescent="0.25">
      <c r="A213" s="89">
        <f>A212+1</f>
        <v>9</v>
      </c>
      <c r="B213" s="89"/>
      <c r="C213" s="74" t="s">
        <v>307</v>
      </c>
      <c r="D213" s="71">
        <f>(28.64+(2.7+2.15+2.9))*10.764</f>
        <v>391.70195999999999</v>
      </c>
      <c r="E213" s="71">
        <f>(0.75*(2.7+2.15+2.9))*10.764</f>
        <v>62.565749999999994</v>
      </c>
      <c r="F213" s="74">
        <f t="shared" ref="F213:F214" si="29">D213+E213</f>
        <v>454.26770999999997</v>
      </c>
      <c r="G213" s="74">
        <v>0</v>
      </c>
      <c r="H213" s="74">
        <f t="shared" ref="H213:H214" si="30">F213*(($H$153)+1)+(IF(G213&lt;101,G213,IF(G213&lt;201,G213/2,IF(G213&lt;=301,G213/3,G213/4))))</f>
        <v>681.40156499999989</v>
      </c>
    </row>
    <row r="214" spans="1:8" x14ac:dyDescent="0.25">
      <c r="A214" s="89">
        <f>A213+1</f>
        <v>10</v>
      </c>
      <c r="B214" s="89"/>
      <c r="C214" s="74" t="s">
        <v>307</v>
      </c>
      <c r="D214" s="71">
        <f>(28.64+(2.7+2.15+2.9))*10.764</f>
        <v>391.70195999999999</v>
      </c>
      <c r="E214" s="71">
        <f>(0.75*(2.7+2.15+2.9))*10.764</f>
        <v>62.565749999999994</v>
      </c>
      <c r="F214" s="74">
        <f t="shared" si="29"/>
        <v>454.26770999999997</v>
      </c>
      <c r="G214" s="74">
        <v>0</v>
      </c>
      <c r="H214" s="74">
        <f t="shared" si="30"/>
        <v>681.40156499999989</v>
      </c>
    </row>
    <row r="215" spans="1:8" ht="15.75" customHeight="1" x14ac:dyDescent="0.25">
      <c r="A215" s="84" t="s">
        <v>331</v>
      </c>
      <c r="B215" s="85"/>
      <c r="C215" s="85"/>
      <c r="D215" s="85"/>
      <c r="E215" s="85"/>
      <c r="F215" s="85"/>
      <c r="G215" s="85"/>
      <c r="H215" s="86"/>
    </row>
    <row r="216" spans="1:8" x14ac:dyDescent="0.25">
      <c r="A216" s="87">
        <v>1</v>
      </c>
      <c r="B216" s="88"/>
      <c r="C216" s="74" t="s">
        <v>307</v>
      </c>
      <c r="D216" s="71">
        <f>(29.87+(2.75*1.5+2.15))*10.764</f>
        <v>389.06477999999998</v>
      </c>
      <c r="E216" s="71">
        <f>(0.75*(2.75*2+2.15))*10.764</f>
        <v>61.758450000000003</v>
      </c>
      <c r="F216" s="66">
        <f t="shared" ref="F216:F223" si="31">D216+E216</f>
        <v>450.82322999999997</v>
      </c>
      <c r="G216" s="66">
        <v>0</v>
      </c>
      <c r="H216" s="66">
        <f>F216*(($H$153)+1)+(IF(G216&lt;101,G216,IF(G216&lt;201,G216/2,IF(G216&lt;=301,G216/3,G216/4))))</f>
        <v>676.23484499999995</v>
      </c>
    </row>
    <row r="217" spans="1:8" x14ac:dyDescent="0.25">
      <c r="A217" s="87">
        <f>A216+1</f>
        <v>2</v>
      </c>
      <c r="B217" s="88"/>
      <c r="C217" s="74" t="s">
        <v>306</v>
      </c>
      <c r="D217" s="71">
        <f>(49.4+(2.9))*10.764</f>
        <v>562.95719999999994</v>
      </c>
      <c r="E217" s="71">
        <f>(0.75*(2.9+2.3+2.75*2))*10.764</f>
        <v>86.381099999999975</v>
      </c>
      <c r="F217" s="66">
        <f t="shared" si="31"/>
        <v>649.33829999999989</v>
      </c>
      <c r="G217" s="66">
        <v>0</v>
      </c>
      <c r="H217" s="66">
        <f>F217*(($H$153)+1)+(IF(G217&lt;101,G217,IF(G217&lt;201,G217/2,IF(G217&lt;=301,G217/3,G217/4))))</f>
        <v>974.00744999999984</v>
      </c>
    </row>
    <row r="218" spans="1:8" x14ac:dyDescent="0.25">
      <c r="A218" s="87">
        <f>A217+1</f>
        <v>3</v>
      </c>
      <c r="B218" s="88"/>
      <c r="C218" s="74" t="s">
        <v>306</v>
      </c>
      <c r="D218" s="71">
        <f>(49.58+(2.9))*10.764</f>
        <v>564.89471999999989</v>
      </c>
      <c r="E218" s="71">
        <f>(0.75*(2.9+2.3+2.75*2))*10.764</f>
        <v>86.381099999999975</v>
      </c>
      <c r="F218" s="66">
        <f t="shared" si="31"/>
        <v>651.27581999999984</v>
      </c>
      <c r="G218" s="66">
        <v>0</v>
      </c>
      <c r="H218" s="66">
        <f>F218*(($H$153)+1)+(IF(G218&lt;101,G218,IF(G218&lt;201,G218/2,IF(G218&lt;=301,G218/3,G218/4))))</f>
        <v>976.91372999999976</v>
      </c>
    </row>
    <row r="219" spans="1:8" x14ac:dyDescent="0.25">
      <c r="A219" s="87">
        <f>A218+1</f>
        <v>4</v>
      </c>
      <c r="B219" s="88"/>
      <c r="C219" s="74" t="s">
        <v>307</v>
      </c>
      <c r="D219" s="71">
        <f>(29.32+(2.75*1.55+2.75))*10.764</f>
        <v>391.08303000000001</v>
      </c>
      <c r="E219" s="71">
        <f>(0.75*(2.75*2+2.15))*10.764</f>
        <v>61.758450000000003</v>
      </c>
      <c r="F219" s="66">
        <f t="shared" si="31"/>
        <v>452.84147999999999</v>
      </c>
      <c r="G219" s="66">
        <v>0</v>
      </c>
      <c r="H219" s="66">
        <f>F219*(($H$153)+1)+(IF(G219&lt;101,G219,IF(G219&lt;201,G219/2,IF(G219&lt;=301,G219/3,G219/4))))</f>
        <v>679.26221999999996</v>
      </c>
    </row>
    <row r="220" spans="1:8" ht="15" customHeight="1" x14ac:dyDescent="0.25">
      <c r="A220" s="89">
        <v>5</v>
      </c>
      <c r="B220" s="89"/>
      <c r="C220" s="74" t="s">
        <v>306</v>
      </c>
      <c r="D220" s="71">
        <f>(37.94+(2.75*2+2.2))*10.764</f>
        <v>491.26895999999999</v>
      </c>
      <c r="E220" s="71">
        <f>(0.75*(2.75*3+2.2))*10.764</f>
        <v>84.362849999999995</v>
      </c>
      <c r="F220" s="74">
        <f t="shared" ref="F220" si="32">D220+E220</f>
        <v>575.63180999999997</v>
      </c>
      <c r="G220" s="74">
        <v>0</v>
      </c>
      <c r="H220" s="74">
        <f>F220*(($H$153)+1)+(IF(G220&lt;101,G220,IF(G220&lt;201,G220/2,IF(G220&lt;=301,G220/3,G220/4))))</f>
        <v>863.44771500000002</v>
      </c>
    </row>
    <row r="221" spans="1:8" x14ac:dyDescent="0.25">
      <c r="A221" s="89">
        <f>A220+1</f>
        <v>6</v>
      </c>
      <c r="B221" s="89"/>
      <c r="C221" s="87" t="s">
        <v>309</v>
      </c>
      <c r="D221" s="90"/>
      <c r="E221" s="90"/>
      <c r="F221" s="90"/>
      <c r="G221" s="90"/>
      <c r="H221" s="88"/>
    </row>
    <row r="222" spans="1:8" x14ac:dyDescent="0.25">
      <c r="A222" s="89">
        <f>A221+1</f>
        <v>7</v>
      </c>
      <c r="B222" s="89"/>
      <c r="C222" s="74" t="s">
        <v>306</v>
      </c>
      <c r="D222" s="71">
        <f>(48.08+(2.9))*10.764</f>
        <v>548.74871999999993</v>
      </c>
      <c r="E222" s="71">
        <f>(0.75*(2.9+2.3+2.75*2))*10.764</f>
        <v>86.381099999999975</v>
      </c>
      <c r="F222" s="66">
        <f t="shared" si="31"/>
        <v>635.12981999999988</v>
      </c>
      <c r="G222" s="66">
        <v>0</v>
      </c>
      <c r="H222" s="66">
        <f>F222*(($H$153)+1)+(IF(G222&lt;101,G222,IF(G222&lt;201,G222/2,IF(G222&lt;=301,G222/3,G222/4))))</f>
        <v>952.69472999999982</v>
      </c>
    </row>
    <row r="223" spans="1:8" x14ac:dyDescent="0.25">
      <c r="A223" s="89">
        <f>A222+1</f>
        <v>8</v>
      </c>
      <c r="B223" s="89"/>
      <c r="C223" s="74" t="s">
        <v>306</v>
      </c>
      <c r="D223" s="71">
        <f>(47.82+(2.9))*10.764</f>
        <v>545.95007999999996</v>
      </c>
      <c r="E223" s="71">
        <f>(0.75*(2.9+2.3+2.75*2))*10.764</f>
        <v>86.381099999999975</v>
      </c>
      <c r="F223" s="66">
        <f t="shared" si="31"/>
        <v>632.3311799999999</v>
      </c>
      <c r="G223" s="66">
        <v>0</v>
      </c>
      <c r="H223" s="66">
        <f>F223*(($H$153)+1)+(IF(G223&lt;101,G223,IF(G223&lt;201,G223/2,IF(G223&lt;=301,G223/3,G223/4))))</f>
        <v>948.49676999999986</v>
      </c>
    </row>
    <row r="224" spans="1:8" x14ac:dyDescent="0.25">
      <c r="A224" s="89">
        <f>A223+1</f>
        <v>9</v>
      </c>
      <c r="B224" s="89"/>
      <c r="C224" s="74" t="s">
        <v>307</v>
      </c>
      <c r="D224" s="71">
        <f>(28.64+(2.7+2.15+2.9))*10.764</f>
        <v>391.70195999999999</v>
      </c>
      <c r="E224" s="71">
        <f>(0.75*(2.7+2.15+2.9))*10.764</f>
        <v>62.565749999999994</v>
      </c>
      <c r="F224" s="74">
        <f t="shared" ref="F224" si="33">D224+E224</f>
        <v>454.26770999999997</v>
      </c>
      <c r="G224" s="74">
        <v>0</v>
      </c>
      <c r="H224" s="74">
        <f>F224*(($H$153)+1)+(IF(G224&lt;101,G224,IF(G224&lt;201,G224/2,IF(G224&lt;=301,G224/3,G224/4))))</f>
        <v>681.40156499999989</v>
      </c>
    </row>
    <row r="225" spans="1:11" x14ac:dyDescent="0.25">
      <c r="A225" s="89">
        <f>A224+1</f>
        <v>10</v>
      </c>
      <c r="B225" s="89"/>
      <c r="C225" s="74" t="s">
        <v>307</v>
      </c>
      <c r="D225" s="71">
        <f>(28.64+(2.7+2.15+2.9))*10.764</f>
        <v>391.70195999999999</v>
      </c>
      <c r="E225" s="71">
        <f>(0.75*(2.7+2.15+2.9))*10.764</f>
        <v>62.565749999999994</v>
      </c>
      <c r="F225" s="66">
        <f t="shared" ref="F225" si="34">D225+E225</f>
        <v>454.26770999999997</v>
      </c>
      <c r="G225" s="66">
        <v>0</v>
      </c>
      <c r="H225" s="66">
        <f>F225*(($H$153)+1)+(IF(G225&lt;101,G225,IF(G225&lt;201,G225/2,IF(G225&lt;=301,G225/3,G225/4))))</f>
        <v>681.40156499999989</v>
      </c>
    </row>
    <row r="226" spans="1:11" x14ac:dyDescent="0.25">
      <c r="A226" s="218" t="s">
        <v>64</v>
      </c>
      <c r="B226" s="218"/>
      <c r="C226" s="218"/>
      <c r="D226" s="218"/>
      <c r="E226" s="218"/>
      <c r="F226" s="218"/>
      <c r="G226" s="218"/>
      <c r="H226" s="218"/>
    </row>
    <row r="227" spans="1:11" x14ac:dyDescent="0.25">
      <c r="A227" s="42" t="s">
        <v>147</v>
      </c>
      <c r="B227" s="198" t="s">
        <v>354</v>
      </c>
      <c r="C227" s="199"/>
      <c r="D227" s="199"/>
      <c r="E227" s="199"/>
      <c r="F227" s="199"/>
      <c r="G227" s="199"/>
      <c r="H227" s="200"/>
    </row>
    <row r="228" spans="1:11" x14ac:dyDescent="0.25">
      <c r="A228" s="42" t="s">
        <v>147</v>
      </c>
      <c r="B228" s="215" t="str">
        <f>(IF(H152="Saleable area Loading :","We have considered Saleable area of Flats as per our Calculation.","We considered Saleable area of Flat as per Builder area Sheet."))</f>
        <v>We have considered Saleable area of Flats as per our Calculation.</v>
      </c>
      <c r="C228" s="216"/>
      <c r="D228" s="216"/>
      <c r="E228" s="216"/>
      <c r="F228" s="216"/>
      <c r="G228" s="216"/>
      <c r="H228" s="217"/>
    </row>
    <row r="229" spans="1:11" x14ac:dyDescent="0.25">
      <c r="A229" s="42" t="s">
        <v>147</v>
      </c>
      <c r="B229" s="215" t="str">
        <f>(IF(H129="Saleable area Loading :","We have considered Saleable area of Commercial as per our Calculation.","We considered Saleable area of Commercial as per Builder area Sheet."))</f>
        <v>We have considered Saleable area of Commercial as per our Calculation.</v>
      </c>
      <c r="C229" s="216"/>
      <c r="D229" s="216"/>
      <c r="E229" s="216"/>
      <c r="F229" s="216"/>
      <c r="G229" s="216"/>
      <c r="H229" s="217"/>
    </row>
    <row r="230" spans="1:11" x14ac:dyDescent="0.25">
      <c r="A230" s="42" t="s">
        <v>147</v>
      </c>
      <c r="B230" s="134" t="s">
        <v>117</v>
      </c>
      <c r="C230" s="135"/>
      <c r="D230" s="135"/>
      <c r="E230" s="135"/>
      <c r="F230" s="135"/>
      <c r="G230" s="135"/>
      <c r="H230" s="136"/>
    </row>
    <row r="231" spans="1:11" x14ac:dyDescent="0.25">
      <c r="A231" s="42" t="s">
        <v>147</v>
      </c>
      <c r="B231" s="215" t="s">
        <v>347</v>
      </c>
      <c r="C231" s="216"/>
      <c r="D231" s="216"/>
      <c r="E231" s="216"/>
      <c r="F231" s="216"/>
      <c r="G231" s="216"/>
      <c r="H231" s="217"/>
    </row>
    <row r="232" spans="1:11" x14ac:dyDescent="0.25">
      <c r="A232" s="42" t="s">
        <v>147</v>
      </c>
      <c r="B232" s="134" t="s">
        <v>146</v>
      </c>
      <c r="C232" s="135"/>
      <c r="D232" s="135"/>
      <c r="E232" s="135"/>
      <c r="F232" s="135"/>
      <c r="G232" s="135"/>
      <c r="H232" s="136"/>
    </row>
    <row r="233" spans="1:11" x14ac:dyDescent="0.25">
      <c r="A233" s="42" t="s">
        <v>147</v>
      </c>
      <c r="B233" s="134" t="s">
        <v>118</v>
      </c>
      <c r="C233" s="135"/>
      <c r="D233" s="135"/>
      <c r="E233" s="135"/>
      <c r="F233" s="135"/>
      <c r="G233" s="135"/>
      <c r="H233" s="136"/>
    </row>
    <row r="234" spans="1:11" ht="33" customHeight="1" x14ac:dyDescent="0.25">
      <c r="A234" s="42" t="s">
        <v>147</v>
      </c>
      <c r="B234" s="134" t="s">
        <v>148</v>
      </c>
      <c r="C234" s="135"/>
      <c r="D234" s="135"/>
      <c r="E234" s="135"/>
      <c r="F234" s="135"/>
      <c r="G234" s="135"/>
      <c r="H234" s="136"/>
    </row>
    <row r="235" spans="1:11" x14ac:dyDescent="0.25">
      <c r="A235" s="42" t="s">
        <v>147</v>
      </c>
      <c r="B235" s="134" t="s">
        <v>119</v>
      </c>
      <c r="C235" s="135"/>
      <c r="D235" s="135"/>
      <c r="E235" s="135"/>
      <c r="F235" s="135"/>
      <c r="G235" s="135"/>
      <c r="H235" s="136"/>
    </row>
    <row r="236" spans="1:11" ht="32.25" hidden="1" customHeight="1" x14ac:dyDescent="0.25">
      <c r="A236" s="49" t="s">
        <v>147</v>
      </c>
      <c r="B236" s="204" t="s">
        <v>173</v>
      </c>
      <c r="C236" s="205"/>
      <c r="D236" s="205"/>
      <c r="E236" s="205"/>
      <c r="F236" s="205"/>
      <c r="G236" s="205"/>
      <c r="H236" s="206"/>
      <c r="K236" s="21"/>
    </row>
    <row r="237" spans="1:11" hidden="1" x14ac:dyDescent="0.25">
      <c r="A237" s="54" t="s">
        <v>147</v>
      </c>
      <c r="B237" s="204" t="s">
        <v>227</v>
      </c>
      <c r="C237" s="205"/>
      <c r="D237" s="205"/>
      <c r="E237" s="205"/>
      <c r="F237" s="205"/>
      <c r="G237" s="205"/>
      <c r="H237" s="206"/>
    </row>
    <row r="238" spans="1:11" x14ac:dyDescent="0.25">
      <c r="A238" s="78" t="s">
        <v>147</v>
      </c>
      <c r="B238" s="198" t="s">
        <v>346</v>
      </c>
      <c r="C238" s="199"/>
      <c r="D238" s="199"/>
      <c r="E238" s="199"/>
      <c r="F238" s="199"/>
      <c r="G238" s="199"/>
      <c r="H238" s="200"/>
    </row>
    <row r="239" spans="1:11" x14ac:dyDescent="0.25">
      <c r="A239" s="76" t="s">
        <v>147</v>
      </c>
      <c r="B239" s="198" t="s">
        <v>351</v>
      </c>
      <c r="C239" s="199"/>
      <c r="D239" s="199"/>
      <c r="E239" s="199"/>
      <c r="F239" s="199"/>
      <c r="G239" s="199"/>
      <c r="H239" s="200"/>
    </row>
    <row r="240" spans="1:11" x14ac:dyDescent="0.25">
      <c r="A240" s="210" t="s">
        <v>57</v>
      </c>
      <c r="B240" s="210"/>
      <c r="C240" s="210"/>
      <c r="D240" s="210"/>
      <c r="E240" s="210"/>
      <c r="F240" s="210"/>
      <c r="G240" s="210"/>
      <c r="H240" s="210"/>
    </row>
    <row r="241" spans="1:8" x14ac:dyDescent="0.25">
      <c r="A241" s="102" t="s">
        <v>58</v>
      </c>
      <c r="B241" s="102"/>
      <c r="C241" s="102"/>
      <c r="D241" s="102"/>
      <c r="E241" s="102"/>
      <c r="F241" s="102"/>
      <c r="G241" s="102"/>
      <c r="H241" s="102"/>
    </row>
    <row r="242" spans="1:8" x14ac:dyDescent="0.25">
      <c r="A242" s="224" t="s">
        <v>59</v>
      </c>
      <c r="B242" s="224"/>
      <c r="C242" s="224"/>
      <c r="D242" s="224"/>
      <c r="E242" s="224"/>
      <c r="F242" s="224"/>
      <c r="G242" s="224"/>
      <c r="H242" s="224"/>
    </row>
    <row r="243" spans="1:8" x14ac:dyDescent="0.25">
      <c r="A243" s="102" t="s">
        <v>60</v>
      </c>
      <c r="B243" s="102"/>
      <c r="C243" s="102"/>
      <c r="D243" s="102"/>
      <c r="E243" s="102"/>
      <c r="F243" s="102"/>
      <c r="G243" s="102"/>
      <c r="H243" s="102"/>
    </row>
    <row r="244" spans="1:8" x14ac:dyDescent="0.25">
      <c r="A244" s="102" t="s">
        <v>61</v>
      </c>
      <c r="B244" s="102"/>
      <c r="C244" s="102"/>
      <c r="D244" s="102"/>
      <c r="E244" s="102"/>
      <c r="F244" s="102"/>
      <c r="G244" s="102"/>
      <c r="H244" s="102"/>
    </row>
    <row r="245" spans="1:8" x14ac:dyDescent="0.25">
      <c r="A245" s="102" t="s">
        <v>120</v>
      </c>
      <c r="B245" s="102"/>
      <c r="C245" s="102"/>
      <c r="D245" s="102"/>
      <c r="E245" s="102"/>
      <c r="F245" s="102"/>
      <c r="G245" s="102"/>
      <c r="H245" s="102"/>
    </row>
    <row r="246" spans="1:8" x14ac:dyDescent="0.25">
      <c r="A246" s="95" t="s">
        <v>121</v>
      </c>
      <c r="B246" s="95"/>
      <c r="C246" s="95"/>
      <c r="D246" s="95"/>
      <c r="E246" s="95"/>
      <c r="F246" s="95"/>
      <c r="G246" s="95"/>
      <c r="H246" s="95"/>
    </row>
    <row r="247" spans="1:8" x14ac:dyDescent="0.25">
      <c r="A247" s="208" t="s">
        <v>73</v>
      </c>
      <c r="B247" s="208"/>
      <c r="C247" s="208" t="s">
        <v>304</v>
      </c>
      <c r="D247" s="208"/>
      <c r="E247" s="208" t="s">
        <v>101</v>
      </c>
      <c r="F247" s="208"/>
      <c r="G247" s="209" t="s">
        <v>349</v>
      </c>
      <c r="H247" s="209"/>
    </row>
    <row r="248" spans="1:8" x14ac:dyDescent="0.25">
      <c r="A248" s="207" t="s">
        <v>75</v>
      </c>
      <c r="B248" s="207"/>
      <c r="C248" s="207"/>
      <c r="D248" s="207"/>
      <c r="E248" s="207"/>
      <c r="F248" s="207"/>
      <c r="G248" s="207"/>
      <c r="H248" s="207"/>
    </row>
    <row r="249" spans="1:8" x14ac:dyDescent="0.25">
      <c r="A249" s="207"/>
      <c r="B249" s="207"/>
      <c r="C249" s="207"/>
      <c r="D249" s="207"/>
      <c r="E249" s="207"/>
      <c r="F249" s="207"/>
      <c r="G249" s="207"/>
      <c r="H249" s="207"/>
    </row>
    <row r="250" spans="1:8" x14ac:dyDescent="0.25">
      <c r="A250" s="207"/>
      <c r="B250" s="207"/>
      <c r="C250" s="207"/>
      <c r="D250" s="207"/>
      <c r="E250" s="207"/>
      <c r="F250" s="207"/>
      <c r="G250" s="207"/>
      <c r="H250" s="207"/>
    </row>
    <row r="251" spans="1:8" x14ac:dyDescent="0.25">
      <c r="A251" s="207"/>
      <c r="B251" s="207"/>
      <c r="C251" s="207"/>
      <c r="D251" s="207"/>
      <c r="E251" s="207"/>
      <c r="F251" s="207"/>
      <c r="G251" s="207"/>
      <c r="H251" s="207"/>
    </row>
    <row r="252" spans="1:8" x14ac:dyDescent="0.25">
      <c r="A252" s="36" t="s">
        <v>62</v>
      </c>
      <c r="B252" s="37"/>
      <c r="C252" s="37"/>
      <c r="D252" s="36" t="str">
        <f>E9</f>
        <v>Sereno</v>
      </c>
      <c r="F252" s="37"/>
      <c r="G252" s="37"/>
      <c r="H252" s="37"/>
    </row>
    <row r="253" spans="1:8" x14ac:dyDescent="0.25">
      <c r="A253" s="37"/>
      <c r="B253" s="37"/>
      <c r="C253" s="37"/>
      <c r="D253" s="37"/>
      <c r="E253" s="37"/>
      <c r="F253" s="37"/>
      <c r="G253" s="37"/>
      <c r="H253" s="37"/>
    </row>
    <row r="254" spans="1:8" x14ac:dyDescent="0.25">
      <c r="A254" s="37"/>
      <c r="B254" s="37"/>
      <c r="C254" s="37"/>
      <c r="D254" s="37"/>
      <c r="E254" s="37"/>
      <c r="F254" s="37"/>
      <c r="G254" s="37"/>
      <c r="H254" s="37"/>
    </row>
    <row r="296" spans="1:1" x14ac:dyDescent="0.25">
      <c r="A296" s="39" t="s">
        <v>158</v>
      </c>
    </row>
    <row r="340" spans="1:1" x14ac:dyDescent="0.25">
      <c r="A340" s="39" t="s">
        <v>63</v>
      </c>
    </row>
  </sheetData>
  <mergeCells count="407">
    <mergeCell ref="I15:P15"/>
    <mergeCell ref="F113:H113"/>
    <mergeCell ref="F111:H111"/>
    <mergeCell ref="A128:H128"/>
    <mergeCell ref="G118:H118"/>
    <mergeCell ref="A112:E112"/>
    <mergeCell ref="A135:B135"/>
    <mergeCell ref="A61:B61"/>
    <mergeCell ref="C61:E61"/>
    <mergeCell ref="D63:H63"/>
    <mergeCell ref="F112:H112"/>
    <mergeCell ref="E118:F118"/>
    <mergeCell ref="A118:B118"/>
    <mergeCell ref="C122:D122"/>
    <mergeCell ref="D72:H72"/>
    <mergeCell ref="A73:C73"/>
    <mergeCell ref="E43:H43"/>
    <mergeCell ref="A43:D43"/>
    <mergeCell ref="A89:B89"/>
    <mergeCell ref="C89:H89"/>
    <mergeCell ref="A84:B84"/>
    <mergeCell ref="A50:B50"/>
    <mergeCell ref="G50:H50"/>
    <mergeCell ref="A52:B52"/>
    <mergeCell ref="A62:H62"/>
    <mergeCell ref="A63:C63"/>
    <mergeCell ref="A64:C64"/>
    <mergeCell ref="D64:H64"/>
    <mergeCell ref="G61:H61"/>
    <mergeCell ref="A55:B56"/>
    <mergeCell ref="C55:E55"/>
    <mergeCell ref="G55:H55"/>
    <mergeCell ref="A57:B58"/>
    <mergeCell ref="C57:E57"/>
    <mergeCell ref="G57:H57"/>
    <mergeCell ref="A59:B60"/>
    <mergeCell ref="C59:E59"/>
    <mergeCell ref="G59:H59"/>
    <mergeCell ref="G52:H52"/>
    <mergeCell ref="A53:B54"/>
    <mergeCell ref="A51:B51"/>
    <mergeCell ref="C51:E51"/>
    <mergeCell ref="G53:H53"/>
    <mergeCell ref="G51:H51"/>
    <mergeCell ref="C54:H54"/>
    <mergeCell ref="A245:H245"/>
    <mergeCell ref="A242:H242"/>
    <mergeCell ref="A163:B163"/>
    <mergeCell ref="A122:B122"/>
    <mergeCell ref="D152:D153"/>
    <mergeCell ref="E152:E153"/>
    <mergeCell ref="A97:B97"/>
    <mergeCell ref="A98:B98"/>
    <mergeCell ref="A99:B99"/>
    <mergeCell ref="F104:H104"/>
    <mergeCell ref="G119:H119"/>
    <mergeCell ref="F110:H110"/>
    <mergeCell ref="C118:D118"/>
    <mergeCell ref="C125:D125"/>
    <mergeCell ref="A156:H156"/>
    <mergeCell ref="A215:H215"/>
    <mergeCell ref="A216:B216"/>
    <mergeCell ref="A126:B126"/>
    <mergeCell ref="C126:D126"/>
    <mergeCell ref="E126:F126"/>
    <mergeCell ref="B235:H235"/>
    <mergeCell ref="B233:H233"/>
    <mergeCell ref="B229:H229"/>
    <mergeCell ref="A187:B187"/>
    <mergeCell ref="A185:B185"/>
    <mergeCell ref="A186:B186"/>
    <mergeCell ref="A188:B188"/>
    <mergeCell ref="B227:H227"/>
    <mergeCell ref="B228:H228"/>
    <mergeCell ref="B230:H230"/>
    <mergeCell ref="B231:H231"/>
    <mergeCell ref="A226:H226"/>
    <mergeCell ref="C185:H185"/>
    <mergeCell ref="C221:H221"/>
    <mergeCell ref="A189:B189"/>
    <mergeCell ref="A190:B190"/>
    <mergeCell ref="A221:B221"/>
    <mergeCell ref="A191:H191"/>
    <mergeCell ref="A192:H192"/>
    <mergeCell ref="A193:H193"/>
    <mergeCell ref="A205:B205"/>
    <mergeCell ref="A182:B182"/>
    <mergeCell ref="A183:B183"/>
    <mergeCell ref="A184:B184"/>
    <mergeCell ref="A223:B223"/>
    <mergeCell ref="A225:B225"/>
    <mergeCell ref="A194:B194"/>
    <mergeCell ref="A195:B195"/>
    <mergeCell ref="A196:B196"/>
    <mergeCell ref="A197:B197"/>
    <mergeCell ref="A198:B198"/>
    <mergeCell ref="A213:B213"/>
    <mergeCell ref="A214:B214"/>
    <mergeCell ref="A224:B224"/>
    <mergeCell ref="A208:B208"/>
    <mergeCell ref="A209:B209"/>
    <mergeCell ref="A210:B210"/>
    <mergeCell ref="A211:B211"/>
    <mergeCell ref="A212:B212"/>
    <mergeCell ref="A199:B199"/>
    <mergeCell ref="A200:B200"/>
    <mergeCell ref="A201:B201"/>
    <mergeCell ref="A204:H204"/>
    <mergeCell ref="A202:B202"/>
    <mergeCell ref="A203:B203"/>
    <mergeCell ref="A222:B222"/>
    <mergeCell ref="A217:B217"/>
    <mergeCell ref="A218:B218"/>
    <mergeCell ref="A248:H251"/>
    <mergeCell ref="A247:B247"/>
    <mergeCell ref="E247:F247"/>
    <mergeCell ref="C247:D247"/>
    <mergeCell ref="G247:H247"/>
    <mergeCell ref="A246:H246"/>
    <mergeCell ref="A244:H244"/>
    <mergeCell ref="A243:H243"/>
    <mergeCell ref="A240:H240"/>
    <mergeCell ref="A241:H241"/>
    <mergeCell ref="B238:H238"/>
    <mergeCell ref="A206:B206"/>
    <mergeCell ref="A207:B207"/>
    <mergeCell ref="B239:H239"/>
    <mergeCell ref="A219:B219"/>
    <mergeCell ref="A220:B220"/>
    <mergeCell ref="A117:H117"/>
    <mergeCell ref="A114:E114"/>
    <mergeCell ref="F114:H114"/>
    <mergeCell ref="A115:E115"/>
    <mergeCell ref="F115:H115"/>
    <mergeCell ref="A123:B123"/>
    <mergeCell ref="A119:B119"/>
    <mergeCell ref="A121:H121"/>
    <mergeCell ref="B152:B153"/>
    <mergeCell ref="A137:B137"/>
    <mergeCell ref="A136:B136"/>
    <mergeCell ref="A127:H127"/>
    <mergeCell ref="A134:B134"/>
    <mergeCell ref="B236:H236"/>
    <mergeCell ref="B237:H237"/>
    <mergeCell ref="B234:H234"/>
    <mergeCell ref="A181:B181"/>
    <mergeCell ref="A166:B166"/>
    <mergeCell ref="C129:C130"/>
    <mergeCell ref="A173:B173"/>
    <mergeCell ref="A174:B17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21:B21"/>
    <mergeCell ref="C21:D21"/>
    <mergeCell ref="E21:F21"/>
    <mergeCell ref="G21:H21"/>
    <mergeCell ref="A22:B22"/>
    <mergeCell ref="C22:D22"/>
    <mergeCell ref="E22:F22"/>
    <mergeCell ref="G22:H22"/>
    <mergeCell ref="A12:D12"/>
    <mergeCell ref="E12:H12"/>
    <mergeCell ref="A17:B17"/>
    <mergeCell ref="A14:D14"/>
    <mergeCell ref="A19:B19"/>
    <mergeCell ref="C19:D19"/>
    <mergeCell ref="E19:F19"/>
    <mergeCell ref="G19:H19"/>
    <mergeCell ref="A20:B20"/>
    <mergeCell ref="C20:D20"/>
    <mergeCell ref="E20:F20"/>
    <mergeCell ref="G20:H20"/>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8:H38"/>
    <mergeCell ref="A37:B37"/>
    <mergeCell ref="C37:E37"/>
    <mergeCell ref="A42:D42"/>
    <mergeCell ref="E42:H42"/>
    <mergeCell ref="A41:H41"/>
    <mergeCell ref="A68:C68"/>
    <mergeCell ref="A69:C69"/>
    <mergeCell ref="D68:H68"/>
    <mergeCell ref="D69:H69"/>
    <mergeCell ref="A44:D44"/>
    <mergeCell ref="E44:H44"/>
    <mergeCell ref="E45:H45"/>
    <mergeCell ref="E46:H46"/>
    <mergeCell ref="E47:H47"/>
    <mergeCell ref="C58:H58"/>
    <mergeCell ref="C60:H60"/>
    <mergeCell ref="F37:H37"/>
    <mergeCell ref="C53:E53"/>
    <mergeCell ref="A66:C67"/>
    <mergeCell ref="D66:H66"/>
    <mergeCell ref="D67:H67"/>
    <mergeCell ref="C52:E52"/>
    <mergeCell ref="C50:E50"/>
    <mergeCell ref="A39:B39"/>
    <mergeCell ref="C39:H39"/>
    <mergeCell ref="A46:D46"/>
    <mergeCell ref="L137:M137"/>
    <mergeCell ref="L136:M136"/>
    <mergeCell ref="L135:M135"/>
    <mergeCell ref="L134:M134"/>
    <mergeCell ref="A86:B86"/>
    <mergeCell ref="C123:D123"/>
    <mergeCell ref="E123:F123"/>
    <mergeCell ref="G123:H123"/>
    <mergeCell ref="A104:E104"/>
    <mergeCell ref="A133:H133"/>
    <mergeCell ref="E129:E130"/>
    <mergeCell ref="A93:B93"/>
    <mergeCell ref="A47:D47"/>
    <mergeCell ref="A48:H48"/>
    <mergeCell ref="D65:H65"/>
    <mergeCell ref="A65:C65"/>
    <mergeCell ref="A85:B85"/>
    <mergeCell ref="C91:H91"/>
    <mergeCell ref="A45:D45"/>
    <mergeCell ref="E79:F88"/>
    <mergeCell ref="G79:H88"/>
    <mergeCell ref="L148:M148"/>
    <mergeCell ref="A164:B164"/>
    <mergeCell ref="A165:B165"/>
    <mergeCell ref="A40:B40"/>
    <mergeCell ref="C40:H40"/>
    <mergeCell ref="F129:F130"/>
    <mergeCell ref="C119:D119"/>
    <mergeCell ref="E119:F119"/>
    <mergeCell ref="B129:B130"/>
    <mergeCell ref="A129:A130"/>
    <mergeCell ref="C152:C153"/>
    <mergeCell ref="G152:G153"/>
    <mergeCell ref="L147:M147"/>
    <mergeCell ref="L144:M144"/>
    <mergeCell ref="A159:B159"/>
    <mergeCell ref="G126:H126"/>
    <mergeCell ref="L145:M145"/>
    <mergeCell ref="A160:B160"/>
    <mergeCell ref="L146:M146"/>
    <mergeCell ref="C56:H56"/>
    <mergeCell ref="A161:B161"/>
    <mergeCell ref="A78:B78"/>
    <mergeCell ref="A87:B87"/>
    <mergeCell ref="A79:B79"/>
    <mergeCell ref="A49:B49"/>
    <mergeCell ref="C49:H49"/>
    <mergeCell ref="B232:H232"/>
    <mergeCell ref="G93:H102"/>
    <mergeCell ref="A94:B94"/>
    <mergeCell ref="A95:B95"/>
    <mergeCell ref="A96:B96"/>
    <mergeCell ref="F105:H105"/>
    <mergeCell ref="A105:E105"/>
    <mergeCell ref="D129:D130"/>
    <mergeCell ref="A107:E107"/>
    <mergeCell ref="A106:E106"/>
    <mergeCell ref="A103:E103"/>
    <mergeCell ref="F107:H107"/>
    <mergeCell ref="G129:G130"/>
    <mergeCell ref="A81:B81"/>
    <mergeCell ref="A88:B88"/>
    <mergeCell ref="A92:B92"/>
    <mergeCell ref="A91:B91"/>
    <mergeCell ref="A77:B77"/>
    <mergeCell ref="A75:B75"/>
    <mergeCell ref="C75:H75"/>
    <mergeCell ref="A83:B83"/>
    <mergeCell ref="A70:C70"/>
    <mergeCell ref="A175:B175"/>
    <mergeCell ref="F103:H103"/>
    <mergeCell ref="A138:B138"/>
    <mergeCell ref="A74:C74"/>
    <mergeCell ref="D74:H74"/>
    <mergeCell ref="A72:C72"/>
    <mergeCell ref="D73:H73"/>
    <mergeCell ref="G78:H78"/>
    <mergeCell ref="F108:H108"/>
    <mergeCell ref="E92:F92"/>
    <mergeCell ref="G92:H92"/>
    <mergeCell ref="A116:H116"/>
    <mergeCell ref="A109:E109"/>
    <mergeCell ref="F109:H109"/>
    <mergeCell ref="A111:E111"/>
    <mergeCell ref="F106:H106"/>
    <mergeCell ref="A110:E110"/>
    <mergeCell ref="E93:F102"/>
    <mergeCell ref="A100:B100"/>
    <mergeCell ref="A101:B101"/>
    <mergeCell ref="E122:F122"/>
    <mergeCell ref="A142:B142"/>
    <mergeCell ref="A149:B149"/>
    <mergeCell ref="A150:B150"/>
    <mergeCell ref="D70:H70"/>
    <mergeCell ref="C77:H77"/>
    <mergeCell ref="A80:B80"/>
    <mergeCell ref="A82:B82"/>
    <mergeCell ref="E78:F78"/>
    <mergeCell ref="A71:C71"/>
    <mergeCell ref="D71:H71"/>
    <mergeCell ref="A131:H131"/>
    <mergeCell ref="A132:H132"/>
    <mergeCell ref="A108:E108"/>
    <mergeCell ref="A102:B102"/>
    <mergeCell ref="A125:B125"/>
    <mergeCell ref="E125:F125"/>
    <mergeCell ref="A113:E113"/>
    <mergeCell ref="G125:H125"/>
    <mergeCell ref="A120:B120"/>
    <mergeCell ref="C120:D120"/>
    <mergeCell ref="E120:F120"/>
    <mergeCell ref="G120:H120"/>
    <mergeCell ref="A124:B124"/>
    <mergeCell ref="C124:D124"/>
    <mergeCell ref="E124:F124"/>
    <mergeCell ref="G124:H124"/>
    <mergeCell ref="G122:H122"/>
    <mergeCell ref="A151:H151"/>
    <mergeCell ref="A152:A153"/>
    <mergeCell ref="F152:F153"/>
    <mergeCell ref="A157:H157"/>
    <mergeCell ref="A167:B167"/>
    <mergeCell ref="A154:H154"/>
    <mergeCell ref="A155:H155"/>
    <mergeCell ref="A162:B162"/>
    <mergeCell ref="A158:H158"/>
    <mergeCell ref="I42:L42"/>
    <mergeCell ref="I43:L43"/>
    <mergeCell ref="I44:L44"/>
    <mergeCell ref="I45:L45"/>
    <mergeCell ref="I46:L46"/>
    <mergeCell ref="A180:H180"/>
    <mergeCell ref="A169:H169"/>
    <mergeCell ref="A170:B170"/>
    <mergeCell ref="A171:B171"/>
    <mergeCell ref="A172:B172"/>
    <mergeCell ref="A176:B176"/>
    <mergeCell ref="A177:B177"/>
    <mergeCell ref="A178:B178"/>
    <mergeCell ref="A179:B179"/>
    <mergeCell ref="A168:B168"/>
    <mergeCell ref="A139:B139"/>
    <mergeCell ref="A140:B140"/>
    <mergeCell ref="A141:B141"/>
    <mergeCell ref="A143:B143"/>
    <mergeCell ref="A144:B144"/>
    <mergeCell ref="A145:B145"/>
    <mergeCell ref="A146:B146"/>
    <mergeCell ref="A147:B147"/>
    <mergeCell ref="A148:B148"/>
  </mergeCells>
  <dataValidations count="16">
    <dataValidation type="list" allowBlank="1" showInputMessage="1" showErrorMessage="1" sqref="E5:H5">
      <formula1>OFFSET($L$3,1,MATCH($E4,$L$3:$P$3,0)-1,10,1)</formula1>
    </dataValidation>
    <dataValidation type="list" allowBlank="1" showInputMessage="1" showErrorMessage="1" sqref="A17:B17">
      <formula1>"CTS No, (As per approved CC) Survey No,Plot No,Gut No,FP No,"</formula1>
    </dataValidation>
    <dataValidation type="list" allowBlank="1" showInputMessage="1" showErrorMessage="1" sqref="G20:H20">
      <formula1>$S$13:$W$13</formula1>
    </dataValidation>
    <dataValidation type="list" allowBlank="1" showInputMessage="1" showErrorMessage="1" sqref="E129:E130">
      <formula1>"Attached Loft area,Attached Otla area,Attached Mezzanine area"</formula1>
    </dataValidation>
    <dataValidation type="list" allowBlank="1" showInputMessage="1" showErrorMessage="1" sqref="G247:H247">
      <formula1>"Kunal Kadam,Shruti Tathare,Pranita Mhatre,Shruti Fule,Pooja Kawale,Mansee Mohite,Anjali Kamble, Hitakshi Mhatre, Sachin Sawant"</formula1>
    </dataValidation>
    <dataValidation type="list" allowBlank="1" showInputMessage="1" showErrorMessage="1" sqref="F103:H103">
      <formula1>"On Saleable Area,On Builtup Area,On Carpet Area,On Plot Area"</formula1>
    </dataValidation>
    <dataValidation type="list" allowBlank="1" showInputMessage="1" showErrorMessage="1" sqref="F114:H114">
      <formula1>OFFSET($S$103,1,MATCH($G20,$S$103:$W$103,0)-1,15,1)</formula1>
    </dataValidation>
    <dataValidation type="list" allowBlank="1" showInputMessage="1" showErrorMessage="1" sqref="B129:B130">
      <formula1>"Shop No. (Sale Plan),Sale / Rehab,Sale / Mhada"</formula1>
    </dataValidation>
    <dataValidation type="list" allowBlank="1" showInputMessage="1" showErrorMessage="1" sqref="B152:B153">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2:E153">
      <formula1>"Fungible area,Enclosed Balcony Area + A.P Area,Chajja Area,Cornice Area,AP Area,WS Area"</formula1>
    </dataValidation>
    <dataValidation type="list" allowBlank="1" showInputMessage="1" showErrorMessage="1" sqref="H153 H130">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4">
      <formula1>0</formula1>
      <formula2>H76</formula2>
    </dataValidation>
  </dataValidations>
  <hyperlinks>
    <hyperlink ref="I71" r:id="rId1"/>
    <hyperlink ref="C40" r:id="rId2"/>
  </hyperlinks>
  <printOptions horizontalCentered="1"/>
  <pageMargins left="0.39370078740157483" right="0.39370078740157483" top="0.82677165354330717" bottom="0.78740157480314965" header="0.15748031496062992" footer="0.19685039370078741"/>
  <pageSetup paperSize="2" scale="93" fitToHeight="0" orientation="portrait" r:id="rId3"/>
  <headerFooter>
    <oddHeader>&amp;C&amp;G</oddHeader>
    <oddFooter>&amp;L&amp;"Times New Roman,Bold"&amp;12Ref No: &amp;F&amp;C&amp;G&amp;R&amp;"Times New Roman,Bold"&amp;12&amp;P</oddFooter>
  </headerFooter>
  <rowBreaks count="5" manualBreakCount="5">
    <brk id="74" max="7" man="1"/>
    <brk id="126" max="7" man="1"/>
    <brk id="251" max="7" man="1"/>
    <brk id="295" max="7" man="1"/>
    <brk id="339" max="7"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B18" sqref="B18"/>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40" t="s">
        <v>102</v>
      </c>
      <c r="C3" s="240"/>
      <c r="D3" s="240"/>
      <c r="E3" s="240"/>
      <c r="F3" s="240"/>
      <c r="G3" s="240"/>
      <c r="H3" s="240"/>
    </row>
    <row r="4" spans="1:9" x14ac:dyDescent="0.25">
      <c r="A4" s="2"/>
      <c r="B4" s="3" t="s">
        <v>103</v>
      </c>
      <c r="C4" s="3" t="s">
        <v>104</v>
      </c>
      <c r="D4" s="3" t="s">
        <v>65</v>
      </c>
      <c r="E4" s="3" t="s">
        <v>105</v>
      </c>
      <c r="F4" s="3" t="s">
        <v>111</v>
      </c>
      <c r="G4" s="3" t="s">
        <v>112</v>
      </c>
      <c r="H4" s="3" t="s">
        <v>106</v>
      </c>
    </row>
    <row r="5" spans="1:9" ht="15" customHeight="1" x14ac:dyDescent="0.25">
      <c r="A5" s="2"/>
      <c r="B5" s="5" t="s">
        <v>107</v>
      </c>
      <c r="C5" s="6"/>
      <c r="D5" s="5"/>
      <c r="E5" s="5"/>
      <c r="F5" s="7">
        <f>E5*1.6</f>
        <v>0</v>
      </c>
      <c r="G5" s="7" t="e">
        <f>H5/F5</f>
        <v>#DIV/0!</v>
      </c>
      <c r="H5" s="8"/>
    </row>
    <row r="6" spans="1:9" x14ac:dyDescent="0.25">
      <c r="A6" s="2"/>
      <c r="B6" s="5" t="s">
        <v>107</v>
      </c>
      <c r="C6" s="9"/>
      <c r="D6" s="5"/>
      <c r="E6" s="5"/>
      <c r="F6" s="7">
        <f t="shared" ref="F6:F11" si="0">E6*1.6</f>
        <v>0</v>
      </c>
      <c r="G6" s="7" t="e">
        <f t="shared" ref="G6:G11" si="1">H6/F6</f>
        <v>#DIV/0!</v>
      </c>
      <c r="H6" s="8"/>
    </row>
    <row r="7" spans="1:9" ht="15" customHeight="1" x14ac:dyDescent="0.25">
      <c r="A7" s="2"/>
      <c r="B7" s="5" t="s">
        <v>107</v>
      </c>
      <c r="C7" s="6"/>
      <c r="D7" s="5"/>
      <c r="E7" s="5"/>
      <c r="F7" s="7">
        <f t="shared" si="0"/>
        <v>0</v>
      </c>
      <c r="G7" s="7" t="e">
        <f t="shared" si="1"/>
        <v>#DIV/0!</v>
      </c>
      <c r="H7" s="8"/>
    </row>
    <row r="8" spans="1:9" x14ac:dyDescent="0.25">
      <c r="A8" s="2"/>
      <c r="B8" s="5" t="s">
        <v>107</v>
      </c>
      <c r="C8" s="9"/>
      <c r="D8" s="5"/>
      <c r="E8" s="5"/>
      <c r="F8" s="7">
        <f t="shared" si="0"/>
        <v>0</v>
      </c>
      <c r="G8" s="7" t="e">
        <f t="shared" si="1"/>
        <v>#DIV/0!</v>
      </c>
      <c r="H8" s="8"/>
    </row>
    <row r="9" spans="1:9" ht="15" customHeight="1" x14ac:dyDescent="0.25">
      <c r="A9" s="2"/>
      <c r="B9" s="5" t="s">
        <v>107</v>
      </c>
      <c r="C9" s="9"/>
      <c r="D9" s="5"/>
      <c r="E9" s="5"/>
      <c r="F9" s="7">
        <f t="shared" si="0"/>
        <v>0</v>
      </c>
      <c r="G9" s="7" t="e">
        <f t="shared" si="1"/>
        <v>#DIV/0!</v>
      </c>
      <c r="H9" s="8"/>
    </row>
    <row r="10" spans="1:9" ht="15" customHeight="1" x14ac:dyDescent="0.25">
      <c r="A10" s="2"/>
      <c r="B10" s="5" t="s">
        <v>108</v>
      </c>
      <c r="C10" s="6"/>
      <c r="D10" s="5"/>
      <c r="E10" s="5"/>
      <c r="F10" s="7">
        <f t="shared" si="0"/>
        <v>0</v>
      </c>
      <c r="G10" s="7" t="e">
        <f t="shared" si="1"/>
        <v>#DIV/0!</v>
      </c>
      <c r="H10" s="8"/>
    </row>
    <row r="11" spans="1:9" ht="15" customHeight="1" x14ac:dyDescent="0.25">
      <c r="A11" s="2"/>
      <c r="B11" s="5" t="s">
        <v>108</v>
      </c>
      <c r="C11" s="6"/>
      <c r="D11" s="5"/>
      <c r="E11" s="5"/>
      <c r="F11" s="7">
        <f t="shared" si="0"/>
        <v>0</v>
      </c>
      <c r="G11" s="7" t="e">
        <f t="shared" si="1"/>
        <v>#DIV/0!</v>
      </c>
      <c r="H11" s="8"/>
    </row>
    <row r="12" spans="1:9" ht="15" customHeight="1" x14ac:dyDescent="0.25">
      <c r="A12" s="2"/>
      <c r="B12" s="10" t="s">
        <v>109</v>
      </c>
      <c r="C12" s="5"/>
      <c r="D12" s="5"/>
      <c r="E12" s="5"/>
      <c r="F12" s="5"/>
      <c r="G12" s="11" t="e">
        <f>AVERAGE(G5:G11)</f>
        <v>#DIV/0!</v>
      </c>
      <c r="H12" s="5"/>
    </row>
    <row r="13" spans="1:9" ht="15" customHeight="1" x14ac:dyDescent="0.25">
      <c r="B13" s="10" t="s">
        <v>110</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0"/>
      <c r="C4" s="50" t="s">
        <v>11</v>
      </c>
      <c r="D4" s="51" t="s">
        <v>174</v>
      </c>
      <c r="E4" s="51" t="s">
        <v>184</v>
      </c>
      <c r="F4" s="51" t="s">
        <v>167</v>
      </c>
      <c r="G4" s="51" t="s">
        <v>189</v>
      </c>
      <c r="H4" s="51" t="s">
        <v>207</v>
      </c>
      <c r="J4" t="s">
        <v>189</v>
      </c>
      <c r="K4" t="s">
        <v>205</v>
      </c>
    </row>
    <row r="5" spans="2:11" x14ac:dyDescent="0.25">
      <c r="B5" s="50"/>
      <c r="C5" s="50"/>
      <c r="D5" s="51" t="s">
        <v>175</v>
      </c>
      <c r="E5" s="51" t="s">
        <v>182</v>
      </c>
      <c r="F5" s="51" t="s">
        <v>204</v>
      </c>
      <c r="G5" s="51" t="s">
        <v>190</v>
      </c>
      <c r="H5" s="51" t="s">
        <v>208</v>
      </c>
    </row>
    <row r="6" spans="2:11" x14ac:dyDescent="0.25">
      <c r="B6" s="50"/>
      <c r="C6" s="50"/>
      <c r="D6" s="51" t="s">
        <v>176</v>
      </c>
      <c r="E6" s="51" t="s">
        <v>183</v>
      </c>
      <c r="F6" s="51" t="s">
        <v>205</v>
      </c>
      <c r="G6" s="51" t="s">
        <v>191</v>
      </c>
      <c r="H6" s="51" t="s">
        <v>221</v>
      </c>
    </row>
    <row r="7" spans="2:11" x14ac:dyDescent="0.25">
      <c r="B7" s="50"/>
      <c r="C7" s="50"/>
      <c r="D7" s="51" t="s">
        <v>177</v>
      </c>
      <c r="E7" s="51" t="s">
        <v>185</v>
      </c>
      <c r="F7" s="51" t="s">
        <v>206</v>
      </c>
      <c r="G7" s="51" t="s">
        <v>192</v>
      </c>
      <c r="H7" s="51" t="s">
        <v>209</v>
      </c>
    </row>
    <row r="8" spans="2:11" x14ac:dyDescent="0.25">
      <c r="B8" s="50"/>
      <c r="C8" s="50"/>
      <c r="D8" s="51" t="s">
        <v>178</v>
      </c>
      <c r="E8" s="51" t="s">
        <v>186</v>
      </c>
      <c r="F8" s="51"/>
      <c r="G8" s="51" t="s">
        <v>193</v>
      </c>
      <c r="H8" s="51" t="s">
        <v>210</v>
      </c>
    </row>
    <row r="9" spans="2:11" x14ac:dyDescent="0.25">
      <c r="B9" s="50"/>
      <c r="C9" s="50"/>
      <c r="D9" s="51" t="s">
        <v>179</v>
      </c>
      <c r="E9" s="51" t="s">
        <v>184</v>
      </c>
      <c r="F9" s="51"/>
      <c r="G9" s="51" t="s">
        <v>194</v>
      </c>
      <c r="H9" s="51" t="s">
        <v>211</v>
      </c>
    </row>
    <row r="10" spans="2:11" x14ac:dyDescent="0.25">
      <c r="B10" s="50"/>
      <c r="C10" s="50"/>
      <c r="D10" s="51" t="s">
        <v>180</v>
      </c>
      <c r="E10" s="51" t="s">
        <v>187</v>
      </c>
      <c r="F10" s="51"/>
      <c r="G10" s="51" t="s">
        <v>195</v>
      </c>
      <c r="H10" s="51" t="s">
        <v>212</v>
      </c>
    </row>
    <row r="11" spans="2:11" x14ac:dyDescent="0.25">
      <c r="B11" s="50"/>
      <c r="C11" s="50"/>
      <c r="D11" s="51" t="s">
        <v>181</v>
      </c>
      <c r="E11" s="51" t="s">
        <v>188</v>
      </c>
      <c r="F11" s="51"/>
      <c r="G11" s="51" t="s">
        <v>196</v>
      </c>
      <c r="H11" s="51" t="s">
        <v>213</v>
      </c>
    </row>
    <row r="12" spans="2:11" x14ac:dyDescent="0.25">
      <c r="B12" s="50"/>
      <c r="C12" s="50"/>
      <c r="D12" s="51"/>
      <c r="E12" s="51"/>
      <c r="F12" s="51"/>
      <c r="G12" s="51" t="s">
        <v>197</v>
      </c>
      <c r="H12" s="51" t="s">
        <v>214</v>
      </c>
    </row>
    <row r="13" spans="2:11" x14ac:dyDescent="0.25">
      <c r="B13" s="50"/>
      <c r="C13" s="50"/>
      <c r="D13" s="51"/>
      <c r="E13" s="51"/>
      <c r="F13" s="51"/>
      <c r="G13" s="51" t="s">
        <v>198</v>
      </c>
      <c r="H13" s="51" t="s">
        <v>215</v>
      </c>
    </row>
    <row r="14" spans="2:11" x14ac:dyDescent="0.25">
      <c r="B14" s="50"/>
      <c r="C14" s="50"/>
      <c r="D14" s="51"/>
      <c r="E14" s="51"/>
      <c r="F14" s="51"/>
      <c r="G14" s="51" t="s">
        <v>199</v>
      </c>
      <c r="H14" s="51" t="s">
        <v>216</v>
      </c>
    </row>
    <row r="15" spans="2:11" x14ac:dyDescent="0.25">
      <c r="B15" s="50"/>
      <c r="C15" s="50"/>
      <c r="D15" s="51"/>
      <c r="E15" s="51"/>
      <c r="F15" s="51"/>
      <c r="G15" s="51" t="s">
        <v>200</v>
      </c>
      <c r="H15" s="51" t="s">
        <v>217</v>
      </c>
    </row>
    <row r="16" spans="2:11" x14ac:dyDescent="0.25">
      <c r="B16" s="50"/>
      <c r="C16" s="50"/>
      <c r="D16" s="51"/>
      <c r="E16" s="51"/>
      <c r="F16" s="51"/>
      <c r="G16" s="51" t="s">
        <v>201</v>
      </c>
      <c r="H16" s="51" t="s">
        <v>218</v>
      </c>
    </row>
    <row r="17" spans="2:8" x14ac:dyDescent="0.25">
      <c r="B17" s="50"/>
      <c r="C17" s="50"/>
      <c r="D17" s="51"/>
      <c r="E17" s="51"/>
      <c r="F17" s="51"/>
      <c r="G17" s="51" t="s">
        <v>202</v>
      </c>
      <c r="H17" s="51" t="s">
        <v>219</v>
      </c>
    </row>
    <row r="18" spans="2:8" x14ac:dyDescent="0.25">
      <c r="B18" s="50"/>
      <c r="C18" s="50"/>
      <c r="D18" s="51"/>
      <c r="E18" s="51"/>
      <c r="F18" s="51"/>
      <c r="G18" s="51" t="s">
        <v>203</v>
      </c>
      <c r="H18" s="51" t="s">
        <v>220</v>
      </c>
    </row>
    <row r="24" spans="2:8" x14ac:dyDescent="0.25">
      <c r="C24" t="s">
        <v>164</v>
      </c>
    </row>
    <row r="25" spans="2:8" x14ac:dyDescent="0.25">
      <c r="C25" t="s">
        <v>222</v>
      </c>
    </row>
    <row r="26" spans="2:8" x14ac:dyDescent="0.25">
      <c r="C26" t="s">
        <v>223</v>
      </c>
    </row>
    <row r="27" spans="2:8" x14ac:dyDescent="0.25">
      <c r="C27" t="s">
        <v>224</v>
      </c>
    </row>
    <row r="28" spans="2:8" x14ac:dyDescent="0.25">
      <c r="C28" t="s">
        <v>225</v>
      </c>
    </row>
    <row r="29" spans="2:8" x14ac:dyDescent="0.25">
      <c r="C29" t="s">
        <v>226</v>
      </c>
    </row>
    <row r="30" spans="2:8" x14ac:dyDescent="0.25">
      <c r="C30" t="s">
        <v>164</v>
      </c>
    </row>
    <row r="33" spans="3:11" x14ac:dyDescent="0.25">
      <c r="J33">
        <v>1</v>
      </c>
      <c r="K33">
        <v>2</v>
      </c>
    </row>
    <row r="34" spans="3:11" x14ac:dyDescent="0.25">
      <c r="C34" s="55" t="s">
        <v>231</v>
      </c>
      <c r="D34" s="51" t="s">
        <v>229</v>
      </c>
      <c r="E34" s="51" t="s">
        <v>234</v>
      </c>
      <c r="F34" s="51" t="s">
        <v>232</v>
      </c>
      <c r="G34" s="51" t="s">
        <v>233</v>
      </c>
      <c r="H34" s="51" t="s">
        <v>235</v>
      </c>
      <c r="J34" t="s">
        <v>189</v>
      </c>
      <c r="K34" t="s">
        <v>205</v>
      </c>
    </row>
    <row r="35" spans="3:11" x14ac:dyDescent="0.25">
      <c r="C35" s="50" t="s">
        <v>230</v>
      </c>
      <c r="D35" s="51" t="s">
        <v>165</v>
      </c>
      <c r="E35" s="51" t="s">
        <v>239</v>
      </c>
      <c r="F35" s="51" t="s">
        <v>241</v>
      </c>
      <c r="G35" s="51" t="s">
        <v>243</v>
      </c>
      <c r="H35" s="51"/>
    </row>
    <row r="36" spans="3:11" x14ac:dyDescent="0.25">
      <c r="C36" s="50"/>
      <c r="D36" s="51" t="s">
        <v>236</v>
      </c>
      <c r="E36" s="51" t="s">
        <v>240</v>
      </c>
      <c r="F36" s="51" t="s">
        <v>242</v>
      </c>
      <c r="G36" s="51" t="s">
        <v>244</v>
      </c>
      <c r="H36" s="51"/>
    </row>
    <row r="37" spans="3:11" x14ac:dyDescent="0.25">
      <c r="C37" s="50"/>
      <c r="D37" s="51" t="s">
        <v>237</v>
      </c>
      <c r="E37" s="51"/>
      <c r="F37" s="51"/>
      <c r="G37" s="51" t="s">
        <v>245</v>
      </c>
      <c r="H37" s="51"/>
    </row>
    <row r="38" spans="3:11" x14ac:dyDescent="0.25">
      <c r="C38" s="50"/>
      <c r="D38" s="51" t="s">
        <v>238</v>
      </c>
      <c r="E38" s="51"/>
      <c r="F38" s="51"/>
      <c r="G38" s="51" t="s">
        <v>245</v>
      </c>
      <c r="H38" s="51"/>
    </row>
    <row r="39" spans="3:11" x14ac:dyDescent="0.25">
      <c r="C39" s="50"/>
      <c r="D39" s="51"/>
      <c r="E39" s="51"/>
      <c r="F39" s="51"/>
      <c r="G39" s="51" t="s">
        <v>246</v>
      </c>
      <c r="H39" s="51"/>
    </row>
    <row r="40" spans="3:11" x14ac:dyDescent="0.25">
      <c r="C40" s="50"/>
      <c r="D40" s="51"/>
      <c r="E40" s="51"/>
      <c r="F40" s="51"/>
      <c r="G40" s="51" t="s">
        <v>247</v>
      </c>
      <c r="H40" s="51"/>
    </row>
    <row r="41" spans="3:11" x14ac:dyDescent="0.25">
      <c r="C41" s="50"/>
      <c r="D41" s="51"/>
      <c r="E41" s="51"/>
      <c r="F41" s="51"/>
      <c r="G41" s="51"/>
      <c r="H41" s="51"/>
    </row>
    <row r="43" spans="3:11" x14ac:dyDescent="0.25">
      <c r="C43" t="s">
        <v>248</v>
      </c>
    </row>
    <row r="44" spans="3:11" x14ac:dyDescent="0.25">
      <c r="C44" t="s">
        <v>167</v>
      </c>
      <c r="D44" t="s">
        <v>249</v>
      </c>
    </row>
    <row r="45" spans="3:11" x14ac:dyDescent="0.25">
      <c r="D45" t="s">
        <v>250</v>
      </c>
    </row>
    <row r="46" spans="3:11" x14ac:dyDescent="0.25">
      <c r="D46" t="s">
        <v>251</v>
      </c>
    </row>
    <row r="47" spans="3:11" x14ac:dyDescent="0.25">
      <c r="D47" t="s">
        <v>252</v>
      </c>
    </row>
    <row r="48" spans="3:11" x14ac:dyDescent="0.25">
      <c r="D48" t="s">
        <v>253</v>
      </c>
    </row>
    <row r="49" spans="3:4" x14ac:dyDescent="0.25">
      <c r="C49" t="s">
        <v>174</v>
      </c>
      <c r="D49" t="s">
        <v>254</v>
      </c>
    </row>
    <row r="50" spans="3:4" x14ac:dyDescent="0.25">
      <c r="D50" t="s">
        <v>255</v>
      </c>
    </row>
    <row r="51" spans="3:4" x14ac:dyDescent="0.25">
      <c r="D51" t="s">
        <v>256</v>
      </c>
    </row>
    <row r="52" spans="3:4" x14ac:dyDescent="0.25">
      <c r="D52" t="s">
        <v>259</v>
      </c>
    </row>
    <row r="53" spans="3:4" x14ac:dyDescent="0.25">
      <c r="D53" t="s">
        <v>257</v>
      </c>
    </row>
    <row r="54" spans="3:4" x14ac:dyDescent="0.25">
      <c r="D54" t="s">
        <v>258</v>
      </c>
    </row>
    <row r="55" spans="3:4" x14ac:dyDescent="0.25">
      <c r="D55" t="s">
        <v>260</v>
      </c>
    </row>
    <row r="56" spans="3:4" x14ac:dyDescent="0.25">
      <c r="D56" t="s">
        <v>261</v>
      </c>
    </row>
    <row r="57" spans="3:4" x14ac:dyDescent="0.25">
      <c r="D57" t="s">
        <v>262</v>
      </c>
    </row>
    <row r="58" spans="3:4" x14ac:dyDescent="0.25">
      <c r="D58" t="s">
        <v>264</v>
      </c>
    </row>
    <row r="59" spans="3:4" x14ac:dyDescent="0.25">
      <c r="D59" t="s">
        <v>273</v>
      </c>
    </row>
    <row r="60" spans="3:4" x14ac:dyDescent="0.25">
      <c r="C60" t="s">
        <v>189</v>
      </c>
      <c r="D60" t="s">
        <v>265</v>
      </c>
    </row>
    <row r="61" spans="3:4" x14ac:dyDescent="0.25">
      <c r="D61" t="s">
        <v>263</v>
      </c>
    </row>
    <row r="62" spans="3:4" x14ac:dyDescent="0.25">
      <c r="D62" t="s">
        <v>253</v>
      </c>
    </row>
    <row r="63" spans="3:4" x14ac:dyDescent="0.25">
      <c r="D63" t="s">
        <v>266</v>
      </c>
    </row>
    <row r="64" spans="3:4" x14ac:dyDescent="0.25">
      <c r="D64" t="s">
        <v>267</v>
      </c>
    </row>
    <row r="65" spans="3:4" x14ac:dyDescent="0.25">
      <c r="D65" t="s">
        <v>268</v>
      </c>
    </row>
    <row r="66" spans="3:4" x14ac:dyDescent="0.25">
      <c r="D66" t="s">
        <v>269</v>
      </c>
    </row>
    <row r="67" spans="3:4" x14ac:dyDescent="0.25">
      <c r="C67" t="s">
        <v>184</v>
      </c>
      <c r="D67" t="s">
        <v>270</v>
      </c>
    </row>
    <row r="68" spans="3:4" x14ac:dyDescent="0.25">
      <c r="D68" t="s">
        <v>271</v>
      </c>
    </row>
    <row r="69" spans="3:4" x14ac:dyDescent="0.25">
      <c r="D69" t="s">
        <v>272</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workbookViewId="0">
      <selection activeCell="C22" sqref="C22"/>
    </sheetView>
  </sheetViews>
  <sheetFormatPr defaultRowHeight="15" x14ac:dyDescent="0.25"/>
  <cols>
    <col min="2" max="2" width="3" bestFit="1" customWidth="1"/>
    <col min="3" max="3" width="130" customWidth="1"/>
  </cols>
  <sheetData>
    <row r="2" spans="2:3" ht="15" customHeight="1" x14ac:dyDescent="0.25">
      <c r="B2" s="56">
        <v>1</v>
      </c>
      <c r="C2" s="59" t="s">
        <v>279</v>
      </c>
    </row>
    <row r="3" spans="2:3" x14ac:dyDescent="0.25">
      <c r="B3" s="56">
        <v>2</v>
      </c>
      <c r="C3" s="57" t="s">
        <v>280</v>
      </c>
    </row>
    <row r="4" spans="2:3" x14ac:dyDescent="0.25">
      <c r="B4" s="56">
        <v>3</v>
      </c>
      <c r="C4" s="58" t="s">
        <v>281</v>
      </c>
    </row>
    <row r="5" spans="2:3" ht="30" x14ac:dyDescent="0.25">
      <c r="B5" s="56">
        <v>4</v>
      </c>
      <c r="C5" s="57" t="s">
        <v>282</v>
      </c>
    </row>
    <row r="6" spans="2:3" x14ac:dyDescent="0.25">
      <c r="B6" s="56">
        <v>5</v>
      </c>
      <c r="C6" s="58" t="s">
        <v>283</v>
      </c>
    </row>
    <row r="7" spans="2:3" ht="30" x14ac:dyDescent="0.25">
      <c r="B7" s="56">
        <v>6</v>
      </c>
      <c r="C7" s="57" t="s">
        <v>284</v>
      </c>
    </row>
    <row r="8" spans="2:3" ht="90" x14ac:dyDescent="0.25">
      <c r="B8" s="56">
        <v>7</v>
      </c>
      <c r="C8" s="57" t="s">
        <v>285</v>
      </c>
    </row>
    <row r="9" spans="2:3" x14ac:dyDescent="0.25">
      <c r="B9" s="56">
        <v>8</v>
      </c>
      <c r="C9" s="58" t="s">
        <v>286</v>
      </c>
    </row>
    <row r="10" spans="2:3" x14ac:dyDescent="0.25">
      <c r="B10" s="56">
        <v>9</v>
      </c>
      <c r="C10" s="58" t="s">
        <v>287</v>
      </c>
    </row>
    <row r="11" spans="2:3" x14ac:dyDescent="0.25">
      <c r="B11" s="56">
        <v>10</v>
      </c>
      <c r="C11" s="58" t="s">
        <v>288</v>
      </c>
    </row>
    <row r="12" spans="2:3" x14ac:dyDescent="0.25">
      <c r="B12" s="56">
        <v>11</v>
      </c>
      <c r="C12" s="58" t="s">
        <v>289</v>
      </c>
    </row>
    <row r="13" spans="2:3" x14ac:dyDescent="0.25">
      <c r="B13" s="56">
        <v>12</v>
      </c>
      <c r="C13" s="58" t="s">
        <v>290</v>
      </c>
    </row>
    <row r="14" spans="2:3" x14ac:dyDescent="0.25">
      <c r="B14" s="56">
        <v>13</v>
      </c>
      <c r="C14" s="58" t="s">
        <v>291</v>
      </c>
    </row>
    <row r="15" spans="2:3" x14ac:dyDescent="0.25">
      <c r="B15" s="56">
        <v>14</v>
      </c>
      <c r="C15" s="58"/>
    </row>
    <row r="16" spans="2:3" x14ac:dyDescent="0.25">
      <c r="B16" s="56">
        <v>15</v>
      </c>
      <c r="C16" s="58"/>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2025-08-19T13:33:41Z</cp:lastPrinted>
  <dcterms:created xsi:type="dcterms:W3CDTF">2019-07-16T09:29:46Z</dcterms:created>
  <dcterms:modified xsi:type="dcterms:W3CDTF">2025-08-19T13:33:53Z</dcterms:modified>
</cp:coreProperties>
</file>