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rani\Downloads\dump August Miraroad\"/>
    </mc:Choice>
  </mc:AlternateContent>
  <xr:revisionPtr revIDLastSave="0" documentId="13_ncr:1_{3CD1E62C-30BA-4C4B-86C4-6E54E915614B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Report!$A$1:$H$512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4" i="1" l="1"/>
  <c r="J93" i="1"/>
  <c r="J92" i="1"/>
  <c r="J91" i="1"/>
  <c r="H84" i="1"/>
  <c r="D96" i="1" l="1"/>
  <c r="D90" i="1"/>
  <c r="J89" i="1"/>
  <c r="J90" i="1" s="1"/>
  <c r="J95" i="1" s="1"/>
  <c r="J96" i="1" s="1"/>
  <c r="D95" i="1"/>
  <c r="D89" i="1"/>
  <c r="J88" i="1"/>
  <c r="C87" i="1" s="1"/>
  <c r="J87" i="1"/>
  <c r="J83" i="1"/>
  <c r="J85" i="1" s="1"/>
  <c r="D91" i="1"/>
  <c r="D94" i="1"/>
  <c r="D88" i="1"/>
  <c r="D93" i="1"/>
  <c r="E87" i="1"/>
  <c r="J86" i="1"/>
  <c r="D92" i="1"/>
  <c r="J108" i="1"/>
  <c r="J107" i="1"/>
  <c r="J106" i="1"/>
  <c r="J105" i="1"/>
  <c r="J80" i="1"/>
  <c r="J79" i="1"/>
  <c r="J78" i="1"/>
  <c r="J77" i="1"/>
  <c r="H98" i="1"/>
  <c r="G87" i="1" l="1"/>
  <c r="D87" i="1"/>
  <c r="I84" i="1" s="1"/>
  <c r="I85" i="1" s="1"/>
  <c r="J102" i="1"/>
  <c r="C101" i="1" s="1"/>
  <c r="D101" i="1" s="1"/>
  <c r="J100" i="1"/>
  <c r="D110" i="1"/>
  <c r="D108" i="1"/>
  <c r="D106" i="1"/>
  <c r="D104" i="1"/>
  <c r="J101" i="1"/>
  <c r="J103" i="1"/>
  <c r="J104" i="1" s="1"/>
  <c r="J109" i="1" s="1"/>
  <c r="J110" i="1" s="1"/>
  <c r="C102" i="1" s="1"/>
  <c r="D109" i="1"/>
  <c r="D107" i="1"/>
  <c r="D105" i="1"/>
  <c r="D103" i="1"/>
  <c r="J97" i="1"/>
  <c r="J99" i="1" s="1"/>
  <c r="E248" i="1"/>
  <c r="D361" i="1"/>
  <c r="D360" i="1"/>
  <c r="F360" i="1" s="1"/>
  <c r="D359" i="1"/>
  <c r="F359" i="1" s="1"/>
  <c r="D358" i="1"/>
  <c r="F358" i="1" s="1"/>
  <c r="E356" i="1"/>
  <c r="E355" i="1"/>
  <c r="D356" i="1"/>
  <c r="D355" i="1"/>
  <c r="D354" i="1"/>
  <c r="F354" i="1" s="1"/>
  <c r="D353" i="1"/>
  <c r="F353" i="1" s="1"/>
  <c r="D351" i="1"/>
  <c r="D348" i="1"/>
  <c r="F348" i="1" s="1"/>
  <c r="D347" i="1"/>
  <c r="F347" i="1" s="1"/>
  <c r="D346" i="1"/>
  <c r="F346" i="1" s="1"/>
  <c r="D345" i="1"/>
  <c r="F345" i="1" s="1"/>
  <c r="E343" i="1"/>
  <c r="E342" i="1"/>
  <c r="D343" i="1"/>
  <c r="D342" i="1"/>
  <c r="D341" i="1"/>
  <c r="F341" i="1" s="1"/>
  <c r="D340" i="1"/>
  <c r="F340" i="1" s="1"/>
  <c r="D338" i="1"/>
  <c r="F338" i="1" s="1"/>
  <c r="D335" i="1"/>
  <c r="F335" i="1" s="1"/>
  <c r="D334" i="1"/>
  <c r="F334" i="1" s="1"/>
  <c r="D333" i="1"/>
  <c r="F333" i="1" s="1"/>
  <c r="D332" i="1"/>
  <c r="F332" i="1" s="1"/>
  <c r="E330" i="1"/>
  <c r="E329" i="1"/>
  <c r="D330" i="1"/>
  <c r="D329" i="1"/>
  <c r="D328" i="1"/>
  <c r="F328" i="1" s="1"/>
  <c r="D327" i="1"/>
  <c r="F327" i="1" s="1"/>
  <c r="D325" i="1"/>
  <c r="D321" i="1"/>
  <c r="F321" i="1" s="1"/>
  <c r="D320" i="1"/>
  <c r="F320" i="1" s="1"/>
  <c r="D319" i="1"/>
  <c r="F319" i="1" s="1"/>
  <c r="D318" i="1"/>
  <c r="F318" i="1" s="1"/>
  <c r="E316" i="1"/>
  <c r="E315" i="1"/>
  <c r="D316" i="1"/>
  <c r="D315" i="1"/>
  <c r="D314" i="1"/>
  <c r="F314" i="1" s="1"/>
  <c r="D313" i="1"/>
  <c r="F313" i="1" s="1"/>
  <c r="D311" i="1"/>
  <c r="F311" i="1" s="1"/>
  <c r="D308" i="1"/>
  <c r="F308" i="1" s="1"/>
  <c r="D307" i="1"/>
  <c r="F307" i="1" s="1"/>
  <c r="D306" i="1"/>
  <c r="F306" i="1" s="1"/>
  <c r="D305" i="1"/>
  <c r="F305" i="1" s="1"/>
  <c r="E303" i="1"/>
  <c r="E302" i="1"/>
  <c r="D303" i="1"/>
  <c r="D302" i="1"/>
  <c r="D301" i="1"/>
  <c r="F301" i="1" s="1"/>
  <c r="D300" i="1"/>
  <c r="F300" i="1" s="1"/>
  <c r="D298" i="1"/>
  <c r="F298" i="1" s="1"/>
  <c r="D295" i="1"/>
  <c r="F295" i="1" s="1"/>
  <c r="D294" i="1"/>
  <c r="F294" i="1" s="1"/>
  <c r="D293" i="1"/>
  <c r="F293" i="1" s="1"/>
  <c r="D292" i="1"/>
  <c r="F292" i="1" s="1"/>
  <c r="E290" i="1"/>
  <c r="E289" i="1"/>
  <c r="D290" i="1"/>
  <c r="D289" i="1"/>
  <c r="D288" i="1"/>
  <c r="F288" i="1" s="1"/>
  <c r="D287" i="1"/>
  <c r="F287" i="1" s="1"/>
  <c r="D285" i="1"/>
  <c r="D281" i="1"/>
  <c r="F281" i="1" s="1"/>
  <c r="D280" i="1"/>
  <c r="F280" i="1" s="1"/>
  <c r="D279" i="1"/>
  <c r="F279" i="1" s="1"/>
  <c r="D278" i="1"/>
  <c r="F278" i="1" s="1"/>
  <c r="E276" i="1"/>
  <c r="E275" i="1"/>
  <c r="D276" i="1"/>
  <c r="D275" i="1"/>
  <c r="D274" i="1"/>
  <c r="F274" i="1" s="1"/>
  <c r="D273" i="1"/>
  <c r="F273" i="1" s="1"/>
  <c r="D271" i="1"/>
  <c r="D268" i="1"/>
  <c r="F268" i="1" s="1"/>
  <c r="D267" i="1"/>
  <c r="F267" i="1" s="1"/>
  <c r="D266" i="1"/>
  <c r="F266" i="1" s="1"/>
  <c r="D265" i="1"/>
  <c r="F265" i="1" s="1"/>
  <c r="E263" i="1"/>
  <c r="E262" i="1"/>
  <c r="D263" i="1"/>
  <c r="D262" i="1"/>
  <c r="D261" i="1"/>
  <c r="F261" i="1" s="1"/>
  <c r="D260" i="1"/>
  <c r="F260" i="1" s="1"/>
  <c r="D258" i="1"/>
  <c r="D255" i="1"/>
  <c r="F255" i="1" s="1"/>
  <c r="J255" i="1" s="1"/>
  <c r="D254" i="1"/>
  <c r="F254" i="1" s="1"/>
  <c r="J254" i="1" s="1"/>
  <c r="D253" i="1"/>
  <c r="F253" i="1" s="1"/>
  <c r="J253" i="1" s="1"/>
  <c r="D252" i="1"/>
  <c r="F252" i="1" s="1"/>
  <c r="J252" i="1" s="1"/>
  <c r="E250" i="1"/>
  <c r="E249" i="1"/>
  <c r="D250" i="1"/>
  <c r="D249" i="1"/>
  <c r="D248" i="1"/>
  <c r="D247" i="1"/>
  <c r="D240" i="1"/>
  <c r="F240" i="1" s="1"/>
  <c r="D239" i="1"/>
  <c r="F239" i="1" s="1"/>
  <c r="D238" i="1"/>
  <c r="F238" i="1" s="1"/>
  <c r="D237" i="1"/>
  <c r="F237" i="1" s="1"/>
  <c r="D236" i="1"/>
  <c r="F236" i="1" s="1"/>
  <c r="D235" i="1"/>
  <c r="F235" i="1" s="1"/>
  <c r="D234" i="1"/>
  <c r="F234" i="1" s="1"/>
  <c r="D233" i="1"/>
  <c r="F233" i="1" s="1"/>
  <c r="D232" i="1"/>
  <c r="F232" i="1" s="1"/>
  <c r="D231" i="1"/>
  <c r="F231" i="1" s="1"/>
  <c r="D230" i="1"/>
  <c r="F230" i="1" s="1"/>
  <c r="D229" i="1"/>
  <c r="F229" i="1" s="1"/>
  <c r="D228" i="1"/>
  <c r="F228" i="1" s="1"/>
  <c r="D227" i="1"/>
  <c r="F227" i="1" s="1"/>
  <c r="D226" i="1"/>
  <c r="D222" i="1"/>
  <c r="F222" i="1" s="1"/>
  <c r="D221" i="1"/>
  <c r="F221" i="1" s="1"/>
  <c r="D220" i="1"/>
  <c r="F220" i="1" s="1"/>
  <c r="D219" i="1"/>
  <c r="F219" i="1" s="1"/>
  <c r="D218" i="1"/>
  <c r="F218" i="1" s="1"/>
  <c r="D217" i="1"/>
  <c r="F217" i="1" s="1"/>
  <c r="D216" i="1"/>
  <c r="F216" i="1" s="1"/>
  <c r="D215" i="1"/>
  <c r="F215" i="1" s="1"/>
  <c r="D214" i="1"/>
  <c r="F214" i="1" s="1"/>
  <c r="D213" i="1"/>
  <c r="F213" i="1" s="1"/>
  <c r="D212" i="1"/>
  <c r="F212" i="1" s="1"/>
  <c r="D211" i="1"/>
  <c r="F211" i="1" s="1"/>
  <c r="D210" i="1"/>
  <c r="F210" i="1" s="1"/>
  <c r="D209" i="1"/>
  <c r="F209" i="1" s="1"/>
  <c r="D208" i="1"/>
  <c r="D204" i="1"/>
  <c r="F204" i="1" s="1"/>
  <c r="D203" i="1"/>
  <c r="F203" i="1" s="1"/>
  <c r="D202" i="1"/>
  <c r="F202" i="1" s="1"/>
  <c r="D201" i="1"/>
  <c r="F201" i="1" s="1"/>
  <c r="D200" i="1"/>
  <c r="F200" i="1" s="1"/>
  <c r="D199" i="1"/>
  <c r="F199" i="1" s="1"/>
  <c r="D198" i="1"/>
  <c r="F198" i="1" s="1"/>
  <c r="D197" i="1"/>
  <c r="F197" i="1" s="1"/>
  <c r="D196" i="1"/>
  <c r="F196" i="1" s="1"/>
  <c r="D195" i="1"/>
  <c r="D194" i="1"/>
  <c r="F194" i="1" s="1"/>
  <c r="D193" i="1"/>
  <c r="F193" i="1" s="1"/>
  <c r="D192" i="1"/>
  <c r="F192" i="1" s="1"/>
  <c r="D191" i="1"/>
  <c r="F191" i="1" s="1"/>
  <c r="D190" i="1"/>
  <c r="F190" i="1" s="1"/>
  <c r="D189" i="1"/>
  <c r="F189" i="1" s="1"/>
  <c r="D188" i="1"/>
  <c r="F188" i="1" s="1"/>
  <c r="D187" i="1"/>
  <c r="D186" i="1"/>
  <c r="D185" i="1"/>
  <c r="F185" i="1" s="1"/>
  <c r="D184" i="1"/>
  <c r="F184" i="1" s="1"/>
  <c r="D183" i="1"/>
  <c r="F183" i="1" s="1"/>
  <c r="D182" i="1"/>
  <c r="D181" i="1"/>
  <c r="D180" i="1"/>
  <c r="D179" i="1"/>
  <c r="I180" i="1"/>
  <c r="I237" i="1"/>
  <c r="I230" i="1"/>
  <c r="A227" i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I226" i="1"/>
  <c r="G226" i="1"/>
  <c r="F361" i="1"/>
  <c r="A359" i="1"/>
  <c r="A360" i="1" s="1"/>
  <c r="A361" i="1" s="1"/>
  <c r="G358" i="1"/>
  <c r="A354" i="1"/>
  <c r="A355" i="1" s="1"/>
  <c r="A356" i="1" s="1"/>
  <c r="G353" i="1"/>
  <c r="G351" i="1"/>
  <c r="A346" i="1"/>
  <c r="A347" i="1" s="1"/>
  <c r="A348" i="1" s="1"/>
  <c r="G345" i="1"/>
  <c r="A341" i="1"/>
  <c r="A342" i="1" s="1"/>
  <c r="A343" i="1" s="1"/>
  <c r="G340" i="1"/>
  <c r="G338" i="1"/>
  <c r="A333" i="1"/>
  <c r="A334" i="1" s="1"/>
  <c r="A335" i="1" s="1"/>
  <c r="G332" i="1"/>
  <c r="A328" i="1"/>
  <c r="A329" i="1" s="1"/>
  <c r="A330" i="1" s="1"/>
  <c r="G327" i="1"/>
  <c r="G325" i="1"/>
  <c r="G285" i="1"/>
  <c r="F285" i="1"/>
  <c r="A319" i="1"/>
  <c r="A320" i="1" s="1"/>
  <c r="A321" i="1" s="1"/>
  <c r="G318" i="1"/>
  <c r="A314" i="1"/>
  <c r="A315" i="1" s="1"/>
  <c r="A316" i="1" s="1"/>
  <c r="G313" i="1"/>
  <c r="G311" i="1"/>
  <c r="A306" i="1"/>
  <c r="A307" i="1" s="1"/>
  <c r="A308" i="1" s="1"/>
  <c r="G305" i="1"/>
  <c r="A301" i="1"/>
  <c r="A302" i="1" s="1"/>
  <c r="A303" i="1" s="1"/>
  <c r="G300" i="1"/>
  <c r="G298" i="1"/>
  <c r="A293" i="1"/>
  <c r="A294" i="1" s="1"/>
  <c r="A295" i="1" s="1"/>
  <c r="G292" i="1"/>
  <c r="A288" i="1"/>
  <c r="A289" i="1" s="1"/>
  <c r="A290" i="1" s="1"/>
  <c r="G287" i="1"/>
  <c r="I219" i="1"/>
  <c r="I212" i="1"/>
  <c r="I208" i="1"/>
  <c r="A209" i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G208" i="1"/>
  <c r="A279" i="1"/>
  <c r="A280" i="1" s="1"/>
  <c r="A281" i="1" s="1"/>
  <c r="G278" i="1"/>
  <c r="A266" i="1"/>
  <c r="A267" i="1" s="1"/>
  <c r="A268" i="1" s="1"/>
  <c r="G265" i="1"/>
  <c r="A253" i="1"/>
  <c r="A254" i="1" s="1"/>
  <c r="A255" i="1" s="1"/>
  <c r="G252" i="1"/>
  <c r="I274" i="1"/>
  <c r="J247" i="1"/>
  <c r="I247" i="1"/>
  <c r="A274" i="1"/>
  <c r="A275" i="1" s="1"/>
  <c r="A276" i="1" s="1"/>
  <c r="G273" i="1"/>
  <c r="A261" i="1"/>
  <c r="A262" i="1" s="1"/>
  <c r="A263" i="1" s="1"/>
  <c r="G260" i="1"/>
  <c r="A248" i="1"/>
  <c r="A249" i="1" s="1"/>
  <c r="A250" i="1" s="1"/>
  <c r="G247" i="1"/>
  <c r="I258" i="1"/>
  <c r="G271" i="1"/>
  <c r="I186" i="1"/>
  <c r="I192" i="1"/>
  <c r="F195" i="1"/>
  <c r="F187" i="1"/>
  <c r="F186" i="1"/>
  <c r="I179" i="1"/>
  <c r="F302" i="1" l="1"/>
  <c r="J84" i="1"/>
  <c r="I83" i="1" s="1"/>
  <c r="C85" i="1" s="1"/>
  <c r="F263" i="1"/>
  <c r="F248" i="1"/>
  <c r="F343" i="1"/>
  <c r="F290" i="1"/>
  <c r="F316" i="1"/>
  <c r="F250" i="1"/>
  <c r="F303" i="1"/>
  <c r="G165" i="1" s="1"/>
  <c r="F315" i="1"/>
  <c r="F330" i="1"/>
  <c r="F342" i="1"/>
  <c r="F356" i="1"/>
  <c r="F249" i="1"/>
  <c r="F355" i="1"/>
  <c r="E101" i="1"/>
  <c r="D102" i="1"/>
  <c r="I98" i="1" s="1"/>
  <c r="I99" i="1" s="1"/>
  <c r="G101" i="1"/>
  <c r="J98" i="1"/>
  <c r="F351" i="1"/>
  <c r="E169" i="1"/>
  <c r="C169" i="1"/>
  <c r="F179" i="1"/>
  <c r="C155" i="1"/>
  <c r="E155" i="1"/>
  <c r="F247" i="1"/>
  <c r="E161" i="1"/>
  <c r="C161" i="1"/>
  <c r="E164" i="1"/>
  <c r="C164" i="1"/>
  <c r="F329" i="1"/>
  <c r="E168" i="1"/>
  <c r="C168" i="1"/>
  <c r="F226" i="1"/>
  <c r="G157" i="1" s="1"/>
  <c r="C157" i="1"/>
  <c r="E157" i="1"/>
  <c r="F271" i="1"/>
  <c r="C163" i="1"/>
  <c r="E163" i="1"/>
  <c r="F325" i="1"/>
  <c r="C167" i="1"/>
  <c r="E167" i="1"/>
  <c r="C165" i="1"/>
  <c r="E165" i="1"/>
  <c r="F208" i="1"/>
  <c r="G156" i="1" s="1"/>
  <c r="C156" i="1"/>
  <c r="E156" i="1"/>
  <c r="E162" i="1"/>
  <c r="C162" i="1"/>
  <c r="C166" i="1"/>
  <c r="E166" i="1"/>
  <c r="F289" i="1"/>
  <c r="F262" i="1"/>
  <c r="F276" i="1"/>
  <c r="F275" i="1"/>
  <c r="E42" i="1"/>
  <c r="E43" i="1" s="1"/>
  <c r="G168" i="1" l="1"/>
  <c r="G164" i="1"/>
  <c r="G166" i="1"/>
  <c r="G161" i="1"/>
  <c r="G167" i="1"/>
  <c r="G169" i="1"/>
  <c r="I97" i="1"/>
  <c r="E158" i="1"/>
  <c r="E170" i="1"/>
  <c r="G163" i="1"/>
  <c r="C170" i="1"/>
  <c r="C158" i="1"/>
  <c r="C14" i="1"/>
  <c r="E171" i="1" l="1"/>
  <c r="C171" i="1"/>
  <c r="E29" i="1"/>
  <c r="F258" i="1" l="1"/>
  <c r="G258" i="1"/>
  <c r="J258" i="1" l="1"/>
  <c r="G162" i="1"/>
  <c r="G170" i="1" s="1"/>
  <c r="F152" i="1"/>
  <c r="F180" i="1" l="1"/>
  <c r="F181" i="1"/>
  <c r="F182" i="1"/>
  <c r="G155" i="1" l="1"/>
  <c r="G158" i="1" s="1"/>
  <c r="G171" i="1" s="1"/>
  <c r="B364" i="1"/>
  <c r="B365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387" i="1"/>
  <c r="A180" i="1"/>
  <c r="A181" i="1" s="1"/>
  <c r="A182" i="1" s="1"/>
  <c r="G179" i="1"/>
  <c r="J136" i="1"/>
  <c r="J135" i="1"/>
  <c r="J134" i="1"/>
  <c r="J133" i="1"/>
  <c r="C125" i="1"/>
  <c r="J122" i="1"/>
  <c r="J121" i="1"/>
  <c r="J120" i="1"/>
  <c r="J119" i="1"/>
  <c r="D56" i="1"/>
  <c r="G49" i="1"/>
  <c r="C49" i="1"/>
  <c r="E26" i="1"/>
  <c r="E24" i="1"/>
  <c r="E7" i="1"/>
  <c r="E3" i="1"/>
  <c r="H112" i="1"/>
  <c r="H126" i="1"/>
  <c r="A183" i="1" l="1"/>
  <c r="A184" i="1" s="1"/>
  <c r="A185" i="1" s="1"/>
  <c r="A186" i="1" s="1"/>
  <c r="D63" i="1"/>
  <c r="D122" i="1"/>
  <c r="D123" i="1"/>
  <c r="D124" i="1"/>
  <c r="D118" i="1"/>
  <c r="D119" i="1"/>
  <c r="D120" i="1"/>
  <c r="D121" i="1"/>
  <c r="J111" i="1"/>
  <c r="J113" i="1" s="1"/>
  <c r="J125" i="1"/>
  <c r="J127" i="1" s="1"/>
  <c r="J129" i="1"/>
  <c r="D138" i="1"/>
  <c r="D136" i="1"/>
  <c r="D134" i="1"/>
  <c r="D132" i="1"/>
  <c r="J130" i="1"/>
  <c r="C129" i="1" s="1"/>
  <c r="J128" i="1"/>
  <c r="J131" i="1"/>
  <c r="D137" i="1"/>
  <c r="D135" i="1"/>
  <c r="D133" i="1"/>
  <c r="J117" i="1"/>
  <c r="J118" i="1" s="1"/>
  <c r="J123" i="1" s="1"/>
  <c r="J124" i="1" s="1"/>
  <c r="C116" i="1" s="1"/>
  <c r="J115" i="1"/>
  <c r="J116" i="1"/>
  <c r="C115" i="1" s="1"/>
  <c r="J114" i="1"/>
  <c r="J132" i="1" l="1"/>
  <c r="J137" i="1" s="1"/>
  <c r="J138" i="1" s="1"/>
  <c r="C130" i="1" s="1"/>
  <c r="A187" i="1"/>
  <c r="A188" i="1" s="1"/>
  <c r="A189" i="1" s="1"/>
  <c r="A190" i="1" s="1"/>
  <c r="D131" i="1"/>
  <c r="D129" i="1"/>
  <c r="D117" i="1"/>
  <c r="E115" i="1"/>
  <c r="D116" i="1"/>
  <c r="G115" i="1"/>
  <c r="D67" i="1" s="1"/>
  <c r="D115" i="1"/>
  <c r="J112" i="1" s="1"/>
  <c r="H70" i="1"/>
  <c r="D130" i="1" l="1"/>
  <c r="I126" i="1" s="1"/>
  <c r="E129" i="1"/>
  <c r="D82" i="1"/>
  <c r="D80" i="1"/>
  <c r="D78" i="1"/>
  <c r="D76" i="1"/>
  <c r="J75" i="1"/>
  <c r="J76" i="1" s="1"/>
  <c r="J81" i="1" s="1"/>
  <c r="D81" i="1"/>
  <c r="D77" i="1"/>
  <c r="D75" i="1"/>
  <c r="J74" i="1"/>
  <c r="C73" i="1" s="1"/>
  <c r="J72" i="1"/>
  <c r="D79" i="1"/>
  <c r="J73" i="1"/>
  <c r="J69" i="1"/>
  <c r="J71" i="1" s="1"/>
  <c r="D68" i="1"/>
  <c r="G129" i="1"/>
  <c r="A191" i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J126" i="1"/>
  <c r="I112" i="1"/>
  <c r="F68" i="1"/>
  <c r="G73" i="1" l="1"/>
  <c r="J82" i="1"/>
  <c r="D73" i="1"/>
  <c r="I127" i="1"/>
  <c r="I125" i="1" s="1"/>
  <c r="I113" i="1"/>
  <c r="I111" i="1" s="1"/>
  <c r="C113" i="1" s="1"/>
  <c r="J70" i="1" l="1"/>
  <c r="E73" i="1"/>
  <c r="D74" i="1"/>
  <c r="I70" i="1" s="1"/>
  <c r="I71" i="1" l="1"/>
  <c r="I69" i="1" s="1"/>
  <c r="C71" i="1" s="1"/>
</calcChain>
</file>

<file path=xl/sharedStrings.xml><?xml version="1.0" encoding="utf-8"?>
<sst xmlns="http://schemas.openxmlformats.org/spreadsheetml/2006/main" count="622" uniqueCount="240">
  <si>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</si>
  <si>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</si>
  <si>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</si>
  <si>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</si>
  <si>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</si>
  <si>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</si>
  <si>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</si>
  <si>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</si>
  <si>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</si>
  <si>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</si>
  <si>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</si>
  <si>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</si>
  <si>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</si>
  <si>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</si>
  <si>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</si>
  <si>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</si>
  <si>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</si>
  <si>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</si>
  <si>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</si>
  <si>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</si>
  <si>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</si>
  <si>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</si>
  <si>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</si>
  <si>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</si>
  <si>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</si>
  <si>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</si>
  <si>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</si>
  <si>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</si>
  <si>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</si>
  <si>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</si>
  <si>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</si>
  <si>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</si>
  <si>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</si>
  <si>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</si>
  <si>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</si>
  <si>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</si>
  <si>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</si>
  <si>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</si>
  <si>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</si>
  <si>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</si>
  <si>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</si>
  <si>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</si>
  <si>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</si>
  <si>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</si>
  <si>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</si>
  <si>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</si>
  <si>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</si>
  <si>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</si>
  <si>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</si>
  <si>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</si>
  <si>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</si>
  <si>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</si>
  <si>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</si>
  <si>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</si>
  <si>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</si>
  <si>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</si>
  <si>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</si>
  <si>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</si>
  <si>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</si>
  <si>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</si>
  <si>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</si>
  <si>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</si>
  <si>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</si>
  <si>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</si>
  <si>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</si>
  <si>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</si>
  <si>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</si>
  <si>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</si>
  <si>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</si>
  <si>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</si>
  <si>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</si>
  <si>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</si>
  <si>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</si>
  <si>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</si>
  <si>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</si>
  <si>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</si>
  <si>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</si>
  <si>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</si>
  <si>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</si>
  <si>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</si>
  <si>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</si>
  <si>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</si>
  <si>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</si>
  <si>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</si>
  <si>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</si>
  <si>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</si>
  <si>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</si>
  <si>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</si>
  <si>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</si>
  <si>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</si>
  <si>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</si>
  <si>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</si>
  <si>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</si>
  <si>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</si>
  <si>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</si>
  <si>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</si>
  <si>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</si>
  <si>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</si>
  <si>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</si>
  <si>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</si>
  <si>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</si>
  <si>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</si>
  <si>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</si>
  <si>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</si>
  <si>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</si>
  <si>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</si>
  <si>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</si>
  <si>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</si>
  <si>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</si>
  <si>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</si>
  <si>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</si>
  <si>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</si>
  <si>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</si>
  <si>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</si>
  <si>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</si>
  <si>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</si>
  <si>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</si>
  <si>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</si>
  <si>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</si>
  <si>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</si>
  <si>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</si>
  <si>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</si>
  <si>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</si>
  <si>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</si>
  <si>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</si>
  <si>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</si>
  <si>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</si>
  <si>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Valid Upto 
Date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</si>
  <si>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</si>
  <si>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</si>
  <si>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</si>
  <si>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</si>
  <si>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</si>
  <si>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</si>
  <si>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</si>
  <si>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</si>
  <si>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</si>
  <si>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</si>
  <si>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</si>
  <si>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</si>
  <si>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</si>
  <si>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</si>
  <si>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</si>
  <si>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</si>
  <si>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</si>
  <si>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</si>
  <si>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</si>
  <si>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</si>
  <si>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</si>
  <si>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</si>
  <si>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</si>
  <si>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</si>
  <si>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</si>
  <si>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</si>
  <si>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</si>
  <si>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</si>
  <si>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</si>
  <si>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</si>
  <si>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</si>
  <si>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</si>
  <si>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</si>
  <si>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</si>
  <si>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</si>
  <si>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</si>
  <si>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</si>
  <si>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</si>
  <si>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</si>
  <si>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</si>
  <si>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</si>
  <si>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</si>
  <si>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</si>
  <si>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</si>
  <si>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</si>
  <si>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 xml:space="preserve">1. Vitrified tiles flooring 2. Granite Kitchen Platform 3. Decorative
Enternace etc.
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</si>
  <si>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</si>
  <si>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</si>
  <si>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Axis Badlapur</t>
  </si>
  <si>
    <t>Mangesh</t>
  </si>
  <si>
    <t>Bhiwandi Developers</t>
  </si>
  <si>
    <t>Star Homes</t>
  </si>
  <si>
    <t>Mr.Chandraprasad – 7798735501</t>
  </si>
  <si>
    <t>Building No. 1 (A, B &amp; C Wing)
Building No. 2 (A, B &amp; C Wing)
Building No. 3 (A, B &amp; C Wing)</t>
  </si>
  <si>
    <t>Approved Plans, CC</t>
  </si>
  <si>
    <t>P51700047739</t>
  </si>
  <si>
    <t>Survey No</t>
  </si>
  <si>
    <t>109/1/2/3/6/8/1</t>
  </si>
  <si>
    <t>Thane</t>
  </si>
  <si>
    <t>Bhiwandi</t>
  </si>
  <si>
    <t>Narpoli</t>
  </si>
  <si>
    <t>Maharashtra Housing and Area Development Authority (MHADA)</t>
  </si>
  <si>
    <t>EE/BP/PMAY/A/MHADA/345/2022</t>
  </si>
  <si>
    <t>EE/BP/PMAY/A/MHADA/470/2022</t>
  </si>
  <si>
    <t>This CC is issued upto Plinth level as per approved IOA vide letter No.345 dtd. 29/06/2022 and same is valid upto 07/09/2023</t>
  </si>
  <si>
    <t>Building No. 1</t>
  </si>
  <si>
    <t>Ground Floor For Entrance Lobby, Society Office, Electric Meter Room, Commercial &amp; Parking</t>
  </si>
  <si>
    <t>Shop</t>
  </si>
  <si>
    <t>Wing B</t>
  </si>
  <si>
    <t>Ground Floor For Part Residential</t>
  </si>
  <si>
    <t>Wing C</t>
  </si>
  <si>
    <t>1BHK</t>
  </si>
  <si>
    <t>Wing A</t>
  </si>
  <si>
    <t>1st Floor For Residential</t>
  </si>
  <si>
    <t>2BHK</t>
  </si>
  <si>
    <t>2nd To 7th Floor</t>
  </si>
  <si>
    <t>Building No. 2</t>
  </si>
  <si>
    <t>Building No. 3</t>
  </si>
  <si>
    <t>Ground Floor For Entrance Lobby, Driver Room, Electric Meter Room, Commercial &amp; Parking</t>
  </si>
  <si>
    <t>09 Building</t>
  </si>
  <si>
    <t>Flats - 260, Shops - 56</t>
  </si>
  <si>
    <t>https://goo.gl/maps/ydJ9xv3tro7Zu9zDA</t>
  </si>
  <si>
    <t>19.283282, 73.044966</t>
  </si>
  <si>
    <t>Balaji Nagar</t>
  </si>
  <si>
    <t>Gethsemane Prayer Power Church</t>
  </si>
  <si>
    <t>Bhandari Road</t>
  </si>
  <si>
    <t>2.2KM from Bhiwandi Road Railway Station</t>
  </si>
  <si>
    <t>Global Hospital</t>
  </si>
  <si>
    <t>We considered Gross carpet area = Net carpet + Balcony + O.P Area.</t>
  </si>
  <si>
    <t>Chawl</t>
  </si>
  <si>
    <t>Wing A to C</t>
  </si>
  <si>
    <t>Site Person - Contact Details (Name &amp; Contact No.)</t>
  </si>
  <si>
    <t>Provided Contact Details (Name &amp; Contact No.)</t>
  </si>
  <si>
    <t>Grand Total</t>
  </si>
  <si>
    <t>Building No. 1(A to C Wing) = G + 1st to 7th Floor
Building No. 2(A to C Wing) = G + 1st to 7th Floor
Building No. 3(A to C Wing) = G + 1st to 7th Floor</t>
  </si>
  <si>
    <t>Building No. 1(A to C Wing) = G + 1st to 7th Floor</t>
  </si>
  <si>
    <t>Building No. 2(A to C Wing) = G + 1st to 7th Floor</t>
  </si>
  <si>
    <t>Building No. 3(A to C Wing) = G + 1st to 7th Floor</t>
  </si>
  <si>
    <t>Construction work goes beyond CC of Building No.02. Please provide latest CC.</t>
  </si>
  <si>
    <t>EE/BP/PMAY/A/MHADA/126/2022</t>
  </si>
  <si>
    <t>This further CC is granted under saction 45 of MRTP Act 1966 for the Bldg No.2 (wing A, B &amp; C) upto Gr.+ 7th floor height 23.95m comprising 87 ESW T/s. and 15 conv. Shop as per approved plan issued by this office vide letter no. EE/BP/PMAY/A/MHADA/345/2022 Dtd.29/06/2022</t>
  </si>
  <si>
    <t xml:space="preserve">We have updated C.C (on 08/09/2023).
</t>
  </si>
  <si>
    <t>Building No. 2(C Wing) = G + 1st to 7th Floor</t>
  </si>
  <si>
    <t>Building No. 2 (A, B &amp; C Wing) = G + 1st to 7th Floor</t>
  </si>
  <si>
    <t>Gaffa Ma'am 8055500682</t>
  </si>
  <si>
    <t>As per RERA - 29/12/2025</t>
  </si>
  <si>
    <t>Building No. 1(A Wing) = G + 1st to 7th Floor</t>
  </si>
  <si>
    <t>Building No. 1(B &amp; C Wing) = G + 1st to 7th Floor</t>
  </si>
  <si>
    <t>Bldg No.1 = Construction work is in process at the time of Visit.
Bldg No.2 &amp; 3 = All work completed. Provide OC.</t>
  </si>
  <si>
    <t>All work completed. Provide OC.</t>
  </si>
  <si>
    <t>Pranita Mhatre</t>
  </si>
  <si>
    <t>Please provide latest CC for Bldg No.1 &amp;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</si>
</sst>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0.0"/>
    <numFmt numFmtId="166" formatCode="_(* #,##0.00_);_(* \(#,##0.00\);_(* &quot;-&quot;??_);_(@_)"/>
    <numFmt numFmtId="167" formatCode="_(* #,##0_);_(* \(#,##0\);_(* &quot;-&quot;??_);_(@_)"/>
    <numFmt numFmtId="168" formatCode="_ * #,##0_ ;_ * \-#,##0_ ;_ * &quot;-&quot;??_ ;_ @_ 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6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95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7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4" fillId="2" borderId="30" xfId="0" applyFont="1" applyFill="1" applyBorder="1"/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2" fontId="7" fillId="0" borderId="0" xfId="1" applyNumberFormat="1" applyFont="1" applyAlignment="1">
      <alignment horizontal="center" vertical="center"/>
    </xf>
    <xf numFmtId="1" fontId="6" fillId="0" borderId="0" xfId="1" applyNumberFormat="1" applyFont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 applyProtection="1">
      <alignment horizontal="center" vertical="top"/>
      <protection locked="0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23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18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9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3" xfId="0" applyNumberFormat="1" applyFont="1" applyBorder="1" applyAlignment="1" applyProtection="1">
      <alignment horizontal="center" vertical="center" wrapText="1"/>
      <protection locked="0"/>
    </xf>
    <xf numFmtId="1" fontId="6" fillId="0" borderId="32" xfId="0" applyNumberFormat="1" applyFont="1" applyBorder="1" applyAlignment="1" applyProtection="1">
      <alignment horizontal="center" vertical="center" wrapText="1"/>
      <protection locked="0"/>
    </xf>
    <xf numFmtId="1" fontId="6" fillId="0" borderId="16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68" fontId="12" fillId="0" borderId="1" xfId="9" applyNumberFormat="1" applyFont="1" applyFill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14" fontId="6" fillId="0" borderId="9" xfId="1" applyNumberFormat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/>
      <protection locked="0"/>
    </xf>
    <xf numFmtId="0" fontId="12" fillId="0" borderId="24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/>
      <protection locked="0"/>
    </xf>
    <xf numFmtId="0" fontId="12" fillId="0" borderId="25" xfId="1" applyFont="1" applyBorder="1" applyAlignment="1" applyProtection="1">
      <alignment horizontal="left" vertical="top"/>
      <protection locked="0"/>
    </xf>
    <xf numFmtId="0" fontId="12" fillId="0" borderId="0" xfId="1" applyFont="1" applyAlignment="1" applyProtection="1">
      <alignment horizontal="left" vertical="top"/>
      <protection locked="0"/>
    </xf>
    <xf numFmtId="0" fontId="12" fillId="0" borderId="26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12" fillId="0" borderId="19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7" fillId="0" borderId="0" xfId="1" applyFont="1" applyAlignment="1">
      <alignment horizontal="center" vertical="center"/>
    </xf>
    <xf numFmtId="0" fontId="12" fillId="0" borderId="3" xfId="1" applyFont="1" applyBorder="1" applyAlignment="1" applyProtection="1">
      <alignment horizontal="left" vertical="top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0" xfId="1" applyNumberFormat="1" applyFont="1" applyAlignment="1" applyProtection="1">
      <alignment horizontal="center" vertical="center" wrapText="1"/>
      <protection locked="0"/>
    </xf>
    <xf numFmtId="1" fontId="6" fillId="0" borderId="2" xfId="1" applyNumberFormat="1" applyFont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8659</xdr:colOff>
      <xdr:row>475</xdr:row>
      <xdr:rowOff>8659</xdr:rowOff>
    </xdr:from>
    <xdr:to>
      <xdr:col>7</xdr:col>
      <xdr:colOff>140372</xdr:colOff>
      <xdr:row>491</xdr:row>
      <xdr:rowOff>62115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70659" y="94150295"/>
          <a:ext cx="5058736" cy="324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39396</xdr:colOff>
      <xdr:row>492</xdr:row>
      <xdr:rowOff>56266</xdr:rowOff>
    </xdr:from>
    <xdr:to>
      <xdr:col>7</xdr:col>
      <xdr:colOff>140372</xdr:colOff>
      <xdr:row>508</xdr:row>
      <xdr:rowOff>109719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01396" y="97583607"/>
          <a:ext cx="5027999" cy="324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173183</xdr:colOff>
      <xdr:row>430</xdr:row>
      <xdr:rowOff>8659</xdr:rowOff>
    </xdr:from>
    <xdr:to>
      <xdr:col>5</xdr:col>
      <xdr:colOff>678284</xdr:colOff>
      <xdr:row>444</xdr:row>
      <xdr:rowOff>100432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31819" y="85188136"/>
          <a:ext cx="3076851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271608</xdr:colOff>
      <xdr:row>445</xdr:row>
      <xdr:rowOff>117501</xdr:rowOff>
    </xdr:from>
    <xdr:to>
      <xdr:col>5</xdr:col>
      <xdr:colOff>579858</xdr:colOff>
      <xdr:row>460</xdr:row>
      <xdr:rowOff>106426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1782088" y="88332521"/>
          <a:ext cx="2976311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>
    <xdr:from>
      <xdr:col>8</xdr:col>
      <xdr:colOff>134470</xdr:colOff>
      <xdr:row>384</xdr:row>
      <xdr:rowOff>35859</xdr:rowOff>
    </xdr:from>
    <xdr:to>
      <xdr:col>10</xdr:col>
      <xdr:colOff>98918</xdr:colOff>
      <xdr:row>385</xdr:row>
      <xdr:rowOff>70495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6875929" y="77159224"/>
          <a:ext cx="1945648" cy="23185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 b="1"/>
            <a:t>Building No.2. A, B &amp; C Wing</a:t>
          </a:r>
        </a:p>
      </xdr:txBody>
    </xdr:sp>
    <xdr:clientData/>
  </xdr:twoCellAnchor>
  <xdr:twoCellAnchor>
    <xdr:from>
      <xdr:col>11</xdr:col>
      <xdr:colOff>55611</xdr:colOff>
      <xdr:row>386</xdr:row>
      <xdr:rowOff>17189</xdr:rowOff>
    </xdr:from>
    <xdr:to>
      <xdr:col>13</xdr:col>
      <xdr:colOff>479908</xdr:colOff>
      <xdr:row>387</xdr:row>
      <xdr:rowOff>51825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9199611" y="73402984"/>
          <a:ext cx="1913661" cy="23379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 b="1"/>
            <a:t>Building No.3. A, B &amp; C Wing</a:t>
          </a:r>
        </a:p>
      </xdr:txBody>
    </xdr:sp>
    <xdr:clientData/>
  </xdr:twoCellAnchor>
  <xdr:twoCellAnchor>
    <xdr:from>
      <xdr:col>8</xdr:col>
      <xdr:colOff>761092</xdr:colOff>
      <xdr:row>384</xdr:row>
      <xdr:rowOff>62593</xdr:rowOff>
    </xdr:from>
    <xdr:to>
      <xdr:col>16</xdr:col>
      <xdr:colOff>555972</xdr:colOff>
      <xdr:row>421</xdr:row>
      <xdr:rowOff>97929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7497172" y="77291293"/>
          <a:ext cx="6370940" cy="7358156"/>
          <a:chOff x="184150" y="78168500"/>
          <a:chExt cx="6466916" cy="7312436"/>
        </a:xfrm>
      </xdr:grpSpPr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4150" y="781685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1" name="Picture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79781" y="781685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2" name="Picture 2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75412" y="781685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6676" y="81032718"/>
            <a:ext cx="2868608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4" name="Picture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14440" y="83320936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5" name="Picture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239862" y="81032718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3" name="Picture 32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621550" y="83320936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4" name="Picture 33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032753" y="81032718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348342</xdr:colOff>
      <xdr:row>387</xdr:row>
      <xdr:rowOff>174859</xdr:rowOff>
    </xdr:from>
    <xdr:to>
      <xdr:col>7</xdr:col>
      <xdr:colOff>751114</xdr:colOff>
      <xdr:row>426</xdr:row>
      <xdr:rowOff>130629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C92CB0A-CBE0-0DD0-7486-484572F5912A}"/>
            </a:ext>
          </a:extLst>
        </xdr:cNvPr>
        <xdr:cNvGrpSpPr/>
      </xdr:nvGrpSpPr>
      <xdr:grpSpPr>
        <a:xfrm>
          <a:off x="348342" y="77997919"/>
          <a:ext cx="6285412" cy="7674830"/>
          <a:chOff x="676085" y="325902"/>
          <a:chExt cx="5740246" cy="6794843"/>
        </a:xfrm>
      </xdr:grpSpPr>
      <xdr:pic>
        <xdr:nvPicPr>
          <xdr:cNvPr id="8" name="Picture 7">
            <a:extLst>
              <a:ext uri="{FF2B5EF4-FFF2-40B4-BE49-F238E27FC236}">
                <a16:creationId xmlns:a16="http://schemas.microsoft.com/office/drawing/2014/main" id="{E7340823-0015-64FC-7291-1E97EFE4166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87058" y="5359159"/>
            <a:ext cx="1316453" cy="175689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" name="Picture 8">
            <a:extLst>
              <a:ext uri="{FF2B5EF4-FFF2-40B4-BE49-F238E27FC236}">
                <a16:creationId xmlns:a16="http://schemas.microsoft.com/office/drawing/2014/main" id="{FF3A18CF-F3FC-79A1-D9D7-11467F68F54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02112" y="325902"/>
            <a:ext cx="1968441" cy="262702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376E0B83-9590-ED4E-7F4C-931BDAE8D70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916878" y="336099"/>
            <a:ext cx="3499453" cy="262702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CB80C8E2-1440-A68A-731D-FAB0FA97DFB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555531" y="5359159"/>
            <a:ext cx="1316453" cy="175689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FF38A60D-4868-45F5-CAC1-83DE0428A42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63157" y="3089271"/>
            <a:ext cx="161850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85A7EAC8-C74D-D4E2-9D44-48018781E4B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678405" y="3089271"/>
            <a:ext cx="161850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410A6545-BD61-1D16-74C8-1B3DFB78111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76085" y="5363848"/>
            <a:ext cx="1316453" cy="175689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6D4AE859-1226-4756-8370-AA8693EE547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01216" y="3089271"/>
            <a:ext cx="161850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6" name="Picture 15">
            <a:extLst>
              <a:ext uri="{FF2B5EF4-FFF2-40B4-BE49-F238E27FC236}">
                <a16:creationId xmlns:a16="http://schemas.microsoft.com/office/drawing/2014/main" id="{BBD7E6A7-8759-511A-904B-B43DE854D93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12547" y="5363848"/>
            <a:ext cx="1316453" cy="175689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</xdr:col>
      <xdr:colOff>433638</xdr:colOff>
      <xdr:row>388</xdr:row>
      <xdr:rowOff>21866</xdr:rowOff>
    </xdr:from>
    <xdr:to>
      <xdr:col>7</xdr:col>
      <xdr:colOff>205740</xdr:colOff>
      <xdr:row>407</xdr:row>
      <xdr:rowOff>21021</xdr:rowOff>
    </xdr:to>
    <xdr:grpSp>
      <xdr:nvGrpSpPr>
        <xdr:cNvPr id="50" name="Group 49">
          <a:extLst>
            <a:ext uri="{FF2B5EF4-FFF2-40B4-BE49-F238E27FC236}">
              <a16:creationId xmlns:a16="http://schemas.microsoft.com/office/drawing/2014/main" id="{7897AB2C-E14A-ECCB-46CD-FEB9FB092FE8}"/>
            </a:ext>
          </a:extLst>
        </xdr:cNvPr>
        <xdr:cNvGrpSpPr/>
      </xdr:nvGrpSpPr>
      <xdr:grpSpPr>
        <a:xfrm>
          <a:off x="1218498" y="78043046"/>
          <a:ext cx="4869882" cy="3755815"/>
          <a:chOff x="1215516" y="78487988"/>
          <a:chExt cx="4867563" cy="3769398"/>
        </a:xfrm>
      </xdr:grpSpPr>
      <xdr:sp macro="" textlink="">
        <xdr:nvSpPr>
          <xdr:cNvPr id="26" name="Rectangle 25">
            <a:extLst>
              <a:ext uri="{FF2B5EF4-FFF2-40B4-BE49-F238E27FC236}">
                <a16:creationId xmlns:a16="http://schemas.microsoft.com/office/drawing/2014/main" id="{CB58FCA6-E342-6A24-F937-0E6C3EE1C3F1}"/>
              </a:ext>
            </a:extLst>
          </xdr:cNvPr>
          <xdr:cNvSpPr/>
        </xdr:nvSpPr>
        <xdr:spPr>
          <a:xfrm>
            <a:off x="4030609" y="78625148"/>
            <a:ext cx="443325" cy="308660"/>
          </a:xfrm>
          <a:prstGeom prst="rect">
            <a:avLst/>
          </a:prstGeom>
          <a:solidFill>
            <a:schemeClr val="bg1">
              <a:lumMod val="75000"/>
            </a:schemeClr>
          </a:solidFill>
        </xdr:spPr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400" b="1">
                <a:solidFill>
                  <a:schemeClr val="tx1"/>
                </a:solidFill>
              </a:rPr>
              <a:t>3A</a:t>
            </a:r>
          </a:p>
        </xdr:txBody>
      </xdr:sp>
      <xdr:sp macro="" textlink="">
        <xdr:nvSpPr>
          <xdr:cNvPr id="27" name="Rectangle 26">
            <a:extLst>
              <a:ext uri="{FF2B5EF4-FFF2-40B4-BE49-F238E27FC236}">
                <a16:creationId xmlns:a16="http://schemas.microsoft.com/office/drawing/2014/main" id="{976A05F5-31F4-13B7-8106-7E1D65B74FD5}"/>
              </a:ext>
            </a:extLst>
          </xdr:cNvPr>
          <xdr:cNvSpPr/>
        </xdr:nvSpPr>
        <xdr:spPr>
          <a:xfrm>
            <a:off x="4808512" y="78602288"/>
            <a:ext cx="443325" cy="308660"/>
          </a:xfrm>
          <a:prstGeom prst="rect">
            <a:avLst/>
          </a:prstGeom>
          <a:solidFill>
            <a:schemeClr val="bg1">
              <a:lumMod val="75000"/>
            </a:schemeClr>
          </a:solidFill>
        </xdr:spPr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400" b="1">
                <a:solidFill>
                  <a:schemeClr val="tx1"/>
                </a:solidFill>
              </a:rPr>
              <a:t>3B</a:t>
            </a:r>
          </a:p>
        </xdr:txBody>
      </xdr:sp>
      <xdr:sp macro="" textlink="">
        <xdr:nvSpPr>
          <xdr:cNvPr id="28" name="Rectangle 27">
            <a:extLst>
              <a:ext uri="{FF2B5EF4-FFF2-40B4-BE49-F238E27FC236}">
                <a16:creationId xmlns:a16="http://schemas.microsoft.com/office/drawing/2014/main" id="{AEFCA1DB-77C4-4096-D076-206C98E076D9}"/>
              </a:ext>
            </a:extLst>
          </xdr:cNvPr>
          <xdr:cNvSpPr/>
        </xdr:nvSpPr>
        <xdr:spPr>
          <a:xfrm>
            <a:off x="5639755" y="78487988"/>
            <a:ext cx="443324" cy="307003"/>
          </a:xfrm>
          <a:prstGeom prst="rect">
            <a:avLst/>
          </a:prstGeom>
          <a:solidFill>
            <a:schemeClr val="bg1">
              <a:lumMod val="75000"/>
            </a:schemeClr>
          </a:solidFill>
        </xdr:spPr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400" b="1">
                <a:solidFill>
                  <a:schemeClr val="tx1"/>
                </a:solidFill>
              </a:rPr>
              <a:t>3C</a:t>
            </a:r>
          </a:p>
        </xdr:txBody>
      </xdr:sp>
      <xdr:sp macro="" textlink="">
        <xdr:nvSpPr>
          <xdr:cNvPr id="29" name="Rectangle 28">
            <a:extLst>
              <a:ext uri="{FF2B5EF4-FFF2-40B4-BE49-F238E27FC236}">
                <a16:creationId xmlns:a16="http://schemas.microsoft.com/office/drawing/2014/main" id="{DE16740F-F13D-56D9-08CC-976245A3366B}"/>
              </a:ext>
            </a:extLst>
          </xdr:cNvPr>
          <xdr:cNvSpPr/>
        </xdr:nvSpPr>
        <xdr:spPr>
          <a:xfrm>
            <a:off x="1215516" y="78495608"/>
            <a:ext cx="441337" cy="307003"/>
          </a:xfrm>
          <a:prstGeom prst="rect">
            <a:avLst/>
          </a:prstGeom>
          <a:solidFill>
            <a:schemeClr val="bg1">
              <a:lumMod val="75000"/>
            </a:schemeClr>
          </a:solidFill>
        </xdr:spPr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400" b="1">
                <a:solidFill>
                  <a:schemeClr val="tx1"/>
                </a:solidFill>
              </a:rPr>
              <a:t>2A</a:t>
            </a:r>
          </a:p>
        </xdr:txBody>
      </xdr:sp>
      <xdr:sp macro="" textlink="">
        <xdr:nvSpPr>
          <xdr:cNvPr id="30" name="Rectangle 29">
            <a:extLst>
              <a:ext uri="{FF2B5EF4-FFF2-40B4-BE49-F238E27FC236}">
                <a16:creationId xmlns:a16="http://schemas.microsoft.com/office/drawing/2014/main" id="{56F1F181-584A-E530-D64F-CA514AA3C12F}"/>
              </a:ext>
            </a:extLst>
          </xdr:cNvPr>
          <xdr:cNvSpPr/>
        </xdr:nvSpPr>
        <xdr:spPr>
          <a:xfrm>
            <a:off x="1839031" y="78839170"/>
            <a:ext cx="351222" cy="200770"/>
          </a:xfrm>
          <a:prstGeom prst="rect">
            <a:avLst/>
          </a:prstGeom>
          <a:solidFill>
            <a:schemeClr val="bg1">
              <a:lumMod val="75000"/>
            </a:schemeClr>
          </a:solidFill>
        </xdr:spPr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100" b="1">
                <a:solidFill>
                  <a:schemeClr val="tx1"/>
                </a:solidFill>
              </a:rPr>
              <a:t>2B</a:t>
            </a:r>
          </a:p>
        </xdr:txBody>
      </xdr:sp>
      <xdr:sp macro="" textlink="">
        <xdr:nvSpPr>
          <xdr:cNvPr id="31" name="Rectangle 30">
            <a:extLst>
              <a:ext uri="{FF2B5EF4-FFF2-40B4-BE49-F238E27FC236}">
                <a16:creationId xmlns:a16="http://schemas.microsoft.com/office/drawing/2014/main" id="{7173C450-7065-A3F3-E39A-289475BDA8E3}"/>
              </a:ext>
            </a:extLst>
          </xdr:cNvPr>
          <xdr:cNvSpPr/>
        </xdr:nvSpPr>
        <xdr:spPr>
          <a:xfrm>
            <a:off x="2212411" y="79192010"/>
            <a:ext cx="341946" cy="253117"/>
          </a:xfrm>
          <a:prstGeom prst="rect">
            <a:avLst/>
          </a:prstGeom>
          <a:solidFill>
            <a:schemeClr val="bg1">
              <a:lumMod val="75000"/>
            </a:schemeClr>
          </a:solidFill>
        </xdr:spPr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100" b="1">
                <a:solidFill>
                  <a:schemeClr val="tx1"/>
                </a:solidFill>
              </a:rPr>
              <a:t>2C</a:t>
            </a:r>
          </a:p>
        </xdr:txBody>
      </xdr:sp>
      <xdr:sp macro="" textlink="">
        <xdr:nvSpPr>
          <xdr:cNvPr id="32" name="Rectangle 31">
            <a:extLst>
              <a:ext uri="{FF2B5EF4-FFF2-40B4-BE49-F238E27FC236}">
                <a16:creationId xmlns:a16="http://schemas.microsoft.com/office/drawing/2014/main" id="{2203A06D-EC66-537A-9EE8-7882BEB6EC19}"/>
              </a:ext>
            </a:extLst>
          </xdr:cNvPr>
          <xdr:cNvSpPr/>
        </xdr:nvSpPr>
        <xdr:spPr>
          <a:xfrm>
            <a:off x="4490049" y="82066544"/>
            <a:ext cx="359105" cy="190842"/>
          </a:xfrm>
          <a:prstGeom prst="rect">
            <a:avLst/>
          </a:prstGeom>
          <a:solidFill>
            <a:schemeClr val="bg1">
              <a:lumMod val="75000"/>
            </a:schemeClr>
          </a:solidFill>
        </xdr:spPr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100" b="1">
                <a:solidFill>
                  <a:schemeClr val="tx1"/>
                </a:solidFill>
              </a:rPr>
              <a:t>1A</a:t>
            </a:r>
          </a:p>
        </xdr:txBody>
      </xdr:sp>
      <xdr:sp macro="" textlink="">
        <xdr:nvSpPr>
          <xdr:cNvPr id="35" name="Rectangle 34">
            <a:extLst>
              <a:ext uri="{FF2B5EF4-FFF2-40B4-BE49-F238E27FC236}">
                <a16:creationId xmlns:a16="http://schemas.microsoft.com/office/drawing/2014/main" id="{A38B7EDB-5631-A1FD-C66B-FC923AFA88E7}"/>
              </a:ext>
            </a:extLst>
          </xdr:cNvPr>
          <xdr:cNvSpPr/>
        </xdr:nvSpPr>
        <xdr:spPr>
          <a:xfrm>
            <a:off x="4889442" y="81768826"/>
            <a:ext cx="358191" cy="232884"/>
          </a:xfrm>
          <a:prstGeom prst="rect">
            <a:avLst/>
          </a:prstGeom>
          <a:solidFill>
            <a:schemeClr val="bg1">
              <a:lumMod val="75000"/>
            </a:schemeClr>
          </a:solidFill>
        </xdr:spPr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100" b="1">
                <a:solidFill>
                  <a:schemeClr val="tx1"/>
                </a:solidFill>
              </a:rPr>
              <a:t>1B</a:t>
            </a:r>
          </a:p>
        </xdr:txBody>
      </xdr:sp>
      <xdr:sp macro="" textlink="">
        <xdr:nvSpPr>
          <xdr:cNvPr id="36" name="Rectangle 35">
            <a:extLst>
              <a:ext uri="{FF2B5EF4-FFF2-40B4-BE49-F238E27FC236}">
                <a16:creationId xmlns:a16="http://schemas.microsoft.com/office/drawing/2014/main" id="{3EAA2E26-D1BD-C5AD-8EDE-7F37EECAA27A}"/>
              </a:ext>
            </a:extLst>
          </xdr:cNvPr>
          <xdr:cNvSpPr/>
        </xdr:nvSpPr>
        <xdr:spPr>
          <a:xfrm>
            <a:off x="5650527" y="81612084"/>
            <a:ext cx="358191" cy="289777"/>
          </a:xfrm>
          <a:prstGeom prst="rect">
            <a:avLst/>
          </a:prstGeom>
          <a:solidFill>
            <a:schemeClr val="bg1">
              <a:lumMod val="75000"/>
            </a:schemeClr>
          </a:solidFill>
        </xdr:spPr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100" b="1">
                <a:solidFill>
                  <a:schemeClr val="tx1"/>
                </a:solidFill>
              </a:rPr>
              <a:t>1C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ydJ9xv3tro7Zu9zDA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473"/>
  <sheetViews>
    <sheetView tabSelected="1" view="pageBreakPreview" topLeftCell="A367" zoomScaleNormal="100" zoomScaleSheetLayoutView="100" workbookViewId="0">
      <selection activeCell="I374" sqref="I374"/>
    </sheetView>
  </sheetViews>
  <sheetFormatPr defaultColWidth="9.21875" defaultRowHeight="15.6" x14ac:dyDescent="0.3"/>
  <cols>
    <col min="1" max="1" width="11.44140625" style="40" customWidth="1"/>
    <col min="2" max="2" width="12" style="40" customWidth="1"/>
    <col min="3" max="3" width="12.77734375" style="40" customWidth="1"/>
    <col min="4" max="4" width="14.21875" style="40" customWidth="1"/>
    <col min="5" max="7" width="11.77734375" style="40" customWidth="1"/>
    <col min="8" max="8" width="12.44140625" style="40" customWidth="1"/>
    <col min="9" max="9" width="17.44140625" style="21" customWidth="1"/>
    <col min="10" max="10" width="11.44140625" style="21" customWidth="1"/>
    <col min="11" max="11" width="10.5546875" style="21" bestFit="1" customWidth="1"/>
    <col min="12" max="12" width="10.5546875" style="21" customWidth="1"/>
    <col min="13" max="13" width="11.77734375" style="21" customWidth="1"/>
    <col min="14" max="14" width="12.5546875" style="21" customWidth="1"/>
    <col min="15" max="15" width="9.77734375" style="21" customWidth="1"/>
    <col min="16" max="16" width="11.77734375" style="21" customWidth="1"/>
    <col min="17" max="247" width="9.21875" style="21"/>
    <col min="248" max="248" width="8.77734375" style="21" customWidth="1"/>
    <col min="249" max="249" width="9.77734375" style="21" customWidth="1"/>
    <col min="250" max="250" width="14.44140625" style="21" customWidth="1"/>
    <col min="251" max="251" width="7.21875" style="21" customWidth="1"/>
    <col min="252" max="252" width="5.5546875" style="21" customWidth="1"/>
    <col min="253" max="253" width="9" style="21" customWidth="1"/>
    <col min="254" max="255" width="9.77734375" style="21" customWidth="1"/>
    <col min="256" max="256" width="11.21875" style="21" customWidth="1"/>
    <col min="257" max="257" width="2.77734375" style="21" customWidth="1"/>
    <col min="258" max="258" width="3.5546875" style="21" customWidth="1"/>
    <col min="259" max="503" width="9.21875" style="21"/>
    <col min="504" max="504" width="8.77734375" style="21" customWidth="1"/>
    <col min="505" max="505" width="9.77734375" style="21" customWidth="1"/>
    <col min="506" max="506" width="14.44140625" style="21" customWidth="1"/>
    <col min="507" max="507" width="7.21875" style="21" customWidth="1"/>
    <col min="508" max="508" width="5.5546875" style="21" customWidth="1"/>
    <col min="509" max="509" width="9" style="21" customWidth="1"/>
    <col min="510" max="511" width="9.77734375" style="21" customWidth="1"/>
    <col min="512" max="512" width="11.21875" style="21" customWidth="1"/>
    <col min="513" max="513" width="2.77734375" style="21" customWidth="1"/>
    <col min="514" max="514" width="3.5546875" style="21" customWidth="1"/>
    <col min="515" max="759" width="9.21875" style="21"/>
    <col min="760" max="760" width="8.77734375" style="21" customWidth="1"/>
    <col min="761" max="761" width="9.77734375" style="21" customWidth="1"/>
    <col min="762" max="762" width="14.44140625" style="21" customWidth="1"/>
    <col min="763" max="763" width="7.21875" style="21" customWidth="1"/>
    <col min="764" max="764" width="5.5546875" style="21" customWidth="1"/>
    <col min="765" max="765" width="9" style="21" customWidth="1"/>
    <col min="766" max="767" width="9.77734375" style="21" customWidth="1"/>
    <col min="768" max="768" width="11.21875" style="21" customWidth="1"/>
    <col min="769" max="769" width="2.77734375" style="21" customWidth="1"/>
    <col min="770" max="770" width="3.5546875" style="21" customWidth="1"/>
    <col min="771" max="1015" width="9.21875" style="21"/>
    <col min="1016" max="1016" width="8.77734375" style="21" customWidth="1"/>
    <col min="1017" max="1017" width="9.77734375" style="21" customWidth="1"/>
    <col min="1018" max="1018" width="14.44140625" style="21" customWidth="1"/>
    <col min="1019" max="1019" width="7.21875" style="21" customWidth="1"/>
    <col min="1020" max="1020" width="5.5546875" style="21" customWidth="1"/>
    <col min="1021" max="1021" width="9" style="21" customWidth="1"/>
    <col min="1022" max="1023" width="9.77734375" style="21" customWidth="1"/>
    <col min="1024" max="1024" width="11.21875" style="21" customWidth="1"/>
    <col min="1025" max="1025" width="2.77734375" style="21" customWidth="1"/>
    <col min="1026" max="1026" width="3.5546875" style="21" customWidth="1"/>
    <col min="1027" max="1271" width="9.21875" style="21"/>
    <col min="1272" max="1272" width="8.77734375" style="21" customWidth="1"/>
    <col min="1273" max="1273" width="9.77734375" style="21" customWidth="1"/>
    <col min="1274" max="1274" width="14.44140625" style="21" customWidth="1"/>
    <col min="1275" max="1275" width="7.21875" style="21" customWidth="1"/>
    <col min="1276" max="1276" width="5.5546875" style="21" customWidth="1"/>
    <col min="1277" max="1277" width="9" style="21" customWidth="1"/>
    <col min="1278" max="1279" width="9.77734375" style="21" customWidth="1"/>
    <col min="1280" max="1280" width="11.21875" style="21" customWidth="1"/>
    <col min="1281" max="1281" width="2.77734375" style="21" customWidth="1"/>
    <col min="1282" max="1282" width="3.5546875" style="21" customWidth="1"/>
    <col min="1283" max="1527" width="9.21875" style="21"/>
    <col min="1528" max="1528" width="8.77734375" style="21" customWidth="1"/>
    <col min="1529" max="1529" width="9.77734375" style="21" customWidth="1"/>
    <col min="1530" max="1530" width="14.44140625" style="21" customWidth="1"/>
    <col min="1531" max="1531" width="7.21875" style="21" customWidth="1"/>
    <col min="1532" max="1532" width="5.5546875" style="21" customWidth="1"/>
    <col min="1533" max="1533" width="9" style="21" customWidth="1"/>
    <col min="1534" max="1535" width="9.77734375" style="21" customWidth="1"/>
    <col min="1536" max="1536" width="11.21875" style="21" customWidth="1"/>
    <col min="1537" max="1537" width="2.77734375" style="21" customWidth="1"/>
    <col min="1538" max="1538" width="3.5546875" style="21" customWidth="1"/>
    <col min="1539" max="1783" width="9.21875" style="21"/>
    <col min="1784" max="1784" width="8.77734375" style="21" customWidth="1"/>
    <col min="1785" max="1785" width="9.77734375" style="21" customWidth="1"/>
    <col min="1786" max="1786" width="14.44140625" style="21" customWidth="1"/>
    <col min="1787" max="1787" width="7.21875" style="21" customWidth="1"/>
    <col min="1788" max="1788" width="5.5546875" style="21" customWidth="1"/>
    <col min="1789" max="1789" width="9" style="21" customWidth="1"/>
    <col min="1790" max="1791" width="9.77734375" style="21" customWidth="1"/>
    <col min="1792" max="1792" width="11.21875" style="21" customWidth="1"/>
    <col min="1793" max="1793" width="2.77734375" style="21" customWidth="1"/>
    <col min="1794" max="1794" width="3.5546875" style="21" customWidth="1"/>
    <col min="1795" max="2039" width="9.21875" style="21"/>
    <col min="2040" max="2040" width="8.77734375" style="21" customWidth="1"/>
    <col min="2041" max="2041" width="9.77734375" style="21" customWidth="1"/>
    <col min="2042" max="2042" width="14.44140625" style="21" customWidth="1"/>
    <col min="2043" max="2043" width="7.21875" style="21" customWidth="1"/>
    <col min="2044" max="2044" width="5.5546875" style="21" customWidth="1"/>
    <col min="2045" max="2045" width="9" style="21" customWidth="1"/>
    <col min="2046" max="2047" width="9.77734375" style="21" customWidth="1"/>
    <col min="2048" max="2048" width="11.21875" style="21" customWidth="1"/>
    <col min="2049" max="2049" width="2.77734375" style="21" customWidth="1"/>
    <col min="2050" max="2050" width="3.5546875" style="21" customWidth="1"/>
    <col min="2051" max="2295" width="9.21875" style="21"/>
    <col min="2296" max="2296" width="8.77734375" style="21" customWidth="1"/>
    <col min="2297" max="2297" width="9.77734375" style="21" customWidth="1"/>
    <col min="2298" max="2298" width="14.44140625" style="21" customWidth="1"/>
    <col min="2299" max="2299" width="7.21875" style="21" customWidth="1"/>
    <col min="2300" max="2300" width="5.5546875" style="21" customWidth="1"/>
    <col min="2301" max="2301" width="9" style="21" customWidth="1"/>
    <col min="2302" max="2303" width="9.77734375" style="21" customWidth="1"/>
    <col min="2304" max="2304" width="11.21875" style="21" customWidth="1"/>
    <col min="2305" max="2305" width="2.77734375" style="21" customWidth="1"/>
    <col min="2306" max="2306" width="3.5546875" style="21" customWidth="1"/>
    <col min="2307" max="2551" width="9.21875" style="21"/>
    <col min="2552" max="2552" width="8.77734375" style="21" customWidth="1"/>
    <col min="2553" max="2553" width="9.77734375" style="21" customWidth="1"/>
    <col min="2554" max="2554" width="14.44140625" style="21" customWidth="1"/>
    <col min="2555" max="2555" width="7.21875" style="21" customWidth="1"/>
    <col min="2556" max="2556" width="5.5546875" style="21" customWidth="1"/>
    <col min="2557" max="2557" width="9" style="21" customWidth="1"/>
    <col min="2558" max="2559" width="9.77734375" style="21" customWidth="1"/>
    <col min="2560" max="2560" width="11.21875" style="21" customWidth="1"/>
    <col min="2561" max="2561" width="2.77734375" style="21" customWidth="1"/>
    <col min="2562" max="2562" width="3.5546875" style="21" customWidth="1"/>
    <col min="2563" max="2807" width="9.21875" style="21"/>
    <col min="2808" max="2808" width="8.77734375" style="21" customWidth="1"/>
    <col min="2809" max="2809" width="9.77734375" style="21" customWidth="1"/>
    <col min="2810" max="2810" width="14.44140625" style="21" customWidth="1"/>
    <col min="2811" max="2811" width="7.21875" style="21" customWidth="1"/>
    <col min="2812" max="2812" width="5.5546875" style="21" customWidth="1"/>
    <col min="2813" max="2813" width="9" style="21" customWidth="1"/>
    <col min="2814" max="2815" width="9.77734375" style="21" customWidth="1"/>
    <col min="2816" max="2816" width="11.21875" style="21" customWidth="1"/>
    <col min="2817" max="2817" width="2.77734375" style="21" customWidth="1"/>
    <col min="2818" max="2818" width="3.5546875" style="21" customWidth="1"/>
    <col min="2819" max="3063" width="9.21875" style="21"/>
    <col min="3064" max="3064" width="8.77734375" style="21" customWidth="1"/>
    <col min="3065" max="3065" width="9.77734375" style="21" customWidth="1"/>
    <col min="3066" max="3066" width="14.44140625" style="21" customWidth="1"/>
    <col min="3067" max="3067" width="7.21875" style="21" customWidth="1"/>
    <col min="3068" max="3068" width="5.5546875" style="21" customWidth="1"/>
    <col min="3069" max="3069" width="9" style="21" customWidth="1"/>
    <col min="3070" max="3071" width="9.77734375" style="21" customWidth="1"/>
    <col min="3072" max="3072" width="11.21875" style="21" customWidth="1"/>
    <col min="3073" max="3073" width="2.77734375" style="21" customWidth="1"/>
    <col min="3074" max="3074" width="3.5546875" style="21" customWidth="1"/>
    <col min="3075" max="3319" width="9.21875" style="21"/>
    <col min="3320" max="3320" width="8.77734375" style="21" customWidth="1"/>
    <col min="3321" max="3321" width="9.77734375" style="21" customWidth="1"/>
    <col min="3322" max="3322" width="14.44140625" style="21" customWidth="1"/>
    <col min="3323" max="3323" width="7.21875" style="21" customWidth="1"/>
    <col min="3324" max="3324" width="5.5546875" style="21" customWidth="1"/>
    <col min="3325" max="3325" width="9" style="21" customWidth="1"/>
    <col min="3326" max="3327" width="9.77734375" style="21" customWidth="1"/>
    <col min="3328" max="3328" width="11.21875" style="21" customWidth="1"/>
    <col min="3329" max="3329" width="2.77734375" style="21" customWidth="1"/>
    <col min="3330" max="3330" width="3.5546875" style="21" customWidth="1"/>
    <col min="3331" max="3575" width="9.21875" style="21"/>
    <col min="3576" max="3576" width="8.77734375" style="21" customWidth="1"/>
    <col min="3577" max="3577" width="9.77734375" style="21" customWidth="1"/>
    <col min="3578" max="3578" width="14.44140625" style="21" customWidth="1"/>
    <col min="3579" max="3579" width="7.21875" style="21" customWidth="1"/>
    <col min="3580" max="3580" width="5.5546875" style="21" customWidth="1"/>
    <col min="3581" max="3581" width="9" style="21" customWidth="1"/>
    <col min="3582" max="3583" width="9.77734375" style="21" customWidth="1"/>
    <col min="3584" max="3584" width="11.21875" style="21" customWidth="1"/>
    <col min="3585" max="3585" width="2.77734375" style="21" customWidth="1"/>
    <col min="3586" max="3586" width="3.5546875" style="21" customWidth="1"/>
    <col min="3587" max="3831" width="9.21875" style="21"/>
    <col min="3832" max="3832" width="8.77734375" style="21" customWidth="1"/>
    <col min="3833" max="3833" width="9.77734375" style="21" customWidth="1"/>
    <col min="3834" max="3834" width="14.44140625" style="21" customWidth="1"/>
    <col min="3835" max="3835" width="7.21875" style="21" customWidth="1"/>
    <col min="3836" max="3836" width="5.5546875" style="21" customWidth="1"/>
    <col min="3837" max="3837" width="9" style="21" customWidth="1"/>
    <col min="3838" max="3839" width="9.77734375" style="21" customWidth="1"/>
    <col min="3840" max="3840" width="11.21875" style="21" customWidth="1"/>
    <col min="3841" max="3841" width="2.77734375" style="21" customWidth="1"/>
    <col min="3842" max="3842" width="3.5546875" style="21" customWidth="1"/>
    <col min="3843" max="4087" width="9.21875" style="21"/>
    <col min="4088" max="4088" width="8.77734375" style="21" customWidth="1"/>
    <col min="4089" max="4089" width="9.77734375" style="21" customWidth="1"/>
    <col min="4090" max="4090" width="14.44140625" style="21" customWidth="1"/>
    <col min="4091" max="4091" width="7.21875" style="21" customWidth="1"/>
    <col min="4092" max="4092" width="5.5546875" style="21" customWidth="1"/>
    <col min="4093" max="4093" width="9" style="21" customWidth="1"/>
    <col min="4094" max="4095" width="9.77734375" style="21" customWidth="1"/>
    <col min="4096" max="4096" width="11.21875" style="21" customWidth="1"/>
    <col min="4097" max="4097" width="2.77734375" style="21" customWidth="1"/>
    <col min="4098" max="4098" width="3.5546875" style="21" customWidth="1"/>
    <col min="4099" max="4343" width="9.21875" style="21"/>
    <col min="4344" max="4344" width="8.77734375" style="21" customWidth="1"/>
    <col min="4345" max="4345" width="9.77734375" style="21" customWidth="1"/>
    <col min="4346" max="4346" width="14.44140625" style="21" customWidth="1"/>
    <col min="4347" max="4347" width="7.21875" style="21" customWidth="1"/>
    <col min="4348" max="4348" width="5.5546875" style="21" customWidth="1"/>
    <col min="4349" max="4349" width="9" style="21" customWidth="1"/>
    <col min="4350" max="4351" width="9.77734375" style="21" customWidth="1"/>
    <col min="4352" max="4352" width="11.21875" style="21" customWidth="1"/>
    <col min="4353" max="4353" width="2.77734375" style="21" customWidth="1"/>
    <col min="4354" max="4354" width="3.5546875" style="21" customWidth="1"/>
    <col min="4355" max="4599" width="9.21875" style="21"/>
    <col min="4600" max="4600" width="8.77734375" style="21" customWidth="1"/>
    <col min="4601" max="4601" width="9.77734375" style="21" customWidth="1"/>
    <col min="4602" max="4602" width="14.44140625" style="21" customWidth="1"/>
    <col min="4603" max="4603" width="7.21875" style="21" customWidth="1"/>
    <col min="4604" max="4604" width="5.5546875" style="21" customWidth="1"/>
    <col min="4605" max="4605" width="9" style="21" customWidth="1"/>
    <col min="4606" max="4607" width="9.77734375" style="21" customWidth="1"/>
    <col min="4608" max="4608" width="11.21875" style="21" customWidth="1"/>
    <col min="4609" max="4609" width="2.77734375" style="21" customWidth="1"/>
    <col min="4610" max="4610" width="3.5546875" style="21" customWidth="1"/>
    <col min="4611" max="4855" width="9.21875" style="21"/>
    <col min="4856" max="4856" width="8.77734375" style="21" customWidth="1"/>
    <col min="4857" max="4857" width="9.77734375" style="21" customWidth="1"/>
    <col min="4858" max="4858" width="14.44140625" style="21" customWidth="1"/>
    <col min="4859" max="4859" width="7.21875" style="21" customWidth="1"/>
    <col min="4860" max="4860" width="5.5546875" style="21" customWidth="1"/>
    <col min="4861" max="4861" width="9" style="21" customWidth="1"/>
    <col min="4862" max="4863" width="9.77734375" style="21" customWidth="1"/>
    <col min="4864" max="4864" width="11.21875" style="21" customWidth="1"/>
    <col min="4865" max="4865" width="2.77734375" style="21" customWidth="1"/>
    <col min="4866" max="4866" width="3.5546875" style="21" customWidth="1"/>
    <col min="4867" max="5111" width="9.21875" style="21"/>
    <col min="5112" max="5112" width="8.77734375" style="21" customWidth="1"/>
    <col min="5113" max="5113" width="9.77734375" style="21" customWidth="1"/>
    <col min="5114" max="5114" width="14.44140625" style="21" customWidth="1"/>
    <col min="5115" max="5115" width="7.21875" style="21" customWidth="1"/>
    <col min="5116" max="5116" width="5.5546875" style="21" customWidth="1"/>
    <col min="5117" max="5117" width="9" style="21" customWidth="1"/>
    <col min="5118" max="5119" width="9.77734375" style="21" customWidth="1"/>
    <col min="5120" max="5120" width="11.21875" style="21" customWidth="1"/>
    <col min="5121" max="5121" width="2.77734375" style="21" customWidth="1"/>
    <col min="5122" max="5122" width="3.5546875" style="21" customWidth="1"/>
    <col min="5123" max="5367" width="9.21875" style="21"/>
    <col min="5368" max="5368" width="8.77734375" style="21" customWidth="1"/>
    <col min="5369" max="5369" width="9.77734375" style="21" customWidth="1"/>
    <col min="5370" max="5370" width="14.44140625" style="21" customWidth="1"/>
    <col min="5371" max="5371" width="7.21875" style="21" customWidth="1"/>
    <col min="5372" max="5372" width="5.5546875" style="21" customWidth="1"/>
    <col min="5373" max="5373" width="9" style="21" customWidth="1"/>
    <col min="5374" max="5375" width="9.77734375" style="21" customWidth="1"/>
    <col min="5376" max="5376" width="11.21875" style="21" customWidth="1"/>
    <col min="5377" max="5377" width="2.77734375" style="21" customWidth="1"/>
    <col min="5378" max="5378" width="3.5546875" style="21" customWidth="1"/>
    <col min="5379" max="5623" width="9.21875" style="21"/>
    <col min="5624" max="5624" width="8.77734375" style="21" customWidth="1"/>
    <col min="5625" max="5625" width="9.77734375" style="21" customWidth="1"/>
    <col min="5626" max="5626" width="14.44140625" style="21" customWidth="1"/>
    <col min="5627" max="5627" width="7.21875" style="21" customWidth="1"/>
    <col min="5628" max="5628" width="5.5546875" style="21" customWidth="1"/>
    <col min="5629" max="5629" width="9" style="21" customWidth="1"/>
    <col min="5630" max="5631" width="9.77734375" style="21" customWidth="1"/>
    <col min="5632" max="5632" width="11.21875" style="21" customWidth="1"/>
    <col min="5633" max="5633" width="2.77734375" style="21" customWidth="1"/>
    <col min="5634" max="5634" width="3.5546875" style="21" customWidth="1"/>
    <col min="5635" max="5879" width="9.21875" style="21"/>
    <col min="5880" max="5880" width="8.77734375" style="21" customWidth="1"/>
    <col min="5881" max="5881" width="9.77734375" style="21" customWidth="1"/>
    <col min="5882" max="5882" width="14.44140625" style="21" customWidth="1"/>
    <col min="5883" max="5883" width="7.21875" style="21" customWidth="1"/>
    <col min="5884" max="5884" width="5.5546875" style="21" customWidth="1"/>
    <col min="5885" max="5885" width="9" style="21" customWidth="1"/>
    <col min="5886" max="5887" width="9.77734375" style="21" customWidth="1"/>
    <col min="5888" max="5888" width="11.21875" style="21" customWidth="1"/>
    <col min="5889" max="5889" width="2.77734375" style="21" customWidth="1"/>
    <col min="5890" max="5890" width="3.5546875" style="21" customWidth="1"/>
    <col min="5891" max="6135" width="9.21875" style="21"/>
    <col min="6136" max="6136" width="8.77734375" style="21" customWidth="1"/>
    <col min="6137" max="6137" width="9.77734375" style="21" customWidth="1"/>
    <col min="6138" max="6138" width="14.44140625" style="21" customWidth="1"/>
    <col min="6139" max="6139" width="7.21875" style="21" customWidth="1"/>
    <col min="6140" max="6140" width="5.5546875" style="21" customWidth="1"/>
    <col min="6141" max="6141" width="9" style="21" customWidth="1"/>
    <col min="6142" max="6143" width="9.77734375" style="21" customWidth="1"/>
    <col min="6144" max="6144" width="11.21875" style="21" customWidth="1"/>
    <col min="6145" max="6145" width="2.77734375" style="21" customWidth="1"/>
    <col min="6146" max="6146" width="3.5546875" style="21" customWidth="1"/>
    <col min="6147" max="6391" width="9.21875" style="21"/>
    <col min="6392" max="6392" width="8.77734375" style="21" customWidth="1"/>
    <col min="6393" max="6393" width="9.77734375" style="21" customWidth="1"/>
    <col min="6394" max="6394" width="14.44140625" style="21" customWidth="1"/>
    <col min="6395" max="6395" width="7.21875" style="21" customWidth="1"/>
    <col min="6396" max="6396" width="5.5546875" style="21" customWidth="1"/>
    <col min="6397" max="6397" width="9" style="21" customWidth="1"/>
    <col min="6398" max="6399" width="9.77734375" style="21" customWidth="1"/>
    <col min="6400" max="6400" width="11.21875" style="21" customWidth="1"/>
    <col min="6401" max="6401" width="2.77734375" style="21" customWidth="1"/>
    <col min="6402" max="6402" width="3.5546875" style="21" customWidth="1"/>
    <col min="6403" max="6647" width="9.21875" style="21"/>
    <col min="6648" max="6648" width="8.77734375" style="21" customWidth="1"/>
    <col min="6649" max="6649" width="9.77734375" style="21" customWidth="1"/>
    <col min="6650" max="6650" width="14.44140625" style="21" customWidth="1"/>
    <col min="6651" max="6651" width="7.21875" style="21" customWidth="1"/>
    <col min="6652" max="6652" width="5.5546875" style="21" customWidth="1"/>
    <col min="6653" max="6653" width="9" style="21" customWidth="1"/>
    <col min="6654" max="6655" width="9.77734375" style="21" customWidth="1"/>
    <col min="6656" max="6656" width="11.21875" style="21" customWidth="1"/>
    <col min="6657" max="6657" width="2.77734375" style="21" customWidth="1"/>
    <col min="6658" max="6658" width="3.5546875" style="21" customWidth="1"/>
    <col min="6659" max="6903" width="9.21875" style="21"/>
    <col min="6904" max="6904" width="8.77734375" style="21" customWidth="1"/>
    <col min="6905" max="6905" width="9.77734375" style="21" customWidth="1"/>
    <col min="6906" max="6906" width="14.44140625" style="21" customWidth="1"/>
    <col min="6907" max="6907" width="7.21875" style="21" customWidth="1"/>
    <col min="6908" max="6908" width="5.5546875" style="21" customWidth="1"/>
    <col min="6909" max="6909" width="9" style="21" customWidth="1"/>
    <col min="6910" max="6911" width="9.77734375" style="21" customWidth="1"/>
    <col min="6912" max="6912" width="11.21875" style="21" customWidth="1"/>
    <col min="6913" max="6913" width="2.77734375" style="21" customWidth="1"/>
    <col min="6914" max="6914" width="3.5546875" style="21" customWidth="1"/>
    <col min="6915" max="7159" width="9.21875" style="21"/>
    <col min="7160" max="7160" width="8.77734375" style="21" customWidth="1"/>
    <col min="7161" max="7161" width="9.77734375" style="21" customWidth="1"/>
    <col min="7162" max="7162" width="14.44140625" style="21" customWidth="1"/>
    <col min="7163" max="7163" width="7.21875" style="21" customWidth="1"/>
    <col min="7164" max="7164" width="5.5546875" style="21" customWidth="1"/>
    <col min="7165" max="7165" width="9" style="21" customWidth="1"/>
    <col min="7166" max="7167" width="9.77734375" style="21" customWidth="1"/>
    <col min="7168" max="7168" width="11.21875" style="21" customWidth="1"/>
    <col min="7169" max="7169" width="2.77734375" style="21" customWidth="1"/>
    <col min="7170" max="7170" width="3.5546875" style="21" customWidth="1"/>
    <col min="7171" max="7415" width="9.21875" style="21"/>
    <col min="7416" max="7416" width="8.77734375" style="21" customWidth="1"/>
    <col min="7417" max="7417" width="9.77734375" style="21" customWidth="1"/>
    <col min="7418" max="7418" width="14.44140625" style="21" customWidth="1"/>
    <col min="7419" max="7419" width="7.21875" style="21" customWidth="1"/>
    <col min="7420" max="7420" width="5.5546875" style="21" customWidth="1"/>
    <col min="7421" max="7421" width="9" style="21" customWidth="1"/>
    <col min="7422" max="7423" width="9.77734375" style="21" customWidth="1"/>
    <col min="7424" max="7424" width="11.21875" style="21" customWidth="1"/>
    <col min="7425" max="7425" width="2.77734375" style="21" customWidth="1"/>
    <col min="7426" max="7426" width="3.5546875" style="21" customWidth="1"/>
    <col min="7427" max="7671" width="9.21875" style="21"/>
    <col min="7672" max="7672" width="8.77734375" style="21" customWidth="1"/>
    <col min="7673" max="7673" width="9.77734375" style="21" customWidth="1"/>
    <col min="7674" max="7674" width="14.44140625" style="21" customWidth="1"/>
    <col min="7675" max="7675" width="7.21875" style="21" customWidth="1"/>
    <col min="7676" max="7676" width="5.5546875" style="21" customWidth="1"/>
    <col min="7677" max="7677" width="9" style="21" customWidth="1"/>
    <col min="7678" max="7679" width="9.77734375" style="21" customWidth="1"/>
    <col min="7680" max="7680" width="11.21875" style="21" customWidth="1"/>
    <col min="7681" max="7681" width="2.77734375" style="21" customWidth="1"/>
    <col min="7682" max="7682" width="3.5546875" style="21" customWidth="1"/>
    <col min="7683" max="7927" width="9.21875" style="21"/>
    <col min="7928" max="7928" width="8.77734375" style="21" customWidth="1"/>
    <col min="7929" max="7929" width="9.77734375" style="21" customWidth="1"/>
    <col min="7930" max="7930" width="14.44140625" style="21" customWidth="1"/>
    <col min="7931" max="7931" width="7.21875" style="21" customWidth="1"/>
    <col min="7932" max="7932" width="5.5546875" style="21" customWidth="1"/>
    <col min="7933" max="7933" width="9" style="21" customWidth="1"/>
    <col min="7934" max="7935" width="9.77734375" style="21" customWidth="1"/>
    <col min="7936" max="7936" width="11.21875" style="21" customWidth="1"/>
    <col min="7937" max="7937" width="2.77734375" style="21" customWidth="1"/>
    <col min="7938" max="7938" width="3.5546875" style="21" customWidth="1"/>
    <col min="7939" max="8183" width="9.21875" style="21"/>
    <col min="8184" max="8184" width="8.77734375" style="21" customWidth="1"/>
    <col min="8185" max="8185" width="9.77734375" style="21" customWidth="1"/>
    <col min="8186" max="8186" width="14.44140625" style="21" customWidth="1"/>
    <col min="8187" max="8187" width="7.21875" style="21" customWidth="1"/>
    <col min="8188" max="8188" width="5.5546875" style="21" customWidth="1"/>
    <col min="8189" max="8189" width="9" style="21" customWidth="1"/>
    <col min="8190" max="8191" width="9.77734375" style="21" customWidth="1"/>
    <col min="8192" max="8192" width="11.21875" style="21" customWidth="1"/>
    <col min="8193" max="8193" width="2.77734375" style="21" customWidth="1"/>
    <col min="8194" max="8194" width="3.5546875" style="21" customWidth="1"/>
    <col min="8195" max="8439" width="9.21875" style="21"/>
    <col min="8440" max="8440" width="8.77734375" style="21" customWidth="1"/>
    <col min="8441" max="8441" width="9.77734375" style="21" customWidth="1"/>
    <col min="8442" max="8442" width="14.44140625" style="21" customWidth="1"/>
    <col min="8443" max="8443" width="7.21875" style="21" customWidth="1"/>
    <col min="8444" max="8444" width="5.5546875" style="21" customWidth="1"/>
    <col min="8445" max="8445" width="9" style="21" customWidth="1"/>
    <col min="8446" max="8447" width="9.77734375" style="21" customWidth="1"/>
    <col min="8448" max="8448" width="11.21875" style="21" customWidth="1"/>
    <col min="8449" max="8449" width="2.77734375" style="21" customWidth="1"/>
    <col min="8450" max="8450" width="3.5546875" style="21" customWidth="1"/>
    <col min="8451" max="8695" width="9.21875" style="21"/>
    <col min="8696" max="8696" width="8.77734375" style="21" customWidth="1"/>
    <col min="8697" max="8697" width="9.77734375" style="21" customWidth="1"/>
    <col min="8698" max="8698" width="14.44140625" style="21" customWidth="1"/>
    <col min="8699" max="8699" width="7.21875" style="21" customWidth="1"/>
    <col min="8700" max="8700" width="5.5546875" style="21" customWidth="1"/>
    <col min="8701" max="8701" width="9" style="21" customWidth="1"/>
    <col min="8702" max="8703" width="9.77734375" style="21" customWidth="1"/>
    <col min="8704" max="8704" width="11.21875" style="21" customWidth="1"/>
    <col min="8705" max="8705" width="2.77734375" style="21" customWidth="1"/>
    <col min="8706" max="8706" width="3.5546875" style="21" customWidth="1"/>
    <col min="8707" max="8951" width="9.21875" style="21"/>
    <col min="8952" max="8952" width="8.77734375" style="21" customWidth="1"/>
    <col min="8953" max="8953" width="9.77734375" style="21" customWidth="1"/>
    <col min="8954" max="8954" width="14.44140625" style="21" customWidth="1"/>
    <col min="8955" max="8955" width="7.21875" style="21" customWidth="1"/>
    <col min="8956" max="8956" width="5.5546875" style="21" customWidth="1"/>
    <col min="8957" max="8957" width="9" style="21" customWidth="1"/>
    <col min="8958" max="8959" width="9.77734375" style="21" customWidth="1"/>
    <col min="8960" max="8960" width="11.21875" style="21" customWidth="1"/>
    <col min="8961" max="8961" width="2.77734375" style="21" customWidth="1"/>
    <col min="8962" max="8962" width="3.5546875" style="21" customWidth="1"/>
    <col min="8963" max="9207" width="9.21875" style="21"/>
    <col min="9208" max="9208" width="8.77734375" style="21" customWidth="1"/>
    <col min="9209" max="9209" width="9.77734375" style="21" customWidth="1"/>
    <col min="9210" max="9210" width="14.44140625" style="21" customWidth="1"/>
    <col min="9211" max="9211" width="7.21875" style="21" customWidth="1"/>
    <col min="9212" max="9212" width="5.5546875" style="21" customWidth="1"/>
    <col min="9213" max="9213" width="9" style="21" customWidth="1"/>
    <col min="9214" max="9215" width="9.77734375" style="21" customWidth="1"/>
    <col min="9216" max="9216" width="11.21875" style="21" customWidth="1"/>
    <col min="9217" max="9217" width="2.77734375" style="21" customWidth="1"/>
    <col min="9218" max="9218" width="3.5546875" style="21" customWidth="1"/>
    <col min="9219" max="9463" width="9.21875" style="21"/>
    <col min="9464" max="9464" width="8.77734375" style="21" customWidth="1"/>
    <col min="9465" max="9465" width="9.77734375" style="21" customWidth="1"/>
    <col min="9466" max="9466" width="14.44140625" style="21" customWidth="1"/>
    <col min="9467" max="9467" width="7.21875" style="21" customWidth="1"/>
    <col min="9468" max="9468" width="5.5546875" style="21" customWidth="1"/>
    <col min="9469" max="9469" width="9" style="21" customWidth="1"/>
    <col min="9470" max="9471" width="9.77734375" style="21" customWidth="1"/>
    <col min="9472" max="9472" width="11.21875" style="21" customWidth="1"/>
    <col min="9473" max="9473" width="2.77734375" style="21" customWidth="1"/>
    <col min="9474" max="9474" width="3.5546875" style="21" customWidth="1"/>
    <col min="9475" max="9719" width="9.21875" style="21"/>
    <col min="9720" max="9720" width="8.77734375" style="21" customWidth="1"/>
    <col min="9721" max="9721" width="9.77734375" style="21" customWidth="1"/>
    <col min="9722" max="9722" width="14.44140625" style="21" customWidth="1"/>
    <col min="9723" max="9723" width="7.21875" style="21" customWidth="1"/>
    <col min="9724" max="9724" width="5.5546875" style="21" customWidth="1"/>
    <col min="9725" max="9725" width="9" style="21" customWidth="1"/>
    <col min="9726" max="9727" width="9.77734375" style="21" customWidth="1"/>
    <col min="9728" max="9728" width="11.21875" style="21" customWidth="1"/>
    <col min="9729" max="9729" width="2.77734375" style="21" customWidth="1"/>
    <col min="9730" max="9730" width="3.5546875" style="21" customWidth="1"/>
    <col min="9731" max="9975" width="9.21875" style="21"/>
    <col min="9976" max="9976" width="8.77734375" style="21" customWidth="1"/>
    <col min="9977" max="9977" width="9.77734375" style="21" customWidth="1"/>
    <col min="9978" max="9978" width="14.44140625" style="21" customWidth="1"/>
    <col min="9979" max="9979" width="7.21875" style="21" customWidth="1"/>
    <col min="9980" max="9980" width="5.5546875" style="21" customWidth="1"/>
    <col min="9981" max="9981" width="9" style="21" customWidth="1"/>
    <col min="9982" max="9983" width="9.77734375" style="21" customWidth="1"/>
    <col min="9984" max="9984" width="11.21875" style="21" customWidth="1"/>
    <col min="9985" max="9985" width="2.77734375" style="21" customWidth="1"/>
    <col min="9986" max="9986" width="3.5546875" style="21" customWidth="1"/>
    <col min="9987" max="10231" width="9.21875" style="21"/>
    <col min="10232" max="10232" width="8.77734375" style="21" customWidth="1"/>
    <col min="10233" max="10233" width="9.77734375" style="21" customWidth="1"/>
    <col min="10234" max="10234" width="14.44140625" style="21" customWidth="1"/>
    <col min="10235" max="10235" width="7.21875" style="21" customWidth="1"/>
    <col min="10236" max="10236" width="5.5546875" style="21" customWidth="1"/>
    <col min="10237" max="10237" width="9" style="21" customWidth="1"/>
    <col min="10238" max="10239" width="9.77734375" style="21" customWidth="1"/>
    <col min="10240" max="10240" width="11.21875" style="21" customWidth="1"/>
    <col min="10241" max="10241" width="2.77734375" style="21" customWidth="1"/>
    <col min="10242" max="10242" width="3.5546875" style="21" customWidth="1"/>
    <col min="10243" max="10487" width="9.21875" style="21"/>
    <col min="10488" max="10488" width="8.77734375" style="21" customWidth="1"/>
    <col min="10489" max="10489" width="9.77734375" style="21" customWidth="1"/>
    <col min="10490" max="10490" width="14.44140625" style="21" customWidth="1"/>
    <col min="10491" max="10491" width="7.21875" style="21" customWidth="1"/>
    <col min="10492" max="10492" width="5.5546875" style="21" customWidth="1"/>
    <col min="10493" max="10493" width="9" style="21" customWidth="1"/>
    <col min="10494" max="10495" width="9.77734375" style="21" customWidth="1"/>
    <col min="10496" max="10496" width="11.21875" style="21" customWidth="1"/>
    <col min="10497" max="10497" width="2.77734375" style="21" customWidth="1"/>
    <col min="10498" max="10498" width="3.5546875" style="21" customWidth="1"/>
    <col min="10499" max="10743" width="9.21875" style="21"/>
    <col min="10744" max="10744" width="8.77734375" style="21" customWidth="1"/>
    <col min="10745" max="10745" width="9.77734375" style="21" customWidth="1"/>
    <col min="10746" max="10746" width="14.44140625" style="21" customWidth="1"/>
    <col min="10747" max="10747" width="7.21875" style="21" customWidth="1"/>
    <col min="10748" max="10748" width="5.5546875" style="21" customWidth="1"/>
    <col min="10749" max="10749" width="9" style="21" customWidth="1"/>
    <col min="10750" max="10751" width="9.77734375" style="21" customWidth="1"/>
    <col min="10752" max="10752" width="11.21875" style="21" customWidth="1"/>
    <col min="10753" max="10753" width="2.77734375" style="21" customWidth="1"/>
    <col min="10754" max="10754" width="3.5546875" style="21" customWidth="1"/>
    <col min="10755" max="10999" width="9.21875" style="21"/>
    <col min="11000" max="11000" width="8.77734375" style="21" customWidth="1"/>
    <col min="11001" max="11001" width="9.77734375" style="21" customWidth="1"/>
    <col min="11002" max="11002" width="14.44140625" style="21" customWidth="1"/>
    <col min="11003" max="11003" width="7.21875" style="21" customWidth="1"/>
    <col min="11004" max="11004" width="5.5546875" style="21" customWidth="1"/>
    <col min="11005" max="11005" width="9" style="21" customWidth="1"/>
    <col min="11006" max="11007" width="9.77734375" style="21" customWidth="1"/>
    <col min="11008" max="11008" width="11.21875" style="21" customWidth="1"/>
    <col min="11009" max="11009" width="2.77734375" style="21" customWidth="1"/>
    <col min="11010" max="11010" width="3.5546875" style="21" customWidth="1"/>
    <col min="11011" max="11255" width="9.21875" style="21"/>
    <col min="11256" max="11256" width="8.77734375" style="21" customWidth="1"/>
    <col min="11257" max="11257" width="9.77734375" style="21" customWidth="1"/>
    <col min="11258" max="11258" width="14.44140625" style="21" customWidth="1"/>
    <col min="11259" max="11259" width="7.21875" style="21" customWidth="1"/>
    <col min="11260" max="11260" width="5.5546875" style="21" customWidth="1"/>
    <col min="11261" max="11261" width="9" style="21" customWidth="1"/>
    <col min="11262" max="11263" width="9.77734375" style="21" customWidth="1"/>
    <col min="11264" max="11264" width="11.21875" style="21" customWidth="1"/>
    <col min="11265" max="11265" width="2.77734375" style="21" customWidth="1"/>
    <col min="11266" max="11266" width="3.5546875" style="21" customWidth="1"/>
    <col min="11267" max="11511" width="9.21875" style="21"/>
    <col min="11512" max="11512" width="8.77734375" style="21" customWidth="1"/>
    <col min="11513" max="11513" width="9.77734375" style="21" customWidth="1"/>
    <col min="11514" max="11514" width="14.44140625" style="21" customWidth="1"/>
    <col min="11515" max="11515" width="7.21875" style="21" customWidth="1"/>
    <col min="11516" max="11516" width="5.5546875" style="21" customWidth="1"/>
    <col min="11517" max="11517" width="9" style="21" customWidth="1"/>
    <col min="11518" max="11519" width="9.77734375" style="21" customWidth="1"/>
    <col min="11520" max="11520" width="11.21875" style="21" customWidth="1"/>
    <col min="11521" max="11521" width="2.77734375" style="21" customWidth="1"/>
    <col min="11522" max="11522" width="3.5546875" style="21" customWidth="1"/>
    <col min="11523" max="11767" width="9.21875" style="21"/>
    <col min="11768" max="11768" width="8.77734375" style="21" customWidth="1"/>
    <col min="11769" max="11769" width="9.77734375" style="21" customWidth="1"/>
    <col min="11770" max="11770" width="14.44140625" style="21" customWidth="1"/>
    <col min="11771" max="11771" width="7.21875" style="21" customWidth="1"/>
    <col min="11772" max="11772" width="5.5546875" style="21" customWidth="1"/>
    <col min="11773" max="11773" width="9" style="21" customWidth="1"/>
    <col min="11774" max="11775" width="9.77734375" style="21" customWidth="1"/>
    <col min="11776" max="11776" width="11.21875" style="21" customWidth="1"/>
    <col min="11777" max="11777" width="2.77734375" style="21" customWidth="1"/>
    <col min="11778" max="11778" width="3.5546875" style="21" customWidth="1"/>
    <col min="11779" max="12023" width="9.21875" style="21"/>
    <col min="12024" max="12024" width="8.77734375" style="21" customWidth="1"/>
    <col min="12025" max="12025" width="9.77734375" style="21" customWidth="1"/>
    <col min="12026" max="12026" width="14.44140625" style="21" customWidth="1"/>
    <col min="12027" max="12027" width="7.21875" style="21" customWidth="1"/>
    <col min="12028" max="12028" width="5.5546875" style="21" customWidth="1"/>
    <col min="12029" max="12029" width="9" style="21" customWidth="1"/>
    <col min="12030" max="12031" width="9.77734375" style="21" customWidth="1"/>
    <col min="12032" max="12032" width="11.21875" style="21" customWidth="1"/>
    <col min="12033" max="12033" width="2.77734375" style="21" customWidth="1"/>
    <col min="12034" max="12034" width="3.5546875" style="21" customWidth="1"/>
    <col min="12035" max="12279" width="9.21875" style="21"/>
    <col min="12280" max="12280" width="8.77734375" style="21" customWidth="1"/>
    <col min="12281" max="12281" width="9.77734375" style="21" customWidth="1"/>
    <col min="12282" max="12282" width="14.44140625" style="21" customWidth="1"/>
    <col min="12283" max="12283" width="7.21875" style="21" customWidth="1"/>
    <col min="12284" max="12284" width="5.5546875" style="21" customWidth="1"/>
    <col min="12285" max="12285" width="9" style="21" customWidth="1"/>
    <col min="12286" max="12287" width="9.77734375" style="21" customWidth="1"/>
    <col min="12288" max="12288" width="11.21875" style="21" customWidth="1"/>
    <col min="12289" max="12289" width="2.77734375" style="21" customWidth="1"/>
    <col min="12290" max="12290" width="3.5546875" style="21" customWidth="1"/>
    <col min="12291" max="12535" width="9.21875" style="21"/>
    <col min="12536" max="12536" width="8.77734375" style="21" customWidth="1"/>
    <col min="12537" max="12537" width="9.77734375" style="21" customWidth="1"/>
    <col min="12538" max="12538" width="14.44140625" style="21" customWidth="1"/>
    <col min="12539" max="12539" width="7.21875" style="21" customWidth="1"/>
    <col min="12540" max="12540" width="5.5546875" style="21" customWidth="1"/>
    <col min="12541" max="12541" width="9" style="21" customWidth="1"/>
    <col min="12542" max="12543" width="9.77734375" style="21" customWidth="1"/>
    <col min="12544" max="12544" width="11.21875" style="21" customWidth="1"/>
    <col min="12545" max="12545" width="2.77734375" style="21" customWidth="1"/>
    <col min="12546" max="12546" width="3.5546875" style="21" customWidth="1"/>
    <col min="12547" max="12791" width="9.21875" style="21"/>
    <col min="12792" max="12792" width="8.77734375" style="21" customWidth="1"/>
    <col min="12793" max="12793" width="9.77734375" style="21" customWidth="1"/>
    <col min="12794" max="12794" width="14.44140625" style="21" customWidth="1"/>
    <col min="12795" max="12795" width="7.21875" style="21" customWidth="1"/>
    <col min="12796" max="12796" width="5.5546875" style="21" customWidth="1"/>
    <col min="12797" max="12797" width="9" style="21" customWidth="1"/>
    <col min="12798" max="12799" width="9.77734375" style="21" customWidth="1"/>
    <col min="12800" max="12800" width="11.21875" style="21" customWidth="1"/>
    <col min="12801" max="12801" width="2.77734375" style="21" customWidth="1"/>
    <col min="12802" max="12802" width="3.5546875" style="21" customWidth="1"/>
    <col min="12803" max="13047" width="9.21875" style="21"/>
    <col min="13048" max="13048" width="8.77734375" style="21" customWidth="1"/>
    <col min="13049" max="13049" width="9.77734375" style="21" customWidth="1"/>
    <col min="13050" max="13050" width="14.44140625" style="21" customWidth="1"/>
    <col min="13051" max="13051" width="7.21875" style="21" customWidth="1"/>
    <col min="13052" max="13052" width="5.5546875" style="21" customWidth="1"/>
    <col min="13053" max="13053" width="9" style="21" customWidth="1"/>
    <col min="13054" max="13055" width="9.77734375" style="21" customWidth="1"/>
    <col min="13056" max="13056" width="11.21875" style="21" customWidth="1"/>
    <col min="13057" max="13057" width="2.77734375" style="21" customWidth="1"/>
    <col min="13058" max="13058" width="3.5546875" style="21" customWidth="1"/>
    <col min="13059" max="13303" width="9.21875" style="21"/>
    <col min="13304" max="13304" width="8.77734375" style="21" customWidth="1"/>
    <col min="13305" max="13305" width="9.77734375" style="21" customWidth="1"/>
    <col min="13306" max="13306" width="14.44140625" style="21" customWidth="1"/>
    <col min="13307" max="13307" width="7.21875" style="21" customWidth="1"/>
    <col min="13308" max="13308" width="5.5546875" style="21" customWidth="1"/>
    <col min="13309" max="13309" width="9" style="21" customWidth="1"/>
    <col min="13310" max="13311" width="9.77734375" style="21" customWidth="1"/>
    <col min="13312" max="13312" width="11.21875" style="21" customWidth="1"/>
    <col min="13313" max="13313" width="2.77734375" style="21" customWidth="1"/>
    <col min="13314" max="13314" width="3.5546875" style="21" customWidth="1"/>
    <col min="13315" max="13559" width="9.21875" style="21"/>
    <col min="13560" max="13560" width="8.77734375" style="21" customWidth="1"/>
    <col min="13561" max="13561" width="9.77734375" style="21" customWidth="1"/>
    <col min="13562" max="13562" width="14.44140625" style="21" customWidth="1"/>
    <col min="13563" max="13563" width="7.21875" style="21" customWidth="1"/>
    <col min="13564" max="13564" width="5.5546875" style="21" customWidth="1"/>
    <col min="13565" max="13565" width="9" style="21" customWidth="1"/>
    <col min="13566" max="13567" width="9.77734375" style="21" customWidth="1"/>
    <col min="13568" max="13568" width="11.21875" style="21" customWidth="1"/>
    <col min="13569" max="13569" width="2.77734375" style="21" customWidth="1"/>
    <col min="13570" max="13570" width="3.5546875" style="21" customWidth="1"/>
    <col min="13571" max="13815" width="9.21875" style="21"/>
    <col min="13816" max="13816" width="8.77734375" style="21" customWidth="1"/>
    <col min="13817" max="13817" width="9.77734375" style="21" customWidth="1"/>
    <col min="13818" max="13818" width="14.44140625" style="21" customWidth="1"/>
    <col min="13819" max="13819" width="7.21875" style="21" customWidth="1"/>
    <col min="13820" max="13820" width="5.5546875" style="21" customWidth="1"/>
    <col min="13821" max="13821" width="9" style="21" customWidth="1"/>
    <col min="13822" max="13823" width="9.77734375" style="21" customWidth="1"/>
    <col min="13824" max="13824" width="11.21875" style="21" customWidth="1"/>
    <col min="13825" max="13825" width="2.77734375" style="21" customWidth="1"/>
    <col min="13826" max="13826" width="3.5546875" style="21" customWidth="1"/>
    <col min="13827" max="14071" width="9.21875" style="21"/>
    <col min="14072" max="14072" width="8.77734375" style="21" customWidth="1"/>
    <col min="14073" max="14073" width="9.77734375" style="21" customWidth="1"/>
    <col min="14074" max="14074" width="14.44140625" style="21" customWidth="1"/>
    <col min="14075" max="14075" width="7.21875" style="21" customWidth="1"/>
    <col min="14076" max="14076" width="5.5546875" style="21" customWidth="1"/>
    <col min="14077" max="14077" width="9" style="21" customWidth="1"/>
    <col min="14078" max="14079" width="9.77734375" style="21" customWidth="1"/>
    <col min="14080" max="14080" width="11.21875" style="21" customWidth="1"/>
    <col min="14081" max="14081" width="2.77734375" style="21" customWidth="1"/>
    <col min="14082" max="14082" width="3.5546875" style="21" customWidth="1"/>
    <col min="14083" max="14327" width="9.21875" style="21"/>
    <col min="14328" max="14328" width="8.77734375" style="21" customWidth="1"/>
    <col min="14329" max="14329" width="9.77734375" style="21" customWidth="1"/>
    <col min="14330" max="14330" width="14.44140625" style="21" customWidth="1"/>
    <col min="14331" max="14331" width="7.21875" style="21" customWidth="1"/>
    <col min="14332" max="14332" width="5.5546875" style="21" customWidth="1"/>
    <col min="14333" max="14333" width="9" style="21" customWidth="1"/>
    <col min="14334" max="14335" width="9.77734375" style="21" customWidth="1"/>
    <col min="14336" max="14336" width="11.21875" style="21" customWidth="1"/>
    <col min="14337" max="14337" width="2.77734375" style="21" customWidth="1"/>
    <col min="14338" max="14338" width="3.5546875" style="21" customWidth="1"/>
    <col min="14339" max="14583" width="9.21875" style="21"/>
    <col min="14584" max="14584" width="8.77734375" style="21" customWidth="1"/>
    <col min="14585" max="14585" width="9.77734375" style="21" customWidth="1"/>
    <col min="14586" max="14586" width="14.44140625" style="21" customWidth="1"/>
    <col min="14587" max="14587" width="7.21875" style="21" customWidth="1"/>
    <col min="14588" max="14588" width="5.5546875" style="21" customWidth="1"/>
    <col min="14589" max="14589" width="9" style="21" customWidth="1"/>
    <col min="14590" max="14591" width="9.77734375" style="21" customWidth="1"/>
    <col min="14592" max="14592" width="11.21875" style="21" customWidth="1"/>
    <col min="14593" max="14593" width="2.77734375" style="21" customWidth="1"/>
    <col min="14594" max="14594" width="3.5546875" style="21" customWidth="1"/>
    <col min="14595" max="14839" width="9.21875" style="21"/>
    <col min="14840" max="14840" width="8.77734375" style="21" customWidth="1"/>
    <col min="14841" max="14841" width="9.77734375" style="21" customWidth="1"/>
    <col min="14842" max="14842" width="14.44140625" style="21" customWidth="1"/>
    <col min="14843" max="14843" width="7.21875" style="21" customWidth="1"/>
    <col min="14844" max="14844" width="5.5546875" style="21" customWidth="1"/>
    <col min="14845" max="14845" width="9" style="21" customWidth="1"/>
    <col min="14846" max="14847" width="9.77734375" style="21" customWidth="1"/>
    <col min="14848" max="14848" width="11.21875" style="21" customWidth="1"/>
    <col min="14849" max="14849" width="2.77734375" style="21" customWidth="1"/>
    <col min="14850" max="14850" width="3.5546875" style="21" customWidth="1"/>
    <col min="14851" max="15095" width="9.21875" style="21"/>
    <col min="15096" max="15096" width="8.77734375" style="21" customWidth="1"/>
    <col min="15097" max="15097" width="9.77734375" style="21" customWidth="1"/>
    <col min="15098" max="15098" width="14.44140625" style="21" customWidth="1"/>
    <col min="15099" max="15099" width="7.21875" style="21" customWidth="1"/>
    <col min="15100" max="15100" width="5.5546875" style="21" customWidth="1"/>
    <col min="15101" max="15101" width="9" style="21" customWidth="1"/>
    <col min="15102" max="15103" width="9.77734375" style="21" customWidth="1"/>
    <col min="15104" max="15104" width="11.21875" style="21" customWidth="1"/>
    <col min="15105" max="15105" width="2.77734375" style="21" customWidth="1"/>
    <col min="15106" max="15106" width="3.5546875" style="21" customWidth="1"/>
    <col min="15107" max="15351" width="9.21875" style="21"/>
    <col min="15352" max="15352" width="8.77734375" style="21" customWidth="1"/>
    <col min="15353" max="15353" width="9.77734375" style="21" customWidth="1"/>
    <col min="15354" max="15354" width="14.44140625" style="21" customWidth="1"/>
    <col min="15355" max="15355" width="7.21875" style="21" customWidth="1"/>
    <col min="15356" max="15356" width="5.5546875" style="21" customWidth="1"/>
    <col min="15357" max="15357" width="9" style="21" customWidth="1"/>
    <col min="15358" max="15359" width="9.77734375" style="21" customWidth="1"/>
    <col min="15360" max="15360" width="11.21875" style="21" customWidth="1"/>
    <col min="15361" max="15361" width="2.77734375" style="21" customWidth="1"/>
    <col min="15362" max="15362" width="3.5546875" style="21" customWidth="1"/>
    <col min="15363" max="15607" width="9.21875" style="21"/>
    <col min="15608" max="15608" width="8.77734375" style="21" customWidth="1"/>
    <col min="15609" max="15609" width="9.77734375" style="21" customWidth="1"/>
    <col min="15610" max="15610" width="14.44140625" style="21" customWidth="1"/>
    <col min="15611" max="15611" width="7.21875" style="21" customWidth="1"/>
    <col min="15612" max="15612" width="5.5546875" style="21" customWidth="1"/>
    <col min="15613" max="15613" width="9" style="21" customWidth="1"/>
    <col min="15614" max="15615" width="9.77734375" style="21" customWidth="1"/>
    <col min="15616" max="15616" width="11.21875" style="21" customWidth="1"/>
    <col min="15617" max="15617" width="2.77734375" style="21" customWidth="1"/>
    <col min="15618" max="15618" width="3.5546875" style="21" customWidth="1"/>
    <col min="15619" max="15863" width="9.21875" style="21"/>
    <col min="15864" max="15864" width="8.77734375" style="21" customWidth="1"/>
    <col min="15865" max="15865" width="9.77734375" style="21" customWidth="1"/>
    <col min="15866" max="15866" width="14.44140625" style="21" customWidth="1"/>
    <col min="15867" max="15867" width="7.21875" style="21" customWidth="1"/>
    <col min="15868" max="15868" width="5.5546875" style="21" customWidth="1"/>
    <col min="15869" max="15869" width="9" style="21" customWidth="1"/>
    <col min="15870" max="15871" width="9.77734375" style="21" customWidth="1"/>
    <col min="15872" max="15872" width="11.21875" style="21" customWidth="1"/>
    <col min="15873" max="15873" width="2.77734375" style="21" customWidth="1"/>
    <col min="15874" max="15874" width="3.5546875" style="21" customWidth="1"/>
    <col min="15875" max="16119" width="9.21875" style="21"/>
    <col min="16120" max="16120" width="8.77734375" style="21" customWidth="1"/>
    <col min="16121" max="16121" width="9.77734375" style="21" customWidth="1"/>
    <col min="16122" max="16122" width="14.44140625" style="21" customWidth="1"/>
    <col min="16123" max="16123" width="7.21875" style="21" customWidth="1"/>
    <col min="16124" max="16124" width="5.5546875" style="21" customWidth="1"/>
    <col min="16125" max="16125" width="9" style="21" customWidth="1"/>
    <col min="16126" max="16127" width="9.77734375" style="21" customWidth="1"/>
    <col min="16128" max="16128" width="11.21875" style="21" customWidth="1"/>
    <col min="16129" max="16129" width="2.77734375" style="21" customWidth="1"/>
    <col min="16130" max="16130" width="3.5546875" style="21" customWidth="1"/>
    <col min="16131" max="16384" width="9.21875" style="21"/>
  </cols>
  <sheetData>
    <row r="1" spans="1:8" ht="46.5" customHeight="1" x14ac:dyDescent="0.3">
      <c r="A1" s="168" t="s">
        <v>174</v>
      </c>
      <c r="B1" s="168"/>
      <c r="C1" s="168"/>
      <c r="D1" s="168"/>
      <c r="E1" s="168"/>
      <c r="F1" s="168"/>
      <c r="G1" s="168"/>
      <c r="H1" s="168"/>
    </row>
    <row r="2" spans="1:8" ht="16.5" customHeight="1" x14ac:dyDescent="0.3">
      <c r="A2" s="155" t="s">
        <v>0</v>
      </c>
      <c r="B2" s="155"/>
      <c r="C2" s="155"/>
      <c r="D2" s="155"/>
      <c r="E2" s="155"/>
      <c r="F2" s="155"/>
      <c r="G2" s="155"/>
      <c r="H2" s="155"/>
    </row>
    <row r="3" spans="1:8" x14ac:dyDescent="0.3">
      <c r="A3" s="137" t="s">
        <v>1</v>
      </c>
      <c r="B3" s="137"/>
      <c r="C3" s="137"/>
      <c r="D3" s="137"/>
      <c r="E3" s="137" t="str">
        <f ca="1">TEXT(TODAY(),"DD/MM/YYYY")</f>
        <v>13/08/2025</v>
      </c>
      <c r="F3" s="137"/>
      <c r="G3" s="137"/>
      <c r="H3" s="137"/>
    </row>
    <row r="4" spans="1:8" x14ac:dyDescent="0.3">
      <c r="A4" s="137" t="s">
        <v>2</v>
      </c>
      <c r="B4" s="137"/>
      <c r="C4" s="137"/>
      <c r="D4" s="137"/>
      <c r="E4" s="137" t="s">
        <v>176</v>
      </c>
      <c r="F4" s="137"/>
      <c r="G4" s="137"/>
      <c r="H4" s="137"/>
    </row>
    <row r="5" spans="1:8" x14ac:dyDescent="0.3">
      <c r="A5" s="137" t="s">
        <v>3</v>
      </c>
      <c r="B5" s="137"/>
      <c r="C5" s="137"/>
      <c r="D5" s="137"/>
      <c r="E5" s="169">
        <v>45881</v>
      </c>
      <c r="F5" s="137"/>
      <c r="G5" s="137"/>
      <c r="H5" s="137"/>
    </row>
    <row r="6" spans="1:8" ht="16.5" customHeight="1" x14ac:dyDescent="0.3">
      <c r="A6" s="137" t="s">
        <v>4</v>
      </c>
      <c r="B6" s="137"/>
      <c r="C6" s="137"/>
      <c r="D6" s="137"/>
      <c r="E6" s="137" t="s">
        <v>178</v>
      </c>
      <c r="F6" s="137"/>
      <c r="G6" s="137"/>
      <c r="H6" s="137"/>
    </row>
    <row r="7" spans="1:8" x14ac:dyDescent="0.3">
      <c r="A7" s="137" t="s">
        <v>5</v>
      </c>
      <c r="B7" s="137"/>
      <c r="C7" s="137"/>
      <c r="D7" s="137"/>
      <c r="E7" s="137" t="str">
        <f>E6</f>
        <v>Bhiwandi Developers</v>
      </c>
      <c r="F7" s="137"/>
      <c r="G7" s="137"/>
      <c r="H7" s="137"/>
    </row>
    <row r="8" spans="1:8" x14ac:dyDescent="0.3">
      <c r="A8" s="137" t="s">
        <v>6</v>
      </c>
      <c r="B8" s="137"/>
      <c r="C8" s="137"/>
      <c r="D8" s="137"/>
      <c r="E8" s="76" t="s">
        <v>179</v>
      </c>
      <c r="F8" s="76"/>
      <c r="G8" s="76"/>
      <c r="H8" s="76"/>
    </row>
    <row r="9" spans="1:8" x14ac:dyDescent="0.3">
      <c r="A9" s="137" t="s">
        <v>220</v>
      </c>
      <c r="B9" s="137"/>
      <c r="C9" s="137"/>
      <c r="D9" s="137"/>
      <c r="E9" s="137" t="s">
        <v>180</v>
      </c>
      <c r="F9" s="137"/>
      <c r="G9" s="137"/>
      <c r="H9" s="137"/>
    </row>
    <row r="10" spans="1:8" x14ac:dyDescent="0.3">
      <c r="A10" s="137" t="s">
        <v>219</v>
      </c>
      <c r="B10" s="137"/>
      <c r="C10" s="137"/>
      <c r="D10" s="137"/>
      <c r="E10" s="137" t="s">
        <v>232</v>
      </c>
      <c r="F10" s="137"/>
      <c r="G10" s="137"/>
      <c r="H10" s="137"/>
    </row>
    <row r="11" spans="1:8" ht="48" customHeight="1" x14ac:dyDescent="0.3">
      <c r="A11" s="137" t="s">
        <v>7</v>
      </c>
      <c r="B11" s="137"/>
      <c r="C11" s="137"/>
      <c r="D11" s="137"/>
      <c r="E11" s="136" t="s">
        <v>181</v>
      </c>
      <c r="F11" s="137"/>
      <c r="G11" s="137"/>
      <c r="H11" s="137"/>
    </row>
    <row r="12" spans="1:8" x14ac:dyDescent="0.3">
      <c r="A12" s="98" t="s">
        <v>8</v>
      </c>
      <c r="B12" s="98"/>
      <c r="C12" s="98"/>
      <c r="D12" s="98"/>
      <c r="E12" s="136" t="s">
        <v>182</v>
      </c>
      <c r="F12" s="136"/>
      <c r="G12" s="136"/>
      <c r="H12" s="136"/>
    </row>
    <row r="13" spans="1:8" x14ac:dyDescent="0.3">
      <c r="A13" s="98" t="s">
        <v>9</v>
      </c>
      <c r="B13" s="98"/>
      <c r="C13" s="98"/>
      <c r="D13" s="98"/>
      <c r="E13" s="136" t="s">
        <v>183</v>
      </c>
      <c r="F13" s="137"/>
      <c r="G13" s="137"/>
      <c r="H13" s="137"/>
    </row>
    <row r="14" spans="1:8" ht="32.25" customHeight="1" x14ac:dyDescent="0.3">
      <c r="A14" s="135" t="s">
        <v>10</v>
      </c>
      <c r="B14" s="135"/>
      <c r="C14" s="135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Star Homes, Survey No.109/1/2/3/6/8/1, near Global Hospital, Bhandari Road, Balaji Nagar, Narpoli, Bhiwandi, Bhiwandi, Thane - 421302.</v>
      </c>
      <c r="D14" s="135"/>
      <c r="E14" s="135"/>
      <c r="F14" s="135"/>
      <c r="G14" s="135"/>
      <c r="H14" s="135"/>
    </row>
    <row r="15" spans="1:8" x14ac:dyDescent="0.3">
      <c r="A15" s="136" t="s">
        <v>184</v>
      </c>
      <c r="B15" s="136"/>
      <c r="C15" s="136" t="s">
        <v>185</v>
      </c>
      <c r="D15" s="136"/>
      <c r="E15" s="136"/>
      <c r="F15" s="136"/>
      <c r="G15" s="136"/>
      <c r="H15" s="136"/>
    </row>
    <row r="16" spans="1:8" ht="15.75" customHeight="1" x14ac:dyDescent="0.3">
      <c r="A16" s="136" t="s">
        <v>171</v>
      </c>
      <c r="B16" s="136"/>
      <c r="C16" s="136" t="s">
        <v>211</v>
      </c>
      <c r="D16" s="136"/>
      <c r="E16" s="136"/>
      <c r="F16" s="136"/>
      <c r="G16" s="136"/>
      <c r="H16" s="136"/>
    </row>
    <row r="17" spans="1:8" ht="15.75" customHeight="1" x14ac:dyDescent="0.3">
      <c r="A17" s="135" t="s">
        <v>11</v>
      </c>
      <c r="B17" s="135"/>
      <c r="C17" s="137" t="s">
        <v>213</v>
      </c>
      <c r="D17" s="137"/>
      <c r="E17" s="136" t="s">
        <v>75</v>
      </c>
      <c r="F17" s="136"/>
      <c r="G17" s="136" t="s">
        <v>188</v>
      </c>
      <c r="H17" s="136"/>
    </row>
    <row r="18" spans="1:8" x14ac:dyDescent="0.3">
      <c r="A18" s="98" t="s">
        <v>13</v>
      </c>
      <c r="B18" s="98"/>
      <c r="C18" s="136" t="s">
        <v>187</v>
      </c>
      <c r="D18" s="136"/>
      <c r="E18" s="136" t="s">
        <v>12</v>
      </c>
      <c r="F18" s="136"/>
      <c r="G18" s="170" t="s">
        <v>186</v>
      </c>
      <c r="H18" s="170"/>
    </row>
    <row r="19" spans="1:8" x14ac:dyDescent="0.3">
      <c r="A19" s="98" t="s">
        <v>76</v>
      </c>
      <c r="B19" s="98"/>
      <c r="C19" s="136" t="s">
        <v>187</v>
      </c>
      <c r="D19" s="136"/>
      <c r="E19" s="136" t="s">
        <v>14</v>
      </c>
      <c r="F19" s="136"/>
      <c r="G19" s="136">
        <v>421302</v>
      </c>
      <c r="H19" s="136"/>
    </row>
    <row r="20" spans="1:8" ht="32.25" customHeight="1" x14ac:dyDescent="0.3">
      <c r="A20" s="98" t="s">
        <v>128</v>
      </c>
      <c r="B20" s="98"/>
      <c r="C20" s="136" t="s">
        <v>215</v>
      </c>
      <c r="D20" s="136"/>
      <c r="E20" s="136" t="s">
        <v>15</v>
      </c>
      <c r="F20" s="136"/>
      <c r="G20" s="136" t="s">
        <v>214</v>
      </c>
      <c r="H20" s="136"/>
    </row>
    <row r="21" spans="1:8" ht="15" customHeight="1" x14ac:dyDescent="0.3">
      <c r="A21" s="135" t="s">
        <v>79</v>
      </c>
      <c r="B21" s="135"/>
      <c r="C21" s="135"/>
      <c r="D21" s="135"/>
      <c r="E21" s="137" t="s">
        <v>16</v>
      </c>
      <c r="F21" s="137"/>
      <c r="G21" s="137"/>
      <c r="H21" s="137"/>
    </row>
    <row r="22" spans="1:8" ht="18.75" customHeight="1" x14ac:dyDescent="0.3">
      <c r="A22" s="135"/>
      <c r="B22" s="135"/>
      <c r="C22" s="135"/>
      <c r="D22" s="135"/>
      <c r="E22" s="137"/>
      <c r="F22" s="137"/>
      <c r="G22" s="137"/>
      <c r="H22" s="137"/>
    </row>
    <row r="23" spans="1:8" ht="15" customHeight="1" x14ac:dyDescent="0.3">
      <c r="A23" s="135" t="s">
        <v>17</v>
      </c>
      <c r="B23" s="135"/>
      <c r="C23" s="135"/>
      <c r="D23" s="135"/>
      <c r="E23" s="136" t="s">
        <v>18</v>
      </c>
      <c r="F23" s="136"/>
      <c r="G23" s="136"/>
      <c r="H23" s="136"/>
    </row>
    <row r="24" spans="1:8" ht="15" customHeight="1" x14ac:dyDescent="0.3">
      <c r="A24" s="98" t="s">
        <v>19</v>
      </c>
      <c r="B24" s="98"/>
      <c r="C24" s="98"/>
      <c r="D24" s="98"/>
      <c r="E24" s="136" t="str">
        <f>IF(AND(G18="Mumbai"),"Upper Class","Middle Class")</f>
        <v>Middle Class</v>
      </c>
      <c r="F24" s="136"/>
      <c r="G24" s="136"/>
      <c r="H24" s="136"/>
    </row>
    <row r="25" spans="1:8" x14ac:dyDescent="0.3">
      <c r="A25" s="98" t="s">
        <v>20</v>
      </c>
      <c r="B25" s="98"/>
      <c r="C25" s="98"/>
      <c r="D25" s="98"/>
      <c r="E25" s="136" t="s">
        <v>21</v>
      </c>
      <c r="F25" s="136"/>
      <c r="G25" s="136"/>
      <c r="H25" s="136"/>
    </row>
    <row r="26" spans="1:8" ht="15.75" customHeight="1" x14ac:dyDescent="0.3">
      <c r="A26" s="98" t="s">
        <v>22</v>
      </c>
      <c r="B26" s="98"/>
      <c r="C26" s="98"/>
      <c r="D26" s="98"/>
      <c r="E26" s="136" t="str">
        <f>IF(AND(G18="Mumbai"),"Developed","Developing")</f>
        <v>Developing</v>
      </c>
      <c r="F26" s="136"/>
      <c r="G26" s="136"/>
      <c r="H26" s="136"/>
    </row>
    <row r="27" spans="1:8" x14ac:dyDescent="0.3">
      <c r="A27" s="98" t="s">
        <v>23</v>
      </c>
      <c r="B27" s="98"/>
      <c r="C27" s="98"/>
      <c r="D27" s="98"/>
      <c r="E27" s="136" t="s">
        <v>24</v>
      </c>
      <c r="F27" s="136"/>
      <c r="G27" s="136"/>
      <c r="H27" s="136"/>
    </row>
    <row r="28" spans="1:8" ht="15.75" customHeight="1" x14ac:dyDescent="0.3">
      <c r="A28" s="98" t="s">
        <v>84</v>
      </c>
      <c r="B28" s="98"/>
      <c r="C28" s="98"/>
      <c r="D28" s="98"/>
      <c r="E28" s="136" t="s">
        <v>85</v>
      </c>
      <c r="F28" s="136"/>
      <c r="G28" s="136"/>
      <c r="H28" s="136"/>
    </row>
    <row r="29" spans="1:8" ht="15" customHeight="1" x14ac:dyDescent="0.3">
      <c r="A29" s="98" t="s">
        <v>33</v>
      </c>
      <c r="B29" s="98"/>
      <c r="C29" s="98"/>
      <c r="D29" s="98"/>
      <c r="E29" s="136" t="str">
        <f>IF(AND(ISNUMBER(SEARCH("Flat",D57)),ISNUMBER(SEARCH("Shop",D57)),ISNUMBER(SEARCH("Office",D57))),"Residential + Commercial",IF(AND(ISNUMBER(SEARCH("Flat",D57)),ISNUMBER(SEARCH("Shop",D57))),"Residential + Commercial",IF(AND(ISNUMBER(SEARCH("Flat",D57)),ISNUMBER(SEARCH("Office",D57))),"Residential + Commercial",IF(AND(ISNUMBER(SEARCH("Shop",D57)),ISNUMBER(SEARCH("Office",D57))),"Commercial",IF(ISNUMBER(SEARCH("Shop",D57)),"Commercial",IF(ISNUMBER(SEARCH("Office",D57)),"Commercial",IF(ISNUMBER(SEARCH("Flat",D57)),"Residential")))))))</f>
        <v>Residential + Commercial</v>
      </c>
      <c r="F29" s="136"/>
      <c r="G29" s="136"/>
      <c r="H29" s="136"/>
    </row>
    <row r="30" spans="1:8" ht="15.75" customHeight="1" x14ac:dyDescent="0.3">
      <c r="A30" s="98" t="s">
        <v>96</v>
      </c>
      <c r="B30" s="98"/>
      <c r="C30" s="98"/>
      <c r="D30" s="98"/>
      <c r="E30" s="136" t="s">
        <v>34</v>
      </c>
      <c r="F30" s="136"/>
      <c r="G30" s="136"/>
      <c r="H30" s="136"/>
    </row>
    <row r="31" spans="1:8" s="22" customFormat="1" x14ac:dyDescent="0.3">
      <c r="A31" s="174" t="s">
        <v>97</v>
      </c>
      <c r="B31" s="174"/>
      <c r="C31" s="171" t="s">
        <v>29</v>
      </c>
      <c r="D31" s="171"/>
      <c r="E31" s="171"/>
      <c r="F31" s="171" t="s">
        <v>31</v>
      </c>
      <c r="G31" s="171"/>
      <c r="H31" s="171"/>
    </row>
    <row r="32" spans="1:8" s="22" customFormat="1" x14ac:dyDescent="0.3">
      <c r="A32" s="173" t="s">
        <v>25</v>
      </c>
      <c r="B32" s="173" t="s">
        <v>30</v>
      </c>
      <c r="C32" s="175" t="s">
        <v>30</v>
      </c>
      <c r="D32" s="175"/>
      <c r="E32" s="175"/>
      <c r="F32" s="172" t="s">
        <v>217</v>
      </c>
      <c r="G32" s="172"/>
      <c r="H32" s="172"/>
    </row>
    <row r="33" spans="1:8" x14ac:dyDescent="0.3">
      <c r="A33" s="173" t="s">
        <v>26</v>
      </c>
      <c r="B33" s="173" t="s">
        <v>30</v>
      </c>
      <c r="C33" s="175" t="s">
        <v>30</v>
      </c>
      <c r="D33" s="175"/>
      <c r="E33" s="175"/>
      <c r="F33" s="175" t="s">
        <v>212</v>
      </c>
      <c r="G33" s="175"/>
      <c r="H33" s="175"/>
    </row>
    <row r="34" spans="1:8" s="22" customFormat="1" x14ac:dyDescent="0.3">
      <c r="A34" s="173" t="s">
        <v>28</v>
      </c>
      <c r="B34" s="173" t="s">
        <v>30</v>
      </c>
      <c r="C34" s="175" t="s">
        <v>30</v>
      </c>
      <c r="D34" s="175"/>
      <c r="E34" s="175"/>
      <c r="F34" s="172" t="s">
        <v>217</v>
      </c>
      <c r="G34" s="172"/>
      <c r="H34" s="172"/>
    </row>
    <row r="35" spans="1:8" x14ac:dyDescent="0.3">
      <c r="A35" s="173" t="s">
        <v>27</v>
      </c>
      <c r="B35" s="173" t="s">
        <v>30</v>
      </c>
      <c r="C35" s="175" t="s">
        <v>30</v>
      </c>
      <c r="D35" s="175"/>
      <c r="E35" s="175"/>
      <c r="F35" s="175" t="s">
        <v>213</v>
      </c>
      <c r="G35" s="175"/>
      <c r="H35" s="175"/>
    </row>
    <row r="36" spans="1:8" x14ac:dyDescent="0.3">
      <c r="A36" s="98" t="s">
        <v>32</v>
      </c>
      <c r="B36" s="98"/>
      <c r="C36" s="98"/>
      <c r="D36" s="98"/>
      <c r="E36" s="98"/>
      <c r="F36" s="98"/>
      <c r="G36" s="98"/>
      <c r="H36" s="98"/>
    </row>
    <row r="37" spans="1:8" ht="15.75" customHeight="1" x14ac:dyDescent="0.3">
      <c r="A37" s="155" t="s">
        <v>175</v>
      </c>
      <c r="B37" s="155"/>
      <c r="C37" s="162" t="s">
        <v>210</v>
      </c>
      <c r="D37" s="162"/>
      <c r="E37" s="162"/>
      <c r="F37" s="162"/>
      <c r="G37" s="162"/>
      <c r="H37" s="162"/>
    </row>
    <row r="38" spans="1:8" x14ac:dyDescent="0.3">
      <c r="A38" s="155" t="s">
        <v>170</v>
      </c>
      <c r="B38" s="155"/>
      <c r="C38" s="185" t="s">
        <v>209</v>
      </c>
      <c r="D38" s="136"/>
      <c r="E38" s="136"/>
      <c r="F38" s="136"/>
      <c r="G38" s="136"/>
      <c r="H38" s="136"/>
    </row>
    <row r="39" spans="1:8" x14ac:dyDescent="0.3">
      <c r="A39" s="162" t="s">
        <v>35</v>
      </c>
      <c r="B39" s="162"/>
      <c r="C39" s="162"/>
      <c r="D39" s="162"/>
      <c r="E39" s="162"/>
      <c r="F39" s="162"/>
      <c r="G39" s="162"/>
      <c r="H39" s="162"/>
    </row>
    <row r="40" spans="1:8" x14ac:dyDescent="0.3">
      <c r="A40" s="98" t="s">
        <v>36</v>
      </c>
      <c r="B40" s="98"/>
      <c r="C40" s="98"/>
      <c r="D40" s="98"/>
      <c r="E40" s="176">
        <v>6547.17</v>
      </c>
      <c r="F40" s="176"/>
      <c r="G40" s="176"/>
      <c r="H40" s="176"/>
    </row>
    <row r="41" spans="1:8" x14ac:dyDescent="0.3">
      <c r="A41" s="98" t="s">
        <v>37</v>
      </c>
      <c r="B41" s="98"/>
      <c r="C41" s="98"/>
      <c r="D41" s="98"/>
      <c r="E41" s="97">
        <v>1.1000000000000001</v>
      </c>
      <c r="F41" s="97"/>
      <c r="G41" s="97"/>
      <c r="H41" s="97"/>
    </row>
    <row r="42" spans="1:8" x14ac:dyDescent="0.3">
      <c r="A42" s="98" t="s">
        <v>38</v>
      </c>
      <c r="B42" s="98"/>
      <c r="C42" s="98"/>
      <c r="D42" s="98"/>
      <c r="E42" s="97">
        <f>E44/E40-E41</f>
        <v>0.65889735565137286</v>
      </c>
      <c r="F42" s="97"/>
      <c r="G42" s="97"/>
      <c r="H42" s="97"/>
    </row>
    <row r="43" spans="1:8" x14ac:dyDescent="0.3">
      <c r="A43" s="98" t="s">
        <v>39</v>
      </c>
      <c r="B43" s="98"/>
      <c r="C43" s="98"/>
      <c r="D43" s="98"/>
      <c r="E43" s="97">
        <f>E41+E42</f>
        <v>1.758897355651373</v>
      </c>
      <c r="F43" s="97"/>
      <c r="G43" s="97"/>
      <c r="H43" s="97"/>
    </row>
    <row r="44" spans="1:8" x14ac:dyDescent="0.3">
      <c r="A44" s="98" t="s">
        <v>95</v>
      </c>
      <c r="B44" s="98"/>
      <c r="C44" s="98"/>
      <c r="D44" s="98"/>
      <c r="E44" s="179">
        <v>11515.8</v>
      </c>
      <c r="F44" s="179"/>
      <c r="G44" s="179"/>
      <c r="H44" s="179"/>
    </row>
    <row r="45" spans="1:8" x14ac:dyDescent="0.3">
      <c r="A45" s="137" t="s">
        <v>40</v>
      </c>
      <c r="B45" s="137"/>
      <c r="C45" s="137"/>
      <c r="D45" s="137"/>
      <c r="E45" s="137" t="s">
        <v>207</v>
      </c>
      <c r="F45" s="137"/>
      <c r="G45" s="137"/>
      <c r="H45" s="137"/>
    </row>
    <row r="46" spans="1:8" x14ac:dyDescent="0.3">
      <c r="A46" s="162" t="s">
        <v>41</v>
      </c>
      <c r="B46" s="162"/>
      <c r="C46" s="162"/>
      <c r="D46" s="162"/>
      <c r="E46" s="162"/>
      <c r="F46" s="162"/>
      <c r="G46" s="162"/>
      <c r="H46" s="162"/>
    </row>
    <row r="47" spans="1:8" ht="33.75" customHeight="1" x14ac:dyDescent="0.3">
      <c r="A47" s="114" t="s">
        <v>157</v>
      </c>
      <c r="B47" s="115"/>
      <c r="C47" s="186" t="s">
        <v>189</v>
      </c>
      <c r="D47" s="187"/>
      <c r="E47" s="187"/>
      <c r="F47" s="187"/>
      <c r="G47" s="187"/>
      <c r="H47" s="188"/>
    </row>
    <row r="48" spans="1:8" ht="15.75" customHeight="1" x14ac:dyDescent="0.3">
      <c r="A48" s="114" t="s">
        <v>42</v>
      </c>
      <c r="B48" s="115"/>
      <c r="C48" s="114" t="s">
        <v>190</v>
      </c>
      <c r="D48" s="116"/>
      <c r="E48" s="115"/>
      <c r="F48" s="18" t="s">
        <v>43</v>
      </c>
      <c r="G48" s="117">
        <v>44741</v>
      </c>
      <c r="H48" s="115"/>
    </row>
    <row r="49" spans="1:14" x14ac:dyDescent="0.3">
      <c r="A49" s="114" t="s">
        <v>44</v>
      </c>
      <c r="B49" s="115"/>
      <c r="C49" s="114" t="str">
        <f>C48</f>
        <v>EE/BP/PMAY/A/MHADA/345/2022</v>
      </c>
      <c r="D49" s="116"/>
      <c r="E49" s="115"/>
      <c r="F49" s="18" t="s">
        <v>43</v>
      </c>
      <c r="G49" s="117">
        <f>G48</f>
        <v>44741</v>
      </c>
      <c r="H49" s="118"/>
    </row>
    <row r="50" spans="1:14" s="23" customFormat="1" ht="15.75" customHeight="1" x14ac:dyDescent="0.3">
      <c r="A50" s="143" t="s">
        <v>161</v>
      </c>
      <c r="B50" s="144"/>
      <c r="C50" s="114" t="s">
        <v>191</v>
      </c>
      <c r="D50" s="116"/>
      <c r="E50" s="115"/>
      <c r="F50" s="18" t="s">
        <v>43</v>
      </c>
      <c r="G50" s="117">
        <v>44812</v>
      </c>
      <c r="H50" s="118"/>
    </row>
    <row r="51" spans="1:14" s="23" customFormat="1" ht="63" customHeight="1" x14ac:dyDescent="0.3">
      <c r="A51" s="145"/>
      <c r="B51" s="146"/>
      <c r="C51" s="114" t="s">
        <v>192</v>
      </c>
      <c r="D51" s="116"/>
      <c r="E51" s="115"/>
      <c r="F51" s="18" t="s">
        <v>127</v>
      </c>
      <c r="G51" s="117">
        <v>45176</v>
      </c>
      <c r="H51" s="115"/>
    </row>
    <row r="52" spans="1:14" s="23" customFormat="1" ht="15.75" customHeight="1" x14ac:dyDescent="0.3">
      <c r="A52" s="143" t="s">
        <v>161</v>
      </c>
      <c r="B52" s="144"/>
      <c r="C52" s="114" t="s">
        <v>227</v>
      </c>
      <c r="D52" s="116"/>
      <c r="E52" s="115"/>
      <c r="F52" s="18" t="s">
        <v>43</v>
      </c>
      <c r="G52" s="117">
        <v>44980</v>
      </c>
      <c r="H52" s="118"/>
    </row>
    <row r="53" spans="1:14" s="23" customFormat="1" ht="66" customHeight="1" x14ac:dyDescent="0.3">
      <c r="A53" s="145"/>
      <c r="B53" s="146"/>
      <c r="C53" s="114" t="s">
        <v>228</v>
      </c>
      <c r="D53" s="116"/>
      <c r="E53" s="116"/>
      <c r="F53" s="116"/>
      <c r="G53" s="116"/>
      <c r="H53" s="115"/>
    </row>
    <row r="54" spans="1:14" ht="33" customHeight="1" x14ac:dyDescent="0.3">
      <c r="A54" s="131" t="s">
        <v>45</v>
      </c>
      <c r="B54" s="132"/>
      <c r="C54" s="131" t="s">
        <v>109</v>
      </c>
      <c r="D54" s="133"/>
      <c r="E54" s="132"/>
      <c r="F54" s="46" t="s">
        <v>43</v>
      </c>
      <c r="G54" s="138" t="s">
        <v>30</v>
      </c>
      <c r="H54" s="139"/>
    </row>
    <row r="55" spans="1:14" x14ac:dyDescent="0.3">
      <c r="A55" s="134" t="s">
        <v>47</v>
      </c>
      <c r="B55" s="134"/>
      <c r="C55" s="134"/>
      <c r="D55" s="134"/>
      <c r="E55" s="134"/>
      <c r="F55" s="134"/>
      <c r="G55" s="134"/>
      <c r="H55" s="134"/>
    </row>
    <row r="56" spans="1:14" x14ac:dyDescent="0.3">
      <c r="A56" s="135" t="s">
        <v>94</v>
      </c>
      <c r="B56" s="135"/>
      <c r="C56" s="135"/>
      <c r="D56" s="98">
        <f>E44</f>
        <v>11515.8</v>
      </c>
      <c r="E56" s="98"/>
      <c r="F56" s="98"/>
      <c r="G56" s="98"/>
      <c r="H56" s="98"/>
    </row>
    <row r="57" spans="1:14" x14ac:dyDescent="0.3">
      <c r="A57" s="136" t="s">
        <v>48</v>
      </c>
      <c r="B57" s="137"/>
      <c r="C57" s="137"/>
      <c r="D57" s="137" t="s">
        <v>208</v>
      </c>
      <c r="E57" s="137"/>
      <c r="F57" s="137"/>
      <c r="G57" s="137"/>
      <c r="H57" s="137"/>
      <c r="I57" s="24"/>
    </row>
    <row r="58" spans="1:14" ht="48.75" customHeight="1" x14ac:dyDescent="0.3">
      <c r="A58" s="119" t="s">
        <v>49</v>
      </c>
      <c r="B58" s="120"/>
      <c r="C58" s="164"/>
      <c r="D58" s="166" t="s">
        <v>222</v>
      </c>
      <c r="E58" s="181"/>
      <c r="F58" s="181"/>
      <c r="G58" s="181"/>
      <c r="H58" s="181"/>
    </row>
    <row r="59" spans="1:14" ht="15.75" customHeight="1" x14ac:dyDescent="0.3">
      <c r="A59" s="119" t="s">
        <v>92</v>
      </c>
      <c r="B59" s="120"/>
      <c r="C59" s="120"/>
      <c r="D59" s="125" t="s">
        <v>223</v>
      </c>
      <c r="E59" s="126"/>
      <c r="F59" s="126"/>
      <c r="G59" s="126"/>
      <c r="H59" s="127"/>
    </row>
    <row r="60" spans="1:14" ht="15.75" customHeight="1" x14ac:dyDescent="0.3">
      <c r="A60" s="121"/>
      <c r="B60" s="122"/>
      <c r="C60" s="122"/>
      <c r="D60" s="128" t="s">
        <v>224</v>
      </c>
      <c r="E60" s="129"/>
      <c r="F60" s="129"/>
      <c r="G60" s="129"/>
      <c r="H60" s="130"/>
    </row>
    <row r="61" spans="1:14" ht="15.75" customHeight="1" x14ac:dyDescent="0.3">
      <c r="A61" s="123"/>
      <c r="B61" s="124"/>
      <c r="C61" s="124"/>
      <c r="D61" s="140" t="s">
        <v>225</v>
      </c>
      <c r="E61" s="141"/>
      <c r="F61" s="141"/>
      <c r="G61" s="141"/>
      <c r="H61" s="142"/>
    </row>
    <row r="62" spans="1:14" ht="15.75" customHeight="1" x14ac:dyDescent="0.3">
      <c r="A62" s="98" t="s">
        <v>46</v>
      </c>
      <c r="B62" s="98"/>
      <c r="C62" s="98"/>
      <c r="D62" s="177" t="s">
        <v>233</v>
      </c>
      <c r="E62" s="177"/>
      <c r="F62" s="177"/>
      <c r="G62" s="177"/>
      <c r="H62" s="177"/>
      <c r="J62" s="25"/>
      <c r="K62" s="24"/>
      <c r="N62" s="24"/>
    </row>
    <row r="63" spans="1:14" ht="15.75" customHeight="1" x14ac:dyDescent="0.3">
      <c r="A63" s="98" t="s">
        <v>90</v>
      </c>
      <c r="B63" s="98"/>
      <c r="C63" s="98"/>
      <c r="D63" s="178" t="str">
        <f>(IF(G54="NA","60 Years After Completion",IF(G54&lt;&gt;"NA",""&amp;60-ROUNDDOWN((E3-G54)/360,0)&amp;" Years"," ")))</f>
        <v>60 Years After Completion</v>
      </c>
      <c r="E63" s="178"/>
      <c r="F63" s="178"/>
      <c r="G63" s="178"/>
      <c r="H63" s="178"/>
      <c r="N63" s="24"/>
    </row>
    <row r="64" spans="1:14" ht="15.75" customHeight="1" x14ac:dyDescent="0.3">
      <c r="A64" s="98" t="s">
        <v>91</v>
      </c>
      <c r="B64" s="98"/>
      <c r="C64" s="98"/>
      <c r="D64" s="135" t="s">
        <v>24</v>
      </c>
      <c r="E64" s="135"/>
      <c r="F64" s="135"/>
      <c r="G64" s="135"/>
      <c r="H64" s="135"/>
      <c r="J64" s="26"/>
      <c r="K64" s="26"/>
    </row>
    <row r="65" spans="1:14" hidden="1" x14ac:dyDescent="0.3">
      <c r="A65" s="98" t="s">
        <v>77</v>
      </c>
      <c r="B65" s="98"/>
      <c r="C65" s="98"/>
      <c r="D65" s="136" t="s">
        <v>173</v>
      </c>
      <c r="E65" s="136"/>
      <c r="F65" s="136"/>
      <c r="G65" s="136"/>
      <c r="H65" s="136"/>
    </row>
    <row r="66" spans="1:14" x14ac:dyDescent="0.3">
      <c r="A66" s="135" t="s">
        <v>154</v>
      </c>
      <c r="B66" s="135"/>
      <c r="C66" s="135"/>
      <c r="D66" s="135" t="s">
        <v>30</v>
      </c>
      <c r="E66" s="135"/>
      <c r="F66" s="135"/>
      <c r="G66" s="135"/>
      <c r="H66" s="135"/>
      <c r="I66" s="27"/>
      <c r="J66" s="27"/>
      <c r="K66" s="27"/>
      <c r="L66" s="27"/>
      <c r="M66" s="27"/>
      <c r="N66" s="27"/>
    </row>
    <row r="67" spans="1:14" ht="15.75" customHeight="1" x14ac:dyDescent="0.3">
      <c r="A67" s="167" t="s">
        <v>89</v>
      </c>
      <c r="B67" s="167"/>
      <c r="C67" s="167"/>
      <c r="D67" s="166" t="str">
        <f ca="1">(IF(G115&gt;95%,"Nothing",IF(G115&gt;0%,"Cement, Aggregate, Steel, etc",IF(G115=0%,"Work not yet Started"))))</f>
        <v>Cement, Aggregate, Steel, etc</v>
      </c>
      <c r="E67" s="166"/>
      <c r="F67" s="166"/>
      <c r="G67" s="166"/>
      <c r="H67" s="166"/>
      <c r="J67" s="26"/>
    </row>
    <row r="68" spans="1:14" ht="33.75" customHeight="1" thickBot="1" x14ac:dyDescent="0.35">
      <c r="A68" s="165" t="s">
        <v>122</v>
      </c>
      <c r="B68" s="165"/>
      <c r="C68" s="165"/>
      <c r="D68" s="166" t="str">
        <f ca="1">(IF(D67="Nothing","Yes",IF(D67="Cement, Aggregate, Steel, etc","Under Construction",IF(D67="Work not yet Started","Work not yet Started"))))</f>
        <v>Under Construction</v>
      </c>
      <c r="E68" s="166"/>
      <c r="F68" s="166" t="str">
        <f ca="1">(IF(D67="Nothing","Yes",IF(D67="Cement, Aggregate, Steel, etc","Under Construction",IF(D67="Work not yet Started","Work not yet Started"))))</f>
        <v>Under Construction</v>
      </c>
      <c r="G68" s="166"/>
      <c r="H68" s="166"/>
    </row>
    <row r="69" spans="1:14" ht="15.75" customHeight="1" x14ac:dyDescent="0.3">
      <c r="A69" s="70" t="s">
        <v>146</v>
      </c>
      <c r="B69" s="71"/>
      <c r="C69" s="72" t="s">
        <v>234</v>
      </c>
      <c r="D69" s="73"/>
      <c r="E69" s="73"/>
      <c r="F69" s="73"/>
      <c r="G69" s="73"/>
      <c r="H69" s="74"/>
      <c r="I69" s="49" t="str">
        <f ca="1">IF(D82=100%,"All work Completed. Possession granted to the Building.",IF(D81=100%,"All work Completed, Waiting for OC",I70&amp;""&amp;I71&amp;""&amp;J70&amp;""&amp;J69&amp;" "&amp;J71))</f>
        <v>Excavation, Plinth, RCC Slab, Brickwork, Internal Plaster Completed, External Plaster upto 4 Floor Completed</v>
      </c>
      <c r="J69" s="50" t="str">
        <f ca="1">(IF(C75=(D70+F70+H70),"",IF(C75&gt;0,", RCC upto "&amp;C75&amp;" Slab","")))&amp;(IF(C76=H70,"",IF(C76&gt;0,", Brickwork upto "&amp;C76&amp;" Floor","")))&amp;(IF(C77=H70,"",IF(C77&gt;0,", Internal Plaster upto "&amp;C77&amp;" Floor","")))&amp;(IF(C78=H70,"",IF(C78&gt;0,", External Plaster upto "&amp;C78&amp;" Floor","")))&amp;(IF(C79=H70,"",IF(C79&gt;0,", Flooring upto "&amp;C79&amp;" Floor","")))&amp;(IF(C80=H70,"",IF(C80&gt;0,", Painting upto "&amp;C80&amp;" Floor","")))&amp;(IF(C81=H70,"",IF(C81&gt;0,", Finishing upto "&amp;C81&amp;" Floor","")))&amp;(IF(C82=H70,"",IF(C82&gt;0,", Possession upto "&amp;C82&amp;" Floor","")))</f>
        <v>, External Plaster upto 4 Floor</v>
      </c>
    </row>
    <row r="70" spans="1:14" x14ac:dyDescent="0.3">
      <c r="A70" s="16" t="s">
        <v>148</v>
      </c>
      <c r="B70" s="56">
        <v>0</v>
      </c>
      <c r="C70" s="56" t="s">
        <v>74</v>
      </c>
      <c r="D70" s="56">
        <v>1</v>
      </c>
      <c r="E70" s="56" t="s">
        <v>73</v>
      </c>
      <c r="F70" s="56">
        <v>0</v>
      </c>
      <c r="G70" s="48" t="s">
        <v>83</v>
      </c>
      <c r="H70" s="17">
        <f ca="1">--TRIM(RIGHT(SUBSTITUTE(LEFT(C69,_xlfn.AGGREGATE(16,6,FIND({0,1,2,3,4,5,6,7,8,9},C69,ROW(INDIRECT("1:"&amp;LEN(C69)))),1))," ",REPT(" ",LEN(C69))),LEN(C69)))</f>
        <v>7</v>
      </c>
      <c r="I70" s="51" t="str">
        <f ca="1">IF(D73=100%,"Excavation","")&amp;IF(D74=100%,", Plinth","")&amp;IF(D75=100%,", RCC Slab","")&amp;IF(D76=100%,", Brickwork","")&amp;IF(D77=100%,", Internal Plaster","")&amp;IF(D78=100%,", External Plaster","")&amp;IF(D79=100%,", Flooring","")&amp;IF(D80=100%,", Painting","")&amp;IF(D81=100%,", Building common Amenities","")</f>
        <v>Excavation, Plinth, RCC Slab, Brickwork, Internal Plaster</v>
      </c>
      <c r="J70" s="52" t="str">
        <f ca="1">(IF(C73=0,"Work not yet Started.",IF(D73=25%,"Piling work in process",IF(D73=50%,"Excavation work in process",IF(D73=100%,"","0")))))&amp;(IF(C74=0%,"",IF(C74=J75,", Footing work is process",IF(C74=J76,", Footing work Completed",IF(C74=J77,", 1st Basement Completed",IF(C74=J78,", 1st &amp; 2nd Basement Completed",IF(C74=J79,", 1st to 3rd Basement Completed",IF(C74=J80,", 1st to 4th Basement Completed",IF(C74=J81,", Plinth work is process",IF(C74=J82,"","0"))))))))))</f>
        <v/>
      </c>
    </row>
    <row r="71" spans="1:14" ht="31.05" customHeight="1" x14ac:dyDescent="0.3">
      <c r="A71" s="75" t="s">
        <v>93</v>
      </c>
      <c r="B71" s="76"/>
      <c r="C71" s="77" t="str">
        <f ca="1">I69</f>
        <v>Excavation, Plinth, RCC Slab, Brickwork, Internal Plaster Completed, External Plaster upto 4 Floor Completed</v>
      </c>
      <c r="D71" s="77"/>
      <c r="E71" s="77"/>
      <c r="F71" s="77"/>
      <c r="G71" s="77"/>
      <c r="H71" s="78"/>
      <c r="I71" s="51" t="str">
        <f ca="1">IF(I70&lt;&gt;""," Completed","")</f>
        <v xml:space="preserve"> Completed</v>
      </c>
      <c r="J71" s="52" t="str">
        <f ca="1">IF(J69&lt;&gt;"","Completed","")</f>
        <v>Completed</v>
      </c>
    </row>
    <row r="72" spans="1:14" ht="15.75" customHeight="1" x14ac:dyDescent="0.3">
      <c r="A72" s="59" t="s">
        <v>50</v>
      </c>
      <c r="B72" s="60"/>
      <c r="C72" s="44" t="s">
        <v>145</v>
      </c>
      <c r="D72" s="44" t="s">
        <v>86</v>
      </c>
      <c r="E72" s="60" t="s">
        <v>88</v>
      </c>
      <c r="F72" s="60"/>
      <c r="G72" s="60" t="s">
        <v>87</v>
      </c>
      <c r="H72" s="79"/>
      <c r="I72" s="14" t="s">
        <v>147</v>
      </c>
      <c r="J72" s="28">
        <f ca="1">H70*25%</f>
        <v>1.75</v>
      </c>
    </row>
    <row r="73" spans="1:14" x14ac:dyDescent="0.3">
      <c r="A73" s="59" t="s">
        <v>134</v>
      </c>
      <c r="B73" s="60"/>
      <c r="C73" s="44">
        <f ca="1">J74</f>
        <v>7</v>
      </c>
      <c r="D73" s="19">
        <f ca="1">((100/H70)*C73)/100</f>
        <v>1</v>
      </c>
      <c r="E73" s="80">
        <f ca="1">(((C74/H70*10)+(40/(D70+F70+H70)*C75)+(7.5/(H70)*C76)+(7.5/(H70)*C77)+(10/H70*C78)+(10/H70*C79)+(5/H70*C80)+(5/H70*C81)+(5/H70*C82))/100)</f>
        <v>0.70714285714285707</v>
      </c>
      <c r="F73" s="81"/>
      <c r="G73" s="80">
        <f ca="1">((((C73/H70)*20)+((C74/H70)*25)+(30/(H70+F70+D70)*C75)+(5/H70*C76)+(5/H70*C77)+(5/H70*C78)+(5/H70*C79)+(0/H70*C80)+(0/H70*C81)+(5/H70*C82))/100)</f>
        <v>0.87857142857142856</v>
      </c>
      <c r="H73" s="86"/>
      <c r="I73" s="14" t="s">
        <v>104</v>
      </c>
      <c r="J73" s="29">
        <f ca="1">H70*50%</f>
        <v>3.5</v>
      </c>
    </row>
    <row r="74" spans="1:14" x14ac:dyDescent="0.3">
      <c r="A74" s="59" t="s">
        <v>51</v>
      </c>
      <c r="B74" s="60"/>
      <c r="C74" s="57">
        <v>7</v>
      </c>
      <c r="D74" s="19">
        <f ca="1">((100/H70)*C74)/100</f>
        <v>1</v>
      </c>
      <c r="E74" s="82"/>
      <c r="F74" s="83"/>
      <c r="G74" s="82"/>
      <c r="H74" s="87"/>
      <c r="I74" s="14" t="s">
        <v>105</v>
      </c>
      <c r="J74" s="29">
        <f ca="1">H70</f>
        <v>7</v>
      </c>
    </row>
    <row r="75" spans="1:14" ht="15.75" customHeight="1" x14ac:dyDescent="0.3">
      <c r="A75" s="59" t="s">
        <v>135</v>
      </c>
      <c r="B75" s="60"/>
      <c r="C75" s="44">
        <v>8</v>
      </c>
      <c r="D75" s="19">
        <f ca="1">((100/(D70+F70+H70))*C75)/100</f>
        <v>1</v>
      </c>
      <c r="E75" s="82"/>
      <c r="F75" s="83"/>
      <c r="G75" s="82"/>
      <c r="H75" s="87"/>
      <c r="I75" s="14" t="s">
        <v>106</v>
      </c>
      <c r="J75" s="30">
        <f ca="1">(IF(B70&gt;1,(H70/(B70+2)),H70/4))</f>
        <v>1.75</v>
      </c>
    </row>
    <row r="76" spans="1:14" ht="15.75" customHeight="1" x14ac:dyDescent="0.3">
      <c r="A76" s="59" t="s">
        <v>142</v>
      </c>
      <c r="B76" s="60" t="s">
        <v>136</v>
      </c>
      <c r="C76" s="44">
        <v>7</v>
      </c>
      <c r="D76" s="19">
        <f ca="1">((100/H70)*C76)/100</f>
        <v>1</v>
      </c>
      <c r="E76" s="82"/>
      <c r="F76" s="83"/>
      <c r="G76" s="82"/>
      <c r="H76" s="87"/>
      <c r="I76" s="14" t="s">
        <v>107</v>
      </c>
      <c r="J76" s="30">
        <f ca="1">(IF(B70&gt;1,(H70/(B70+2)+J75),H70/4+J75))</f>
        <v>3.5</v>
      </c>
    </row>
    <row r="77" spans="1:14" ht="15.75" customHeight="1" x14ac:dyDescent="0.3">
      <c r="A77" s="59" t="s">
        <v>143</v>
      </c>
      <c r="B77" s="60" t="s">
        <v>136</v>
      </c>
      <c r="C77" s="44">
        <v>7</v>
      </c>
      <c r="D77" s="19">
        <f ca="1">((100/H70)*C77)/100</f>
        <v>1</v>
      </c>
      <c r="E77" s="82"/>
      <c r="F77" s="83"/>
      <c r="G77" s="82"/>
      <c r="H77" s="87"/>
      <c r="I77" s="14" t="s">
        <v>152</v>
      </c>
      <c r="J77" s="30">
        <f>(IF(B70&gt;1,(H70/(B70+2)+J76),0))</f>
        <v>0</v>
      </c>
    </row>
    <row r="78" spans="1:14" ht="15" customHeight="1" x14ac:dyDescent="0.3">
      <c r="A78" s="59" t="s">
        <v>141</v>
      </c>
      <c r="B78" s="60" t="s">
        <v>138</v>
      </c>
      <c r="C78" s="44">
        <v>4</v>
      </c>
      <c r="D78" s="19">
        <f ca="1">((100/(H70))*C78)/100</f>
        <v>0.57142857142857151</v>
      </c>
      <c r="E78" s="82"/>
      <c r="F78" s="83"/>
      <c r="G78" s="82"/>
      <c r="H78" s="87"/>
      <c r="I78" s="14" t="s">
        <v>149</v>
      </c>
      <c r="J78" s="30">
        <f>(IF(B70&gt;2,(H70/(B70+2)+J77),0))</f>
        <v>0</v>
      </c>
    </row>
    <row r="79" spans="1:14" ht="15.75" customHeight="1" x14ac:dyDescent="0.3">
      <c r="A79" s="59" t="s">
        <v>137</v>
      </c>
      <c r="B79" s="60" t="s">
        <v>137</v>
      </c>
      <c r="C79" s="44">
        <v>0</v>
      </c>
      <c r="D79" s="19">
        <f ca="1">((100/H70)*C79)/100</f>
        <v>0</v>
      </c>
      <c r="E79" s="82"/>
      <c r="F79" s="83"/>
      <c r="G79" s="82"/>
      <c r="H79" s="87"/>
      <c r="I79" s="14" t="s">
        <v>150</v>
      </c>
      <c r="J79" s="31">
        <f>(IF(B70&gt;3,(H70/(B70+2)+J78),0))</f>
        <v>0</v>
      </c>
    </row>
    <row r="80" spans="1:14" ht="15.75" customHeight="1" x14ac:dyDescent="0.3">
      <c r="A80" s="59" t="s">
        <v>144</v>
      </c>
      <c r="B80" s="60"/>
      <c r="C80" s="44">
        <v>0</v>
      </c>
      <c r="D80" s="19">
        <f ca="1">((100/H70)*C80)/100</f>
        <v>0</v>
      </c>
      <c r="E80" s="82"/>
      <c r="F80" s="83"/>
      <c r="G80" s="82"/>
      <c r="H80" s="87"/>
      <c r="I80" s="14" t="s">
        <v>151</v>
      </c>
      <c r="J80" s="30">
        <f>(IF(B70&gt;4,(H70/(B70+2)+J79),0))</f>
        <v>0</v>
      </c>
    </row>
    <row r="81" spans="1:10" ht="15.75" customHeight="1" x14ac:dyDescent="0.3">
      <c r="A81" s="59" t="s">
        <v>139</v>
      </c>
      <c r="B81" s="60" t="s">
        <v>139</v>
      </c>
      <c r="C81" s="44">
        <v>0</v>
      </c>
      <c r="D81" s="19">
        <f ca="1">((100/(H70))*C81)/100</f>
        <v>0</v>
      </c>
      <c r="E81" s="82"/>
      <c r="F81" s="83"/>
      <c r="G81" s="82"/>
      <c r="H81" s="87"/>
      <c r="I81" s="14" t="s">
        <v>153</v>
      </c>
      <c r="J81" s="30">
        <f ca="1">(IF(B70=1,(H70/(B70+3)+J76),IF(B70=0,(H70/4+J76),IF(B70&gt;1,0))))</f>
        <v>5.25</v>
      </c>
    </row>
    <row r="82" spans="1:10" ht="16.2" thickBot="1" x14ac:dyDescent="0.35">
      <c r="A82" s="61" t="s">
        <v>140</v>
      </c>
      <c r="B82" s="62"/>
      <c r="C82" s="45">
        <v>0</v>
      </c>
      <c r="D82" s="20">
        <f ca="1">((100/(H70))*C82)/100</f>
        <v>0</v>
      </c>
      <c r="E82" s="84"/>
      <c r="F82" s="85"/>
      <c r="G82" s="84"/>
      <c r="H82" s="88"/>
      <c r="I82" s="15" t="s">
        <v>108</v>
      </c>
      <c r="J82" s="32">
        <f ca="1">(IF(B70&gt;1.5,(H70/(B70+2)+J76+MAX(0,J77-J76)+MAX(0,J78-J77)+MAX(0,J79-J78)+MAX(0,J80-J79)+MAX(0,J81-J80)),IF(B70=1,(H70/(B70+3)+J81),IF(B70=0,H70/4+J81))))</f>
        <v>7</v>
      </c>
    </row>
    <row r="83" spans="1:10" ht="15.75" customHeight="1" x14ac:dyDescent="0.3">
      <c r="A83" s="70" t="s">
        <v>146</v>
      </c>
      <c r="B83" s="71"/>
      <c r="C83" s="72" t="s">
        <v>235</v>
      </c>
      <c r="D83" s="73"/>
      <c r="E83" s="73"/>
      <c r="F83" s="73"/>
      <c r="G83" s="73"/>
      <c r="H83" s="74"/>
      <c r="I83" s="49" t="str">
        <f ca="1">IF(D96=100%,"All work Completed. Possession granted to the Building.",IF(D95=100%,"All work Completed, Waiting for OC",I84&amp;""&amp;I85&amp;""&amp;J84&amp;""&amp;J83&amp;" "&amp;J85))</f>
        <v>Excavation, Plinth, RCC Slab, Brickwork, Internal Plaster Completed, External Plaster upto 4 Floor Completed</v>
      </c>
      <c r="J83" s="50" t="str">
        <f ca="1">(IF(C89=(D84+F84+H84),"",IF(C89&gt;0,", RCC upto "&amp;C89&amp;" Slab","")))&amp;(IF(C90=H84,"",IF(C90&gt;0,", Brickwork upto "&amp;C90&amp;" Floor","")))&amp;(IF(C91=H84,"",IF(C91&gt;0,", Internal Plaster upto "&amp;C91&amp;" Floor","")))&amp;(IF(C92=H84,"",IF(C92&gt;0,", External Plaster upto "&amp;C92&amp;" Floor","")))&amp;(IF(C93=H84,"",IF(C93&gt;0,", Flooring upto "&amp;C93&amp;" Floor","")))&amp;(IF(C94=H84,"",IF(C94&gt;0,", Painting upto "&amp;C94&amp;" Floor","")))&amp;(IF(C95=H84,"",IF(C95&gt;0,", Finishing upto "&amp;C95&amp;" Floor","")))&amp;(IF(C96=H84,"",IF(C96&gt;0,", Possession upto "&amp;C96&amp;" Floor","")))</f>
        <v>, External Plaster upto 4 Floor</v>
      </c>
    </row>
    <row r="84" spans="1:10" x14ac:dyDescent="0.3">
      <c r="A84" s="16" t="s">
        <v>148</v>
      </c>
      <c r="B84" s="56">
        <v>0</v>
      </c>
      <c r="C84" s="56" t="s">
        <v>74</v>
      </c>
      <c r="D84" s="56">
        <v>1</v>
      </c>
      <c r="E84" s="56" t="s">
        <v>73</v>
      </c>
      <c r="F84" s="56">
        <v>0</v>
      </c>
      <c r="G84" s="48" t="s">
        <v>83</v>
      </c>
      <c r="H84" s="17">
        <f ca="1">--TRIM(RIGHT(SUBSTITUTE(LEFT(C83,_xlfn.AGGREGATE(16,6,FIND({0,1,2,3,4,5,6,7,8,9},C83,ROW(INDIRECT("1:"&amp;LEN(C83)))),1))," ",REPT(" ",LEN(C83))),LEN(C83)))</f>
        <v>7</v>
      </c>
      <c r="I84" s="51" t="str">
        <f ca="1">IF(D87=100%,"Excavation","")&amp;IF(D88=100%,", Plinth","")&amp;IF(D89=100%,", RCC Slab","")&amp;IF(D90=100%,", Brickwork","")&amp;IF(D91=100%,", Internal Plaster","")&amp;IF(D92=100%,", External Plaster","")&amp;IF(D93=100%,", Flooring","")&amp;IF(D94=100%,", Painting","")&amp;IF(D95=100%,", Building common Amenities","")</f>
        <v>Excavation, Plinth, RCC Slab, Brickwork, Internal Plaster</v>
      </c>
      <c r="J84" s="52" t="str">
        <f ca="1">(IF(C87=0,"Work not yet Started.",IF(D87=25%,"Piling work in process",IF(D87=50%,"Excavation work in process",IF(D87=100%,"","0")))))&amp;(IF(C88=0%,"",IF(C88=J89,", Footing work is process",IF(C88=J90,", Footing work Completed",IF(C88=J91,", 1st Basement Completed",IF(C88=J92,", 1st &amp; 2nd Basement Completed",IF(C88=J93,", 1st to 3rd Basement Completed",IF(C88=J94,", 1st to 4th Basement Completed",IF(C88=J95,", Plinth work is process",IF(C88=J96,"","0"))))))))))</f>
        <v/>
      </c>
    </row>
    <row r="85" spans="1:10" ht="31.05" customHeight="1" x14ac:dyDescent="0.3">
      <c r="A85" s="75" t="s">
        <v>93</v>
      </c>
      <c r="B85" s="76"/>
      <c r="C85" s="77" t="str">
        <f ca="1">I83</f>
        <v>Excavation, Plinth, RCC Slab, Brickwork, Internal Plaster Completed, External Plaster upto 4 Floor Completed</v>
      </c>
      <c r="D85" s="77"/>
      <c r="E85" s="77"/>
      <c r="F85" s="77"/>
      <c r="G85" s="77"/>
      <c r="H85" s="78"/>
      <c r="I85" s="51" t="str">
        <f ca="1">IF(I84&lt;&gt;""," Completed","")</f>
        <v xml:space="preserve"> Completed</v>
      </c>
      <c r="J85" s="52" t="str">
        <f ca="1">IF(J83&lt;&gt;"","Completed","")</f>
        <v>Completed</v>
      </c>
    </row>
    <row r="86" spans="1:10" ht="15.75" customHeight="1" x14ac:dyDescent="0.3">
      <c r="A86" s="59" t="s">
        <v>50</v>
      </c>
      <c r="B86" s="60"/>
      <c r="C86" s="44" t="s">
        <v>145</v>
      </c>
      <c r="D86" s="44" t="s">
        <v>86</v>
      </c>
      <c r="E86" s="60" t="s">
        <v>88</v>
      </c>
      <c r="F86" s="60"/>
      <c r="G86" s="60" t="s">
        <v>87</v>
      </c>
      <c r="H86" s="79"/>
      <c r="I86" s="14" t="s">
        <v>147</v>
      </c>
      <c r="J86" s="28">
        <f ca="1">H84*25%</f>
        <v>1.75</v>
      </c>
    </row>
    <row r="87" spans="1:10" x14ac:dyDescent="0.3">
      <c r="A87" s="59" t="s">
        <v>134</v>
      </c>
      <c r="B87" s="60"/>
      <c r="C87" s="44">
        <f ca="1">J88</f>
        <v>7</v>
      </c>
      <c r="D87" s="19">
        <f ca="1">((100/H84)*C87)/100</f>
        <v>1</v>
      </c>
      <c r="E87" s="80">
        <f ca="1">(((C88/H84*10)+(40/(D84+F84+H84)*C89)+(7.5/(H84)*C90)+(7.5/(H84)*C91)+(10/H84*C92)+(10/H84*C93)+(5/H84*C94)+(5/H84*C95)+(5/H84*C96))/100)</f>
        <v>0.70714285714285707</v>
      </c>
      <c r="F87" s="81"/>
      <c r="G87" s="80">
        <f ca="1">((((C87/H84)*20)+((C88/H84)*25)+(30/(H84+F84+D84)*C89)+(5/H84*C90)+(5/H84*C91)+(5/H84*C92)+(5/H84*C93)+(0/H84*C94)+(0/H84*C95)+(5/H84*C96))/100)</f>
        <v>0.87857142857142856</v>
      </c>
      <c r="H87" s="86"/>
      <c r="I87" s="14" t="s">
        <v>104</v>
      </c>
      <c r="J87" s="29">
        <f ca="1">H84*50%</f>
        <v>3.5</v>
      </c>
    </row>
    <row r="88" spans="1:10" x14ac:dyDescent="0.3">
      <c r="A88" s="59" t="s">
        <v>51</v>
      </c>
      <c r="B88" s="60"/>
      <c r="C88" s="57">
        <v>7</v>
      </c>
      <c r="D88" s="19">
        <f ca="1">((100/H84)*C88)/100</f>
        <v>1</v>
      </c>
      <c r="E88" s="82"/>
      <c r="F88" s="83"/>
      <c r="G88" s="82"/>
      <c r="H88" s="87"/>
      <c r="I88" s="14" t="s">
        <v>105</v>
      </c>
      <c r="J88" s="29">
        <f ca="1">H84</f>
        <v>7</v>
      </c>
    </row>
    <row r="89" spans="1:10" ht="15.75" customHeight="1" x14ac:dyDescent="0.3">
      <c r="A89" s="59" t="s">
        <v>135</v>
      </c>
      <c r="B89" s="60"/>
      <c r="C89" s="44">
        <v>8</v>
      </c>
      <c r="D89" s="19">
        <f ca="1">((100/(D84+F84+H84))*C89)/100</f>
        <v>1</v>
      </c>
      <c r="E89" s="82"/>
      <c r="F89" s="83"/>
      <c r="G89" s="82"/>
      <c r="H89" s="87"/>
      <c r="I89" s="14" t="s">
        <v>106</v>
      </c>
      <c r="J89" s="30">
        <f ca="1">(IF(B84&gt;1,(H84/(B84+2)),H84/4))</f>
        <v>1.75</v>
      </c>
    </row>
    <row r="90" spans="1:10" ht="15.75" customHeight="1" x14ac:dyDescent="0.3">
      <c r="A90" s="59" t="s">
        <v>142</v>
      </c>
      <c r="B90" s="60" t="s">
        <v>136</v>
      </c>
      <c r="C90" s="44">
        <v>7</v>
      </c>
      <c r="D90" s="19">
        <f ca="1">((100/H84)*C90)/100</f>
        <v>1</v>
      </c>
      <c r="E90" s="82"/>
      <c r="F90" s="83"/>
      <c r="G90" s="82"/>
      <c r="H90" s="87"/>
      <c r="I90" s="14" t="s">
        <v>107</v>
      </c>
      <c r="J90" s="30">
        <f ca="1">(IF(B84&gt;1,(H84/(B84+2)+J89),H84/4+J89))</f>
        <v>3.5</v>
      </c>
    </row>
    <row r="91" spans="1:10" ht="15.75" customHeight="1" x14ac:dyDescent="0.3">
      <c r="A91" s="59" t="s">
        <v>143</v>
      </c>
      <c r="B91" s="60" t="s">
        <v>136</v>
      </c>
      <c r="C91" s="44">
        <v>7</v>
      </c>
      <c r="D91" s="19">
        <f ca="1">((100/H84)*C91)/100</f>
        <v>1</v>
      </c>
      <c r="E91" s="82"/>
      <c r="F91" s="83"/>
      <c r="G91" s="82"/>
      <c r="H91" s="87"/>
      <c r="I91" s="14" t="s">
        <v>152</v>
      </c>
      <c r="J91" s="30">
        <f>(IF(B84&gt;1,(H84/(B84+2)+J90),0))</f>
        <v>0</v>
      </c>
    </row>
    <row r="92" spans="1:10" ht="15" customHeight="1" x14ac:dyDescent="0.3">
      <c r="A92" s="59" t="s">
        <v>141</v>
      </c>
      <c r="B92" s="60" t="s">
        <v>138</v>
      </c>
      <c r="C92" s="44">
        <v>4</v>
      </c>
      <c r="D92" s="19">
        <f ca="1">((100/(H84))*C92)/100</f>
        <v>0.57142857142857151</v>
      </c>
      <c r="E92" s="82"/>
      <c r="F92" s="83"/>
      <c r="G92" s="82"/>
      <c r="H92" s="87"/>
      <c r="I92" s="14" t="s">
        <v>149</v>
      </c>
      <c r="J92" s="30">
        <f>(IF(B84&gt;2,(H84/(B84+2)+J91),0))</f>
        <v>0</v>
      </c>
    </row>
    <row r="93" spans="1:10" ht="15.75" customHeight="1" x14ac:dyDescent="0.3">
      <c r="A93" s="59" t="s">
        <v>137</v>
      </c>
      <c r="B93" s="60" t="s">
        <v>137</v>
      </c>
      <c r="C93" s="44">
        <v>0</v>
      </c>
      <c r="D93" s="19">
        <f ca="1">((100/H84)*C93)/100</f>
        <v>0</v>
      </c>
      <c r="E93" s="82"/>
      <c r="F93" s="83"/>
      <c r="G93" s="82"/>
      <c r="H93" s="87"/>
      <c r="I93" s="14" t="s">
        <v>150</v>
      </c>
      <c r="J93" s="31">
        <f>(IF(B84&gt;3,(H84/(B84+2)+J92),0))</f>
        <v>0</v>
      </c>
    </row>
    <row r="94" spans="1:10" ht="15.75" customHeight="1" x14ac:dyDescent="0.3">
      <c r="A94" s="59" t="s">
        <v>144</v>
      </c>
      <c r="B94" s="60"/>
      <c r="C94" s="44">
        <v>0</v>
      </c>
      <c r="D94" s="19">
        <f ca="1">((100/H84)*C94)/100</f>
        <v>0</v>
      </c>
      <c r="E94" s="82"/>
      <c r="F94" s="83"/>
      <c r="G94" s="82"/>
      <c r="H94" s="87"/>
      <c r="I94" s="14" t="s">
        <v>151</v>
      </c>
      <c r="J94" s="30">
        <f>(IF(B84&gt;4,(H84/(B84+2)+J93),0))</f>
        <v>0</v>
      </c>
    </row>
    <row r="95" spans="1:10" ht="15.75" customHeight="1" x14ac:dyDescent="0.3">
      <c r="A95" s="59" t="s">
        <v>139</v>
      </c>
      <c r="B95" s="60" t="s">
        <v>139</v>
      </c>
      <c r="C95" s="44">
        <v>0</v>
      </c>
      <c r="D95" s="19">
        <f ca="1">((100/(H84))*C95)/100</f>
        <v>0</v>
      </c>
      <c r="E95" s="82"/>
      <c r="F95" s="83"/>
      <c r="G95" s="82"/>
      <c r="H95" s="87"/>
      <c r="I95" s="14" t="s">
        <v>153</v>
      </c>
      <c r="J95" s="30">
        <f ca="1">(IF(B84=1,(H84/(B84+3)+J90),IF(B84=0,(H84/4+J90),IF(B84&gt;1,0))))</f>
        <v>5.25</v>
      </c>
    </row>
    <row r="96" spans="1:10" ht="16.2" thickBot="1" x14ac:dyDescent="0.35">
      <c r="A96" s="61" t="s">
        <v>140</v>
      </c>
      <c r="B96" s="62"/>
      <c r="C96" s="45">
        <v>0</v>
      </c>
      <c r="D96" s="20">
        <f ca="1">((100/(H84))*C96)/100</f>
        <v>0</v>
      </c>
      <c r="E96" s="84"/>
      <c r="F96" s="85"/>
      <c r="G96" s="84"/>
      <c r="H96" s="88"/>
      <c r="I96" s="15" t="s">
        <v>108</v>
      </c>
      <c r="J96" s="32">
        <f ca="1">(IF(B84&gt;1.5,(H84/(B84+2)+J90+MAX(0,J91-J90)+MAX(0,J92-J91)+MAX(0,J93-J92)+MAX(0,J94-J93)+MAX(0,J95-J94)),IF(B84=1,(H84/(B84+3)+J95),IF(B84=0,H84/4+J95))))</f>
        <v>7</v>
      </c>
    </row>
    <row r="97" spans="1:10" ht="15.75" customHeight="1" x14ac:dyDescent="0.3">
      <c r="A97" s="70" t="s">
        <v>146</v>
      </c>
      <c r="B97" s="71"/>
      <c r="C97" s="72" t="s">
        <v>231</v>
      </c>
      <c r="D97" s="73"/>
      <c r="E97" s="73"/>
      <c r="F97" s="73"/>
      <c r="G97" s="73"/>
      <c r="H97" s="74"/>
      <c r="I97" s="49" t="str">
        <f ca="1">IF(D110=100%,"All work Completed. Possession granted to the Building.",IF(D109=100%,"All work Completed, Waiting for OC",I98&amp;""&amp;I99&amp;""&amp;J98&amp;""&amp;J97&amp;" "&amp;J99))</f>
        <v>All work Completed. Possession granted to the Building.</v>
      </c>
      <c r="J97" s="50" t="str">
        <f ca="1">(IF(C103=(D98+F98+H98),"",IF(C103&gt;0,", RCC upto "&amp;C103&amp;" Slab","")))&amp;(IF(C104=H98,"",IF(C104&gt;0,", Brickwork upto "&amp;C104&amp;" Floor","")))&amp;(IF(C105=H98,"",IF(C105&gt;0,", Internal Plaster upto "&amp;C105&amp;" Floor","")))&amp;(IF(C106=H98,"",IF(C106&gt;0,", External Plaster upto "&amp;C106&amp;" Floor","")))&amp;(IF(C107=H98,"",IF(C107&gt;0,", Flooring upto "&amp;C107&amp;" Floor","")))&amp;(IF(C108=H98,"",IF(C108&gt;0,", Painting upto "&amp;C108&amp;" Floor","")))&amp;(IF(C109=H98,"",IF(C109&gt;0,", Finishing upto "&amp;C109&amp;" Floor","")))&amp;(IF(C110=H98,"",IF(C110&gt;0,", Possession upto "&amp;C110&amp;" Floor","")))</f>
        <v/>
      </c>
    </row>
    <row r="98" spans="1:10" x14ac:dyDescent="0.3">
      <c r="A98" s="16" t="s">
        <v>148</v>
      </c>
      <c r="B98" s="56">
        <v>0</v>
      </c>
      <c r="C98" s="56" t="s">
        <v>74</v>
      </c>
      <c r="D98" s="56">
        <v>1</v>
      </c>
      <c r="E98" s="56" t="s">
        <v>73</v>
      </c>
      <c r="F98" s="56">
        <v>0</v>
      </c>
      <c r="G98" s="48" t="s">
        <v>83</v>
      </c>
      <c r="H98" s="17">
        <f ca="1">--TRIM(RIGHT(SUBSTITUTE(LEFT(C97,_xlfn.AGGREGATE(16,6,FIND({0,1,2,3,4,5,6,7,8,9},C97,ROW(INDIRECT("1:"&amp;LEN(C97)))),1))," ",REPT(" ",LEN(C97))),LEN(C97)))</f>
        <v>7</v>
      </c>
      <c r="I98" s="51" t="str">
        <f ca="1">IF(D101=100%,"Excavation","")&amp;IF(D102=100%,", Plinth","")&amp;IF(D103=100%,", RCC Slab","")&amp;IF(D104=100%,", Brickwork","")&amp;IF(D105=100%,", Internal Plaster","")&amp;IF(D106=100%,", External Plaster","")&amp;IF(D107=100%,", Flooring","")&amp;IF(D108=100%,", Painting","")&amp;IF(D109=100%,", Building common Amenities","")</f>
        <v>Excavation, Plinth, RCC Slab, Brickwork, Internal Plaster, External Plaster, Flooring, Painting, Building common Amenities</v>
      </c>
      <c r="J98" s="52" t="str">
        <f ca="1">(IF(C101=0,"Work not yet Started.",IF(D101=25%,"Piling work in process",IF(D101=50%,"Excavation work in process",IF(D101=100%,"","0")))))&amp;(IF(C102=0%,"",IF(C102=J103,", Footing work is process",IF(C102=J104,", Footing work Completed",IF(C102=J105,", 1st Basement Completed",IF(C102=J106,", 1st &amp; 2nd Basement Completed",IF(C102=J107,", 1st to 3rd Basement Completed",IF(C102=J108,", 1st to 4th Basement Completed",IF(C102=J109,", Plinth work is process",IF(C102=J110,"","0"))))))))))</f>
        <v/>
      </c>
    </row>
    <row r="99" spans="1:10" ht="17.399999999999999" customHeight="1" x14ac:dyDescent="0.3">
      <c r="A99" s="75" t="s">
        <v>93</v>
      </c>
      <c r="B99" s="76"/>
      <c r="C99" s="77" t="s">
        <v>237</v>
      </c>
      <c r="D99" s="77"/>
      <c r="E99" s="77"/>
      <c r="F99" s="77"/>
      <c r="G99" s="77"/>
      <c r="H99" s="78"/>
      <c r="I99" s="51" t="str">
        <f ca="1">IF(I98&lt;&gt;""," Completed","")</f>
        <v xml:space="preserve"> Completed</v>
      </c>
      <c r="J99" s="52" t="str">
        <f ca="1">IF(J97&lt;&gt;"","Completed","")</f>
        <v/>
      </c>
    </row>
    <row r="100" spans="1:10" ht="15.75" customHeight="1" x14ac:dyDescent="0.3">
      <c r="A100" s="59" t="s">
        <v>50</v>
      </c>
      <c r="B100" s="60"/>
      <c r="C100" s="44" t="s">
        <v>145</v>
      </c>
      <c r="D100" s="44" t="s">
        <v>86</v>
      </c>
      <c r="E100" s="60" t="s">
        <v>88</v>
      </c>
      <c r="F100" s="60"/>
      <c r="G100" s="60" t="s">
        <v>87</v>
      </c>
      <c r="H100" s="79"/>
      <c r="I100" s="14" t="s">
        <v>147</v>
      </c>
      <c r="J100" s="28">
        <f ca="1">H98*25%</f>
        <v>1.75</v>
      </c>
    </row>
    <row r="101" spans="1:10" x14ac:dyDescent="0.3">
      <c r="A101" s="59" t="s">
        <v>134</v>
      </c>
      <c r="B101" s="60"/>
      <c r="C101" s="44">
        <f ca="1">J102</f>
        <v>7</v>
      </c>
      <c r="D101" s="19">
        <f ca="1">((100/H98)*C101)/100</f>
        <v>1</v>
      </c>
      <c r="E101" s="80">
        <f ca="1">(((C102/H98*10)+(40/(D98+F98+H98)*C103)+(7.5/(H98)*C104)+(7.5/(H98)*C105)+(10/H98*C106)+(10/H98*C107)+(5/H98*C108)+(5/H98*C109)+(5/H98*C110))/100)</f>
        <v>1</v>
      </c>
      <c r="F101" s="81"/>
      <c r="G101" s="80">
        <f ca="1">((((C101/H98)*20)+((C102/H98)*25)+(30/(H98+F98+D98)*C103)+(5/H98*C104)+(5/H98*C105)+(5/H98*C106)+(5/H98*C107)+(0/H98*C108)+(0/H98*C109)+(5/H98*C110))/100)</f>
        <v>1</v>
      </c>
      <c r="H101" s="86"/>
      <c r="I101" s="14" t="s">
        <v>104</v>
      </c>
      <c r="J101" s="29">
        <f ca="1">H98*50%</f>
        <v>3.5</v>
      </c>
    </row>
    <row r="102" spans="1:10" x14ac:dyDescent="0.3">
      <c r="A102" s="59" t="s">
        <v>51</v>
      </c>
      <c r="B102" s="60"/>
      <c r="C102" s="57">
        <f ca="1">J110</f>
        <v>7</v>
      </c>
      <c r="D102" s="19">
        <f ca="1">((100/H98)*C102)/100</f>
        <v>1</v>
      </c>
      <c r="E102" s="82"/>
      <c r="F102" s="83"/>
      <c r="G102" s="82"/>
      <c r="H102" s="87"/>
      <c r="I102" s="14" t="s">
        <v>105</v>
      </c>
      <c r="J102" s="29">
        <f ca="1">H98</f>
        <v>7</v>
      </c>
    </row>
    <row r="103" spans="1:10" ht="15.75" customHeight="1" x14ac:dyDescent="0.3">
      <c r="A103" s="59" t="s">
        <v>135</v>
      </c>
      <c r="B103" s="60"/>
      <c r="C103" s="44">
        <v>8</v>
      </c>
      <c r="D103" s="19">
        <f ca="1">((100/(D98+F98+H98))*C103)/100</f>
        <v>1</v>
      </c>
      <c r="E103" s="82"/>
      <c r="F103" s="83"/>
      <c r="G103" s="82"/>
      <c r="H103" s="87"/>
      <c r="I103" s="14" t="s">
        <v>106</v>
      </c>
      <c r="J103" s="30">
        <f ca="1">(IF(B98&gt;1,(H98/(B98+2)),H98/4))</f>
        <v>1.75</v>
      </c>
    </row>
    <row r="104" spans="1:10" ht="15.75" customHeight="1" x14ac:dyDescent="0.3">
      <c r="A104" s="59" t="s">
        <v>142</v>
      </c>
      <c r="B104" s="60" t="s">
        <v>136</v>
      </c>
      <c r="C104" s="44">
        <v>7</v>
      </c>
      <c r="D104" s="19">
        <f ca="1">((100/H98)*C104)/100</f>
        <v>1</v>
      </c>
      <c r="E104" s="82"/>
      <c r="F104" s="83"/>
      <c r="G104" s="82"/>
      <c r="H104" s="87"/>
      <c r="I104" s="14" t="s">
        <v>107</v>
      </c>
      <c r="J104" s="30">
        <f ca="1">(IF(B98&gt;1,(H98/(B98+2)+J103),H98/4+J103))</f>
        <v>3.5</v>
      </c>
    </row>
    <row r="105" spans="1:10" ht="15.75" customHeight="1" x14ac:dyDescent="0.3">
      <c r="A105" s="59" t="s">
        <v>143</v>
      </c>
      <c r="B105" s="60" t="s">
        <v>136</v>
      </c>
      <c r="C105" s="44">
        <v>7</v>
      </c>
      <c r="D105" s="19">
        <f ca="1">((100/H98)*C105)/100</f>
        <v>1</v>
      </c>
      <c r="E105" s="82"/>
      <c r="F105" s="83"/>
      <c r="G105" s="82"/>
      <c r="H105" s="87"/>
      <c r="I105" s="14" t="s">
        <v>152</v>
      </c>
      <c r="J105" s="30">
        <f>(IF(B98&gt;1,(H98/(B98+2)+J104),0))</f>
        <v>0</v>
      </c>
    </row>
    <row r="106" spans="1:10" ht="15" customHeight="1" x14ac:dyDescent="0.3">
      <c r="A106" s="59" t="s">
        <v>141</v>
      </c>
      <c r="B106" s="60" t="s">
        <v>138</v>
      </c>
      <c r="C106" s="44">
        <v>7</v>
      </c>
      <c r="D106" s="19">
        <f ca="1">((100/(H98))*C106)/100</f>
        <v>1</v>
      </c>
      <c r="E106" s="82"/>
      <c r="F106" s="83"/>
      <c r="G106" s="82"/>
      <c r="H106" s="87"/>
      <c r="I106" s="14" t="s">
        <v>149</v>
      </c>
      <c r="J106" s="30">
        <f>(IF(B98&gt;2,(H98/(B98+2)+J105),0))</f>
        <v>0</v>
      </c>
    </row>
    <row r="107" spans="1:10" ht="15.75" customHeight="1" x14ac:dyDescent="0.3">
      <c r="A107" s="59" t="s">
        <v>137</v>
      </c>
      <c r="B107" s="60" t="s">
        <v>137</v>
      </c>
      <c r="C107" s="44">
        <v>7</v>
      </c>
      <c r="D107" s="19">
        <f ca="1">((100/H98)*C107)/100</f>
        <v>1</v>
      </c>
      <c r="E107" s="82"/>
      <c r="F107" s="83"/>
      <c r="G107" s="82"/>
      <c r="H107" s="87"/>
      <c r="I107" s="14" t="s">
        <v>150</v>
      </c>
      <c r="J107" s="31">
        <f>(IF(B98&gt;3,(H98/(B98+2)+J106),0))</f>
        <v>0</v>
      </c>
    </row>
    <row r="108" spans="1:10" ht="15.75" customHeight="1" x14ac:dyDescent="0.3">
      <c r="A108" s="59" t="s">
        <v>144</v>
      </c>
      <c r="B108" s="60"/>
      <c r="C108" s="44">
        <v>7</v>
      </c>
      <c r="D108" s="19">
        <f ca="1">((100/H98)*C108)/100</f>
        <v>1</v>
      </c>
      <c r="E108" s="82"/>
      <c r="F108" s="83"/>
      <c r="G108" s="82"/>
      <c r="H108" s="87"/>
      <c r="I108" s="14" t="s">
        <v>151</v>
      </c>
      <c r="J108" s="30">
        <f>(IF(B98&gt;4,(H98/(B98+2)+J107),0))</f>
        <v>0</v>
      </c>
    </row>
    <row r="109" spans="1:10" ht="15.75" customHeight="1" x14ac:dyDescent="0.3">
      <c r="A109" s="59" t="s">
        <v>139</v>
      </c>
      <c r="B109" s="60" t="s">
        <v>139</v>
      </c>
      <c r="C109" s="44">
        <v>7</v>
      </c>
      <c r="D109" s="19">
        <f ca="1">((100/(H98))*C109)/100</f>
        <v>1</v>
      </c>
      <c r="E109" s="82"/>
      <c r="F109" s="83"/>
      <c r="G109" s="82"/>
      <c r="H109" s="87"/>
      <c r="I109" s="14" t="s">
        <v>153</v>
      </c>
      <c r="J109" s="30">
        <f ca="1">(IF(B98=1,(H98/(B98+3)+J104),IF(B98=0,(H98/4+J104),IF(B98&gt;1,0))))</f>
        <v>5.25</v>
      </c>
    </row>
    <row r="110" spans="1:10" ht="16.2" thickBot="1" x14ac:dyDescent="0.35">
      <c r="A110" s="61" t="s">
        <v>140</v>
      </c>
      <c r="B110" s="62"/>
      <c r="C110" s="45">
        <v>7</v>
      </c>
      <c r="D110" s="20">
        <f ca="1">((100/(H98))*C110)/100</f>
        <v>1</v>
      </c>
      <c r="E110" s="84"/>
      <c r="F110" s="85"/>
      <c r="G110" s="84"/>
      <c r="H110" s="88"/>
      <c r="I110" s="15" t="s">
        <v>108</v>
      </c>
      <c r="J110" s="32">
        <f ca="1">(IF(B98&gt;1.5,(H98/(B98+2)+J104+MAX(0,J105-J104)+MAX(0,J106-J105)+MAX(0,J107-J106)+MAX(0,J108-J107)+MAX(0,J109-J108)),IF(B98=1,(H98/(B98+3)+J109),IF(B98=0,H98/4+J109))))</f>
        <v>7</v>
      </c>
    </row>
    <row r="111" spans="1:10" ht="15.75" hidden="1" customHeight="1" x14ac:dyDescent="0.3">
      <c r="A111" s="70" t="s">
        <v>146</v>
      </c>
      <c r="B111" s="71"/>
      <c r="C111" s="72" t="s">
        <v>230</v>
      </c>
      <c r="D111" s="73"/>
      <c r="E111" s="73"/>
      <c r="F111" s="73"/>
      <c r="G111" s="73"/>
      <c r="H111" s="74"/>
      <c r="I111" s="49" t="str">
        <f ca="1">IF(D124=100%,"All work Completed. Possession granted to the Building.",IF(D123=100%,"All work Completed, Waiting for OC",I112&amp;""&amp;I113&amp;""&amp;J112&amp;""&amp;J111&amp;" "&amp;J113))</f>
        <v>Excavation, Plinth, RCC Slab, Brickwork Completed, Internal Plaster upto 6 Floor, External Plaster upto 3 Floor, Flooring upto 1 Floor Completed</v>
      </c>
      <c r="J111" s="50" t="str">
        <f ca="1">(IF(C117=(D112+F112+H112),"",IF(C117&gt;0,", RCC upto "&amp;C117&amp;" Slab","")))&amp;(IF(C118=H112,"",IF(C118&gt;0,", Brickwork upto "&amp;C118&amp;" Floor","")))&amp;(IF(C119=H112,"",IF(C119&gt;0,", Internal Plaster upto "&amp;C119&amp;" Floor","")))&amp;(IF(C120=H112,"",IF(C120&gt;0,", External Plaster upto "&amp;C120&amp;" Floor","")))&amp;(IF(C121=H112,"",IF(C121&gt;0,", Flooring upto "&amp;C121&amp;" Floor","")))&amp;(IF(C122=H112,"",IF(C122&gt;0,", Painting upto "&amp;C122&amp;" Floor","")))&amp;(IF(C123=H112,"",IF(C123&gt;0,", Finishing upto "&amp;C123&amp;" Floor","")))&amp;(IF(C124=H112,"",IF(C124&gt;0,", Possession upto "&amp;C124&amp;" Floor","")))</f>
        <v>, Internal Plaster upto 6 Floor, External Plaster upto 3 Floor, Flooring upto 1 Floor</v>
      </c>
    </row>
    <row r="112" spans="1:10" hidden="1" x14ac:dyDescent="0.3">
      <c r="A112" s="16" t="s">
        <v>148</v>
      </c>
      <c r="B112" s="56">
        <v>0</v>
      </c>
      <c r="C112" s="56" t="s">
        <v>74</v>
      </c>
      <c r="D112" s="56">
        <v>1</v>
      </c>
      <c r="E112" s="56" t="s">
        <v>73</v>
      </c>
      <c r="F112" s="56">
        <v>0</v>
      </c>
      <c r="G112" s="48" t="s">
        <v>83</v>
      </c>
      <c r="H112" s="17">
        <f ca="1">--TRIM(RIGHT(SUBSTITUTE(LEFT(C111,_xlfn.AGGREGATE(16,6,FIND({0,1,2,3,4,5,6,7,8,9},C111,ROW(INDIRECT("1:"&amp;LEN(C111)))),1))," ",REPT(" ",LEN(C111))),LEN(C111)))</f>
        <v>7</v>
      </c>
      <c r="I112" s="51" t="str">
        <f ca="1">IF(D115=100%,"Excavation","")&amp;IF(D116=100%,", Plinth","")&amp;IF(D117=100%,", RCC Slab","")&amp;IF(D118=100%,", Brickwork","")&amp;IF(D119=100%,", Internal Plaster","")&amp;IF(D120=100%,", External Plaster","")&amp;IF(D121=100%,", Flooring","")&amp;IF(D122=100%,", Painting","")&amp;IF(D123=100%,", Building common Amenities","")</f>
        <v>Excavation, Plinth, RCC Slab, Brickwork</v>
      </c>
      <c r="J112" s="52" t="str">
        <f ca="1">(IF(C115=0,"Work not yet Started.",IF(D115=25%,"Piling work in process",IF(D115=50%,"Excavation work in process",IF(D115=100%,"","0")))))&amp;(IF(C116=0%,"",IF(C116=J117,", Footing work is process",IF(C116=J118,", Footing work Completed",IF(C116=J119,", 1st Basement Completed",IF(C116=J120,", 1st &amp; 2nd Basement Completed",IF(C116=J121,", 1st to 3rd Basement Completed",IF(C116=J122,", 1st to 4th Basement Completed",IF(C116=J123,", Plinth work is process",IF(C116=J124,"","0"))))))))))</f>
        <v/>
      </c>
    </row>
    <row r="113" spans="1:10" ht="30.75" hidden="1" customHeight="1" x14ac:dyDescent="0.3">
      <c r="A113" s="75" t="s">
        <v>93</v>
      </c>
      <c r="B113" s="76"/>
      <c r="C113" s="77" t="str">
        <f ca="1">(IF($G$54="NA",I111,"All work Completed. OC Received."))</f>
        <v>Excavation, Plinth, RCC Slab, Brickwork Completed, Internal Plaster upto 6 Floor, External Plaster upto 3 Floor, Flooring upto 1 Floor Completed</v>
      </c>
      <c r="D113" s="77"/>
      <c r="E113" s="77"/>
      <c r="F113" s="77"/>
      <c r="G113" s="77"/>
      <c r="H113" s="78"/>
      <c r="I113" s="51" t="str">
        <f ca="1">IF(I112&lt;&gt;""," Completed","")</f>
        <v xml:space="preserve"> Completed</v>
      </c>
      <c r="J113" s="52" t="str">
        <f ca="1">IF(J111&lt;&gt;"","Completed","")</f>
        <v>Completed</v>
      </c>
    </row>
    <row r="114" spans="1:10" ht="15.75" hidden="1" customHeight="1" x14ac:dyDescent="0.3">
      <c r="A114" s="59" t="s">
        <v>50</v>
      </c>
      <c r="B114" s="60"/>
      <c r="C114" s="44" t="s">
        <v>145</v>
      </c>
      <c r="D114" s="44" t="s">
        <v>86</v>
      </c>
      <c r="E114" s="60" t="s">
        <v>88</v>
      </c>
      <c r="F114" s="60"/>
      <c r="G114" s="60" t="s">
        <v>87</v>
      </c>
      <c r="H114" s="79"/>
      <c r="I114" s="14" t="s">
        <v>147</v>
      </c>
      <c r="J114" s="28">
        <f ca="1">H112*25%</f>
        <v>1.75</v>
      </c>
    </row>
    <row r="115" spans="1:10" hidden="1" x14ac:dyDescent="0.3">
      <c r="A115" s="59" t="s">
        <v>134</v>
      </c>
      <c r="B115" s="60"/>
      <c r="C115" s="44">
        <f ca="1">J116</f>
        <v>7</v>
      </c>
      <c r="D115" s="19">
        <f ca="1">((100/H112)*C115)/100</f>
        <v>1</v>
      </c>
      <c r="E115" s="80">
        <f ca="1">(((C116/H112*10)+(40/(D112+F112+H112)*C117)+(7.5/(H112)*C118)+(7.5/(H112)*C119)+(10/H112*C120)+(10/H112*C121)+(5/H112*C122)+(5/H112*C123)+(5/H112*C124))/100)</f>
        <v>0.69642857142857151</v>
      </c>
      <c r="F115" s="81"/>
      <c r="G115" s="80">
        <f ca="1">((((C115/H112)*20)+((C116/H112)*25)+(30/(H112+F112+D112)*C117)+(5/H112*C118)+(5/H112*C119)+(5/H112*C120)+(5/H112*C121)+(0/H112*C122)+(0/H112*C123)+(5/H112*C124))/100)</f>
        <v>0.87142857142857144</v>
      </c>
      <c r="H115" s="86"/>
      <c r="I115" s="14" t="s">
        <v>104</v>
      </c>
      <c r="J115" s="29">
        <f ca="1">H112*50%</f>
        <v>3.5</v>
      </c>
    </row>
    <row r="116" spans="1:10" hidden="1" x14ac:dyDescent="0.3">
      <c r="A116" s="59" t="s">
        <v>51</v>
      </c>
      <c r="B116" s="60"/>
      <c r="C116" s="57">
        <f ca="1">J124</f>
        <v>7</v>
      </c>
      <c r="D116" s="19">
        <f ca="1">((100/H112)*C116)/100</f>
        <v>1</v>
      </c>
      <c r="E116" s="82"/>
      <c r="F116" s="83"/>
      <c r="G116" s="82"/>
      <c r="H116" s="87"/>
      <c r="I116" s="14" t="s">
        <v>105</v>
      </c>
      <c r="J116" s="29">
        <f ca="1">H112</f>
        <v>7</v>
      </c>
    </row>
    <row r="117" spans="1:10" ht="15.75" hidden="1" customHeight="1" x14ac:dyDescent="0.3">
      <c r="A117" s="59" t="s">
        <v>135</v>
      </c>
      <c r="B117" s="60"/>
      <c r="C117" s="44">
        <v>8</v>
      </c>
      <c r="D117" s="19">
        <f ca="1">((100/(D112+F112+H112))*C117)/100</f>
        <v>1</v>
      </c>
      <c r="E117" s="82"/>
      <c r="F117" s="83"/>
      <c r="G117" s="82"/>
      <c r="H117" s="87"/>
      <c r="I117" s="14" t="s">
        <v>106</v>
      </c>
      <c r="J117" s="30">
        <f ca="1">(IF(B112&gt;1,(H112/(B112+2)),H112/4))</f>
        <v>1.75</v>
      </c>
    </row>
    <row r="118" spans="1:10" ht="15.75" hidden="1" customHeight="1" x14ac:dyDescent="0.3">
      <c r="A118" s="59" t="s">
        <v>142</v>
      </c>
      <c r="B118" s="60" t="s">
        <v>136</v>
      </c>
      <c r="C118" s="44">
        <v>7</v>
      </c>
      <c r="D118" s="19">
        <f ca="1">((100/H112)*C118)/100</f>
        <v>1</v>
      </c>
      <c r="E118" s="82"/>
      <c r="F118" s="83"/>
      <c r="G118" s="82"/>
      <c r="H118" s="87"/>
      <c r="I118" s="14" t="s">
        <v>107</v>
      </c>
      <c r="J118" s="30">
        <f ca="1">(IF(B112&gt;1,(H112/(B112+2)+J117),H112/4+J117))</f>
        <v>3.5</v>
      </c>
    </row>
    <row r="119" spans="1:10" ht="15.75" hidden="1" customHeight="1" x14ac:dyDescent="0.3">
      <c r="A119" s="59" t="s">
        <v>143</v>
      </c>
      <c r="B119" s="60" t="s">
        <v>136</v>
      </c>
      <c r="C119" s="44">
        <v>6</v>
      </c>
      <c r="D119" s="19">
        <f ca="1">((100/H112)*C119)/100</f>
        <v>0.85714285714285721</v>
      </c>
      <c r="E119" s="82"/>
      <c r="F119" s="83"/>
      <c r="G119" s="82"/>
      <c r="H119" s="87"/>
      <c r="I119" s="14" t="s">
        <v>152</v>
      </c>
      <c r="J119" s="30">
        <f>(IF(B112&gt;1,(H112/(B112+2)+J118),0))</f>
        <v>0</v>
      </c>
    </row>
    <row r="120" spans="1:10" ht="15" hidden="1" customHeight="1" x14ac:dyDescent="0.3">
      <c r="A120" s="59" t="s">
        <v>141</v>
      </c>
      <c r="B120" s="60" t="s">
        <v>138</v>
      </c>
      <c r="C120" s="44">
        <v>3</v>
      </c>
      <c r="D120" s="19">
        <f ca="1">((100/(H112))*C120)/100</f>
        <v>0.4285714285714286</v>
      </c>
      <c r="E120" s="82"/>
      <c r="F120" s="83"/>
      <c r="G120" s="82"/>
      <c r="H120" s="87"/>
      <c r="I120" s="14" t="s">
        <v>149</v>
      </c>
      <c r="J120" s="30">
        <f>(IF(B112&gt;2,(H112/(B112+2)+J119),0))</f>
        <v>0</v>
      </c>
    </row>
    <row r="121" spans="1:10" ht="15.75" hidden="1" customHeight="1" x14ac:dyDescent="0.3">
      <c r="A121" s="59" t="s">
        <v>137</v>
      </c>
      <c r="B121" s="60" t="s">
        <v>137</v>
      </c>
      <c r="C121" s="44">
        <v>1</v>
      </c>
      <c r="D121" s="19">
        <f ca="1">((100/H112)*C121)/100</f>
        <v>0.14285714285714288</v>
      </c>
      <c r="E121" s="82"/>
      <c r="F121" s="83"/>
      <c r="G121" s="82"/>
      <c r="H121" s="87"/>
      <c r="I121" s="14" t="s">
        <v>150</v>
      </c>
      <c r="J121" s="31">
        <f>(IF(B112&gt;3,(H112/(B112+2)+J120),0))</f>
        <v>0</v>
      </c>
    </row>
    <row r="122" spans="1:10" ht="15.75" hidden="1" customHeight="1" x14ac:dyDescent="0.3">
      <c r="A122" s="59" t="s">
        <v>144</v>
      </c>
      <c r="B122" s="60"/>
      <c r="C122" s="44">
        <v>0</v>
      </c>
      <c r="D122" s="19">
        <f ca="1">((100/H112)*C122)/100</f>
        <v>0</v>
      </c>
      <c r="E122" s="82"/>
      <c r="F122" s="83"/>
      <c r="G122" s="82"/>
      <c r="H122" s="87"/>
      <c r="I122" s="14" t="s">
        <v>151</v>
      </c>
      <c r="J122" s="30">
        <f>(IF(B112&gt;4,(H112/(B112+2)+J121),0))</f>
        <v>0</v>
      </c>
    </row>
    <row r="123" spans="1:10" ht="15.75" hidden="1" customHeight="1" x14ac:dyDescent="0.3">
      <c r="A123" s="59" t="s">
        <v>139</v>
      </c>
      <c r="B123" s="60" t="s">
        <v>139</v>
      </c>
      <c r="C123" s="44">
        <v>0</v>
      </c>
      <c r="D123" s="19">
        <f ca="1">((100/(H112))*C123)/100</f>
        <v>0</v>
      </c>
      <c r="E123" s="82"/>
      <c r="F123" s="83"/>
      <c r="G123" s="82"/>
      <c r="H123" s="87"/>
      <c r="I123" s="14" t="s">
        <v>153</v>
      </c>
      <c r="J123" s="30">
        <f ca="1">(IF(B112=1,(H112/(B112+3)+J118),IF(B112=0,(H112/4+J118),IF(B112&gt;1,0))))</f>
        <v>5.25</v>
      </c>
    </row>
    <row r="124" spans="1:10" ht="16.2" hidden="1" thickBot="1" x14ac:dyDescent="0.35">
      <c r="A124" s="61" t="s">
        <v>140</v>
      </c>
      <c r="B124" s="62"/>
      <c r="C124" s="45">
        <v>0</v>
      </c>
      <c r="D124" s="20">
        <f ca="1">((100/(H112))*C124)/100</f>
        <v>0</v>
      </c>
      <c r="E124" s="84"/>
      <c r="F124" s="85"/>
      <c r="G124" s="84"/>
      <c r="H124" s="88"/>
      <c r="I124" s="15" t="s">
        <v>108</v>
      </c>
      <c r="J124" s="32">
        <f ca="1">(IF(B112&gt;1.5,(H112/(B112+2)+J118+MAX(0,J119-J118)+MAX(0,J120-J119)+MAX(0,J121-J120)+MAX(0,J122-J121)+MAX(0,J123-J122)),IF(B112=1,(H112/(B112+3)+J123),IF(B112=0,H112/4+J123))))</f>
        <v>7</v>
      </c>
    </row>
    <row r="125" spans="1:10" ht="15.75" customHeight="1" x14ac:dyDescent="0.3">
      <c r="A125" s="70" t="s">
        <v>146</v>
      </c>
      <c r="B125" s="71"/>
      <c r="C125" s="72" t="str">
        <f>D61</f>
        <v>Building No. 3(A to C Wing) = G + 1st to 7th Floor</v>
      </c>
      <c r="D125" s="73"/>
      <c r="E125" s="73"/>
      <c r="F125" s="73"/>
      <c r="G125" s="73"/>
      <c r="H125" s="74"/>
      <c r="I125" s="49" t="str">
        <f ca="1">IF(D138=100%,"All work Completed. Possession granted to the Building.",IF(D137=100%,"All work Completed, Waiting for OC",I126&amp;""&amp;I127&amp;""&amp;J126&amp;""&amp;J125&amp;" "&amp;J127))</f>
        <v>All work Completed. Possession granted to the Building.</v>
      </c>
      <c r="J125" s="50" t="str">
        <f ca="1">(IF(C131=(D126+F126+H126),"",IF(C131&gt;0,", RCC upto "&amp;C131&amp;" Slab","")))&amp;(IF(C132=H126,"",IF(C132&gt;0,", Brickwork upto "&amp;C132&amp;" Floor","")))&amp;(IF(C133=H126,"",IF(C133&gt;0,", Internal Plaster upto "&amp;C133&amp;" Floor","")))&amp;(IF(C134=H126,"",IF(C134&gt;0,", External Plaster upto "&amp;C134&amp;" Floor","")))&amp;(IF(C135=H126,"",IF(C135&gt;0,", Flooring upto "&amp;C135&amp;" Floor","")))&amp;(IF(C136=H126,"",IF(C136&gt;0,", Painting upto "&amp;C136&amp;" Floor","")))&amp;(IF(C137=H126,"",IF(C137&gt;0,", Finishing upto "&amp;C137&amp;" Floor","")))&amp;(IF(C138=H126,"",IF(C138&gt;0,", Possession upto "&amp;C138&amp;" Floor","")))</f>
        <v/>
      </c>
    </row>
    <row r="126" spans="1:10" x14ac:dyDescent="0.3">
      <c r="A126" s="16" t="s">
        <v>148</v>
      </c>
      <c r="B126" s="56">
        <v>0</v>
      </c>
      <c r="C126" s="56" t="s">
        <v>74</v>
      </c>
      <c r="D126" s="56">
        <v>1</v>
      </c>
      <c r="E126" s="56" t="s">
        <v>73</v>
      </c>
      <c r="F126" s="56">
        <v>0</v>
      </c>
      <c r="G126" s="48" t="s">
        <v>83</v>
      </c>
      <c r="H126" s="17">
        <f ca="1">--TRIM(RIGHT(SUBSTITUTE(LEFT(C125,_xlfn.AGGREGATE(16,6,FIND({0,1,2,3,4,5,6,7,8,9},C125,ROW(INDIRECT("1:"&amp;LEN(C125)))),1))," ",REPT(" ",LEN(C125))),LEN(C125)))</f>
        <v>7</v>
      </c>
      <c r="I126" s="51" t="str">
        <f ca="1">IF(D129=100%,"Excavation","")&amp;IF(D130=100%,", Plinth","")&amp;IF(D131=100%,", RCC Slab","")&amp;IF(D132=100%,", Brickwork","")&amp;IF(D133=100%,", Internal Plaster","")&amp;IF(D134=100%,", External Plaster","")&amp;IF(D135=100%,", Flooring","")&amp;IF(D136=100%,", Painting","")&amp;IF(D137=100%,", Building common Amenities","")</f>
        <v>Excavation, Plinth, RCC Slab, Brickwork, Internal Plaster, External Plaster, Flooring, Painting, Building common Amenities</v>
      </c>
      <c r="J126" s="52" t="str">
        <f ca="1">(IF(C129=0,"Work not yet Started.",IF(D129=25%,"Piling work in process",IF(D129=50%,"Excavation work in process",IF(D129=100%,"","0")))))&amp;(IF(C130=0%,"",IF(C130=J131,", Footing work is process",IF(C130=J132,", Footing work Completed",IF(C130=J133,", 1st Basement Completed",IF(C130=J134,", 1st &amp; 2nd Basement Completed",IF(C130=J135,", 1st to 3rd Basement Completed",IF(C130=J136,", 1st to 4th Basement Completed",IF(C130=J137,", Plinth work is process",IF(C130=J138,"","0"))))))))))</f>
        <v/>
      </c>
    </row>
    <row r="127" spans="1:10" x14ac:dyDescent="0.3">
      <c r="A127" s="75" t="s">
        <v>93</v>
      </c>
      <c r="B127" s="76"/>
      <c r="C127" s="77" t="s">
        <v>237</v>
      </c>
      <c r="D127" s="77"/>
      <c r="E127" s="77"/>
      <c r="F127" s="77"/>
      <c r="G127" s="77"/>
      <c r="H127" s="78"/>
      <c r="I127" s="51" t="str">
        <f ca="1">IF(I126&lt;&gt;""," Completed","")</f>
        <v xml:space="preserve"> Completed</v>
      </c>
      <c r="J127" s="52" t="str">
        <f ca="1">IF(J125&lt;&gt;"","Completed","")</f>
        <v/>
      </c>
    </row>
    <row r="128" spans="1:10" ht="15.75" customHeight="1" x14ac:dyDescent="0.3">
      <c r="A128" s="59" t="s">
        <v>50</v>
      </c>
      <c r="B128" s="60"/>
      <c r="C128" s="44" t="s">
        <v>145</v>
      </c>
      <c r="D128" s="44" t="s">
        <v>86</v>
      </c>
      <c r="E128" s="60" t="s">
        <v>88</v>
      </c>
      <c r="F128" s="60"/>
      <c r="G128" s="60" t="s">
        <v>87</v>
      </c>
      <c r="H128" s="79"/>
      <c r="I128" s="14" t="s">
        <v>147</v>
      </c>
      <c r="J128" s="28">
        <f ca="1">H126*25%</f>
        <v>1.75</v>
      </c>
    </row>
    <row r="129" spans="1:10" x14ac:dyDescent="0.3">
      <c r="A129" s="59" t="s">
        <v>134</v>
      </c>
      <c r="B129" s="60"/>
      <c r="C129" s="44">
        <f ca="1">J130</f>
        <v>7</v>
      </c>
      <c r="D129" s="19">
        <f ca="1">((100/H126)*C129)/100</f>
        <v>1</v>
      </c>
      <c r="E129" s="80">
        <f ca="1">(((C130/H126*10)+(40/(D126+F126+H126)*C131)+(7.5/(H126)*C132)+(7.5/(H126)*C133)+(10/H126*C134)+(10/H126*C135)+(5/H126*C136)+(5/H126*C137)+(5/H126*C138))/100)</f>
        <v>1</v>
      </c>
      <c r="F129" s="81"/>
      <c r="G129" s="80">
        <f ca="1">((((C129/H126)*20)+((C130/H126)*25)+(30/(H126+F126+D126)*C131)+(5/H126*C132)+(5/H126*C133)+(5/H126*C134)+(5/H126*C135)+(0/H126*C136)+(0/H126*C137)+(5/H126*C138))/100)</f>
        <v>1</v>
      </c>
      <c r="H129" s="86"/>
      <c r="I129" s="14" t="s">
        <v>104</v>
      </c>
      <c r="J129" s="29">
        <f ca="1">H126*50%</f>
        <v>3.5</v>
      </c>
    </row>
    <row r="130" spans="1:10" x14ac:dyDescent="0.3">
      <c r="A130" s="59" t="s">
        <v>51</v>
      </c>
      <c r="B130" s="60"/>
      <c r="C130" s="57">
        <f ca="1">J138</f>
        <v>7</v>
      </c>
      <c r="D130" s="19">
        <f ca="1">((100/H126)*C130)/100</f>
        <v>1</v>
      </c>
      <c r="E130" s="82"/>
      <c r="F130" s="83"/>
      <c r="G130" s="82"/>
      <c r="H130" s="87"/>
      <c r="I130" s="14" t="s">
        <v>105</v>
      </c>
      <c r="J130" s="29">
        <f ca="1">H126</f>
        <v>7</v>
      </c>
    </row>
    <row r="131" spans="1:10" ht="15.75" customHeight="1" x14ac:dyDescent="0.3">
      <c r="A131" s="59" t="s">
        <v>135</v>
      </c>
      <c r="B131" s="60"/>
      <c r="C131" s="44">
        <v>8</v>
      </c>
      <c r="D131" s="19">
        <f ca="1">((100/(D126+F126+H126))*C131)/100</f>
        <v>1</v>
      </c>
      <c r="E131" s="82"/>
      <c r="F131" s="83"/>
      <c r="G131" s="82"/>
      <c r="H131" s="87"/>
      <c r="I131" s="14" t="s">
        <v>106</v>
      </c>
      <c r="J131" s="30">
        <f ca="1">(IF(B126&gt;1,(H126/(B126+2)),H126/4))</f>
        <v>1.75</v>
      </c>
    </row>
    <row r="132" spans="1:10" ht="15.75" customHeight="1" x14ac:dyDescent="0.3">
      <c r="A132" s="59" t="s">
        <v>142</v>
      </c>
      <c r="B132" s="60" t="s">
        <v>136</v>
      </c>
      <c r="C132" s="44">
        <v>7</v>
      </c>
      <c r="D132" s="19">
        <f ca="1">((100/H126)*C132)/100</f>
        <v>1</v>
      </c>
      <c r="E132" s="82"/>
      <c r="F132" s="83"/>
      <c r="G132" s="82"/>
      <c r="H132" s="87"/>
      <c r="I132" s="14" t="s">
        <v>107</v>
      </c>
      <c r="J132" s="30">
        <f ca="1">(IF(B126&gt;1,(H126/(B126+2)+J131),H126/4+J131))</f>
        <v>3.5</v>
      </c>
    </row>
    <row r="133" spans="1:10" ht="15.75" customHeight="1" x14ac:dyDescent="0.3">
      <c r="A133" s="59" t="s">
        <v>143</v>
      </c>
      <c r="B133" s="60" t="s">
        <v>136</v>
      </c>
      <c r="C133" s="44">
        <v>7</v>
      </c>
      <c r="D133" s="19">
        <f ca="1">((100/H126)*C133)/100</f>
        <v>1</v>
      </c>
      <c r="E133" s="82"/>
      <c r="F133" s="83"/>
      <c r="G133" s="82"/>
      <c r="H133" s="87"/>
      <c r="I133" s="14" t="s">
        <v>152</v>
      </c>
      <c r="J133" s="30">
        <f>(IF(B126&gt;1,(H126/(B126+2)+J132),0))</f>
        <v>0</v>
      </c>
    </row>
    <row r="134" spans="1:10" ht="15" customHeight="1" x14ac:dyDescent="0.3">
      <c r="A134" s="59" t="s">
        <v>141</v>
      </c>
      <c r="B134" s="60" t="s">
        <v>138</v>
      </c>
      <c r="C134" s="44">
        <v>7</v>
      </c>
      <c r="D134" s="19">
        <f ca="1">((100/(H126))*C134)/100</f>
        <v>1</v>
      </c>
      <c r="E134" s="82"/>
      <c r="F134" s="83"/>
      <c r="G134" s="82"/>
      <c r="H134" s="87"/>
      <c r="I134" s="14" t="s">
        <v>149</v>
      </c>
      <c r="J134" s="30">
        <f>(IF(B126&gt;2,(H126/(B126+2)+J133),0))</f>
        <v>0</v>
      </c>
    </row>
    <row r="135" spans="1:10" ht="15.75" customHeight="1" x14ac:dyDescent="0.3">
      <c r="A135" s="59" t="s">
        <v>137</v>
      </c>
      <c r="B135" s="60" t="s">
        <v>137</v>
      </c>
      <c r="C135" s="44">
        <v>7</v>
      </c>
      <c r="D135" s="19">
        <f ca="1">((100/H126)*C135)/100</f>
        <v>1</v>
      </c>
      <c r="E135" s="82"/>
      <c r="F135" s="83"/>
      <c r="G135" s="82"/>
      <c r="H135" s="87"/>
      <c r="I135" s="14" t="s">
        <v>150</v>
      </c>
      <c r="J135" s="31">
        <f>(IF(B126&gt;3,(H126/(B126+2)+J134),0))</f>
        <v>0</v>
      </c>
    </row>
    <row r="136" spans="1:10" ht="15.75" customHeight="1" x14ac:dyDescent="0.3">
      <c r="A136" s="59" t="s">
        <v>144</v>
      </c>
      <c r="B136" s="60"/>
      <c r="C136" s="44">
        <v>7</v>
      </c>
      <c r="D136" s="19">
        <f ca="1">((100/H126)*C136)/100</f>
        <v>1</v>
      </c>
      <c r="E136" s="82"/>
      <c r="F136" s="83"/>
      <c r="G136" s="82"/>
      <c r="H136" s="87"/>
      <c r="I136" s="14" t="s">
        <v>151</v>
      </c>
      <c r="J136" s="30">
        <f>(IF(B126&gt;4,(H126/(B126+2)+J135),0))</f>
        <v>0</v>
      </c>
    </row>
    <row r="137" spans="1:10" ht="15.75" customHeight="1" x14ac:dyDescent="0.3">
      <c r="A137" s="59" t="s">
        <v>139</v>
      </c>
      <c r="B137" s="60" t="s">
        <v>139</v>
      </c>
      <c r="C137" s="44">
        <v>7</v>
      </c>
      <c r="D137" s="19">
        <f ca="1">((100/(H126))*C137)/100</f>
        <v>1</v>
      </c>
      <c r="E137" s="82"/>
      <c r="F137" s="83"/>
      <c r="G137" s="82"/>
      <c r="H137" s="87"/>
      <c r="I137" s="14" t="s">
        <v>153</v>
      </c>
      <c r="J137" s="30">
        <f ca="1">(IF(B126=1,(H126/(B126+3)+J132),IF(B126=0,(H126/4+J132),IF(B126&gt;1,0))))</f>
        <v>5.25</v>
      </c>
    </row>
    <row r="138" spans="1:10" ht="16.2" thickBot="1" x14ac:dyDescent="0.35">
      <c r="A138" s="61" t="s">
        <v>140</v>
      </c>
      <c r="B138" s="62"/>
      <c r="C138" s="45">
        <v>7</v>
      </c>
      <c r="D138" s="20">
        <f ca="1">((100/(H126))*C138)/100</f>
        <v>1</v>
      </c>
      <c r="E138" s="84"/>
      <c r="F138" s="85"/>
      <c r="G138" s="84"/>
      <c r="H138" s="88"/>
      <c r="I138" s="15" t="s">
        <v>108</v>
      </c>
      <c r="J138" s="32">
        <f ca="1">(IF(B126&gt;1.5,(H126/(B126+2)+J132+MAX(0,J133-J132)+MAX(0,J134-J133)+MAX(0,J135-J134)+MAX(0,J136-J135)+MAX(0,J137-J136)),IF(B126=1,(H126/(B126+3)+J137),IF(B126=0,H126/4+J137))))</f>
        <v>7</v>
      </c>
    </row>
    <row r="139" spans="1:10" x14ac:dyDescent="0.3">
      <c r="A139" s="184" t="s">
        <v>163</v>
      </c>
      <c r="B139" s="184"/>
      <c r="C139" s="184"/>
      <c r="D139" s="184"/>
      <c r="E139" s="184"/>
      <c r="F139" s="182" t="s">
        <v>168</v>
      </c>
      <c r="G139" s="182"/>
      <c r="H139" s="182"/>
    </row>
    <row r="140" spans="1:10" x14ac:dyDescent="0.3">
      <c r="A140" s="98" t="s">
        <v>166</v>
      </c>
      <c r="B140" s="98"/>
      <c r="C140" s="98"/>
      <c r="D140" s="98"/>
      <c r="E140" s="98"/>
      <c r="F140" s="111">
        <v>4000</v>
      </c>
      <c r="G140" s="111"/>
      <c r="H140" s="111"/>
    </row>
    <row r="141" spans="1:10" x14ac:dyDescent="0.3">
      <c r="A141" s="98" t="s">
        <v>165</v>
      </c>
      <c r="B141" s="98"/>
      <c r="C141" s="98"/>
      <c r="D141" s="98"/>
      <c r="E141" s="98"/>
      <c r="F141" s="111">
        <v>7000</v>
      </c>
      <c r="G141" s="111"/>
      <c r="H141" s="111"/>
    </row>
    <row r="142" spans="1:10" hidden="1" x14ac:dyDescent="0.3">
      <c r="A142" s="98" t="s">
        <v>167</v>
      </c>
      <c r="B142" s="98"/>
      <c r="C142" s="98"/>
      <c r="D142" s="98"/>
      <c r="E142" s="98"/>
      <c r="F142" s="111"/>
      <c r="G142" s="111"/>
      <c r="H142" s="111"/>
    </row>
    <row r="143" spans="1:10" s="33" customFormat="1" hidden="1" x14ac:dyDescent="0.25">
      <c r="A143" s="98" t="s">
        <v>164</v>
      </c>
      <c r="B143" s="98"/>
      <c r="C143" s="98"/>
      <c r="D143" s="98"/>
      <c r="E143" s="98"/>
      <c r="F143" s="111"/>
      <c r="G143" s="111"/>
      <c r="H143" s="111"/>
    </row>
    <row r="144" spans="1:10" s="33" customFormat="1" hidden="1" x14ac:dyDescent="0.25">
      <c r="A144" s="98" t="s">
        <v>98</v>
      </c>
      <c r="B144" s="98"/>
      <c r="C144" s="98"/>
      <c r="D144" s="98"/>
      <c r="E144" s="98"/>
      <c r="F144" s="111"/>
      <c r="G144" s="111"/>
      <c r="H144" s="111"/>
    </row>
    <row r="145" spans="1:8" s="33" customFormat="1" hidden="1" x14ac:dyDescent="0.25">
      <c r="A145" s="98" t="s">
        <v>99</v>
      </c>
      <c r="B145" s="98"/>
      <c r="C145" s="98"/>
      <c r="D145" s="98"/>
      <c r="E145" s="98"/>
      <c r="F145" s="111"/>
      <c r="G145" s="111"/>
      <c r="H145" s="111"/>
    </row>
    <row r="146" spans="1:8" s="33" customFormat="1" hidden="1" x14ac:dyDescent="0.25">
      <c r="A146" s="98" t="s">
        <v>169</v>
      </c>
      <c r="B146" s="98"/>
      <c r="C146" s="98"/>
      <c r="D146" s="98"/>
      <c r="E146" s="98"/>
      <c r="F146" s="111"/>
      <c r="G146" s="111"/>
      <c r="H146" s="111"/>
    </row>
    <row r="147" spans="1:8" s="33" customFormat="1" hidden="1" x14ac:dyDescent="0.25">
      <c r="A147" s="98" t="s">
        <v>100</v>
      </c>
      <c r="B147" s="98"/>
      <c r="C147" s="98"/>
      <c r="D147" s="98"/>
      <c r="E147" s="98"/>
      <c r="F147" s="111"/>
      <c r="G147" s="111"/>
      <c r="H147" s="111"/>
    </row>
    <row r="148" spans="1:8" s="33" customFormat="1" hidden="1" x14ac:dyDescent="0.25">
      <c r="A148" s="98" t="s">
        <v>101</v>
      </c>
      <c r="B148" s="98"/>
      <c r="C148" s="98"/>
      <c r="D148" s="98"/>
      <c r="E148" s="98"/>
      <c r="F148" s="111"/>
      <c r="G148" s="111"/>
      <c r="H148" s="111"/>
    </row>
    <row r="149" spans="1:8" s="33" customFormat="1" hidden="1" x14ac:dyDescent="0.25">
      <c r="A149" s="98" t="s">
        <v>102</v>
      </c>
      <c r="B149" s="98"/>
      <c r="C149" s="98"/>
      <c r="D149" s="98"/>
      <c r="E149" s="98"/>
      <c r="F149" s="111"/>
      <c r="G149" s="111"/>
      <c r="H149" s="111"/>
    </row>
    <row r="150" spans="1:8" s="33" customFormat="1" hidden="1" x14ac:dyDescent="0.25">
      <c r="A150" s="98" t="s">
        <v>103</v>
      </c>
      <c r="B150" s="98"/>
      <c r="C150" s="98"/>
      <c r="D150" s="98"/>
      <c r="E150" s="98"/>
      <c r="F150" s="111"/>
      <c r="G150" s="111"/>
      <c r="H150" s="111"/>
    </row>
    <row r="151" spans="1:8" x14ac:dyDescent="0.3">
      <c r="A151" s="98" t="s">
        <v>52</v>
      </c>
      <c r="B151" s="98"/>
      <c r="C151" s="98"/>
      <c r="D151" s="98"/>
      <c r="E151" s="98"/>
      <c r="F151" s="111">
        <v>150000</v>
      </c>
      <c r="G151" s="111"/>
      <c r="H151" s="111"/>
    </row>
    <row r="152" spans="1:8" s="34" customFormat="1" x14ac:dyDescent="0.3">
      <c r="A152" s="162" t="s">
        <v>53</v>
      </c>
      <c r="B152" s="162"/>
      <c r="C152" s="162"/>
      <c r="D152" s="162"/>
      <c r="E152" s="162"/>
      <c r="F152" s="111">
        <f>F140*0.8</f>
        <v>3200</v>
      </c>
      <c r="G152" s="111"/>
      <c r="H152" s="111"/>
    </row>
    <row r="153" spans="1:8" s="35" customFormat="1" ht="15.75" customHeight="1" x14ac:dyDescent="0.3">
      <c r="A153" s="161" t="s">
        <v>78</v>
      </c>
      <c r="B153" s="161"/>
      <c r="C153" s="161"/>
      <c r="D153" s="161"/>
      <c r="E153" s="161"/>
      <c r="F153" s="161"/>
      <c r="G153" s="161"/>
      <c r="H153" s="161"/>
    </row>
    <row r="154" spans="1:8" s="35" customFormat="1" ht="15.75" customHeight="1" x14ac:dyDescent="0.3">
      <c r="A154" s="102" t="s">
        <v>54</v>
      </c>
      <c r="B154" s="102"/>
      <c r="C154" s="154" t="s">
        <v>81</v>
      </c>
      <c r="D154" s="154"/>
      <c r="E154" s="157" t="s">
        <v>55</v>
      </c>
      <c r="F154" s="157"/>
      <c r="G154" s="102" t="s">
        <v>56</v>
      </c>
      <c r="H154" s="102"/>
    </row>
    <row r="155" spans="1:8" s="35" customFormat="1" ht="37.5" customHeight="1" x14ac:dyDescent="0.3">
      <c r="A155" s="47" t="s">
        <v>193</v>
      </c>
      <c r="B155" s="58" t="s">
        <v>218</v>
      </c>
      <c r="C155" s="89">
        <f>COUNT(D179:D204)</f>
        <v>26</v>
      </c>
      <c r="D155" s="95"/>
      <c r="E155" s="112">
        <f>SUM(D179:D204)</f>
        <v>5547.4426799999983</v>
      </c>
      <c r="F155" s="113"/>
      <c r="G155" s="112">
        <f>SUM(F179:F204)</f>
        <v>8598.5361540000013</v>
      </c>
      <c r="H155" s="113"/>
    </row>
    <row r="156" spans="1:8" s="35" customFormat="1" ht="31.2" x14ac:dyDescent="0.3">
      <c r="A156" s="47" t="s">
        <v>204</v>
      </c>
      <c r="B156" s="58" t="s">
        <v>218</v>
      </c>
      <c r="C156" s="89">
        <f>COUNT(D208:D222)</f>
        <v>15</v>
      </c>
      <c r="D156" s="95"/>
      <c r="E156" s="112">
        <f>SUM(D208:D222)</f>
        <v>2355.5937600000002</v>
      </c>
      <c r="F156" s="113"/>
      <c r="G156" s="112">
        <f>SUM(F208:F222)</f>
        <v>3651.1703280000002</v>
      </c>
      <c r="H156" s="113"/>
    </row>
    <row r="157" spans="1:8" s="35" customFormat="1" ht="31.2" x14ac:dyDescent="0.3">
      <c r="A157" s="47" t="s">
        <v>205</v>
      </c>
      <c r="B157" s="58" t="s">
        <v>218</v>
      </c>
      <c r="C157" s="89">
        <f>COUNT(D226:D240)</f>
        <v>15</v>
      </c>
      <c r="D157" s="95"/>
      <c r="E157" s="112">
        <f>SUM(D226:D240)</f>
        <v>2355.5937600000002</v>
      </c>
      <c r="F157" s="113"/>
      <c r="G157" s="112">
        <f>SUM(F226:F240)</f>
        <v>3651.1703280000002</v>
      </c>
      <c r="H157" s="113"/>
    </row>
    <row r="158" spans="1:8" s="35" customFormat="1" x14ac:dyDescent="0.3">
      <c r="A158" s="161" t="s">
        <v>156</v>
      </c>
      <c r="B158" s="161"/>
      <c r="C158" s="156">
        <f>SUM(C155:C157)</f>
        <v>56</v>
      </c>
      <c r="D158" s="154"/>
      <c r="E158" s="156">
        <f t="shared" ref="E158" si="0">SUM(E155:E157)</f>
        <v>10258.630199999998</v>
      </c>
      <c r="F158" s="154"/>
      <c r="G158" s="156">
        <f t="shared" ref="G158" si="1">SUM(G155:G157)</f>
        <v>15900.876810000002</v>
      </c>
      <c r="H158" s="154"/>
    </row>
    <row r="159" spans="1:8" s="35" customFormat="1" x14ac:dyDescent="0.3">
      <c r="A159" s="161" t="s">
        <v>72</v>
      </c>
      <c r="B159" s="161"/>
      <c r="C159" s="161"/>
      <c r="D159" s="161"/>
      <c r="E159" s="161"/>
      <c r="F159" s="161"/>
      <c r="G159" s="161"/>
      <c r="H159" s="161"/>
    </row>
    <row r="160" spans="1:8" s="35" customFormat="1" ht="15.75" customHeight="1" x14ac:dyDescent="0.3">
      <c r="A160" s="102" t="s">
        <v>54</v>
      </c>
      <c r="B160" s="102"/>
      <c r="C160" s="154" t="s">
        <v>81</v>
      </c>
      <c r="D160" s="154"/>
      <c r="E160" s="157" t="s">
        <v>55</v>
      </c>
      <c r="F160" s="157"/>
      <c r="G160" s="102" t="s">
        <v>56</v>
      </c>
      <c r="H160" s="102"/>
    </row>
    <row r="161" spans="1:10" s="35" customFormat="1" ht="15.75" customHeight="1" x14ac:dyDescent="0.3">
      <c r="A161" s="91" t="s">
        <v>193</v>
      </c>
      <c r="B161" s="47" t="s">
        <v>200</v>
      </c>
      <c r="C161" s="89">
        <f>COUNT(D247:D250)+COUNT(D252:D255)*6</f>
        <v>28</v>
      </c>
      <c r="D161" s="95"/>
      <c r="E161" s="90">
        <f>SUM(D247:D250)+SUM(D252:D255)*6</f>
        <v>13775.7672</v>
      </c>
      <c r="F161" s="96"/>
      <c r="G161" s="90">
        <f>SUM(F247:F250)+SUM(F252:F255)*6</f>
        <v>21207.421169999998</v>
      </c>
      <c r="H161" s="96"/>
    </row>
    <row r="162" spans="1:10" s="35" customFormat="1" x14ac:dyDescent="0.3">
      <c r="A162" s="91"/>
      <c r="B162" s="47" t="s">
        <v>196</v>
      </c>
      <c r="C162" s="89">
        <f>COUNT(D258)+COUNT(D260:D263)+COUNT(D265:D268)*6</f>
        <v>29</v>
      </c>
      <c r="D162" s="89"/>
      <c r="E162" s="90">
        <f>SUM(D258)+SUM(D260:D263)+SUM(D265:D268)*6</f>
        <v>10258.95312</v>
      </c>
      <c r="F162" s="90"/>
      <c r="G162" s="90">
        <f>SUM(F258)+SUM(F260:F263)+SUM(F265:F268)*6</f>
        <v>15548.2392</v>
      </c>
      <c r="H162" s="90"/>
    </row>
    <row r="163" spans="1:10" s="35" customFormat="1" ht="15.75" customHeight="1" x14ac:dyDescent="0.3">
      <c r="A163" s="91"/>
      <c r="B163" s="47" t="s">
        <v>198</v>
      </c>
      <c r="C163" s="89">
        <f>COUNT(D271)+COUNT(D273:D276)+COUNT(D278:D281)*6</f>
        <v>29</v>
      </c>
      <c r="D163" s="95"/>
      <c r="E163" s="90">
        <f>SUM(D271)+SUM(D273:D276)+SUM(D278:D281)*6</f>
        <v>10258.95312</v>
      </c>
      <c r="F163" s="96"/>
      <c r="G163" s="90">
        <f>SUM(F271)+SUM(F273:F276)+SUM(F278:F281)*6</f>
        <v>15648.82878</v>
      </c>
      <c r="H163" s="96"/>
    </row>
    <row r="164" spans="1:10" s="35" customFormat="1" x14ac:dyDescent="0.3">
      <c r="A164" s="92" t="s">
        <v>204</v>
      </c>
      <c r="B164" s="47" t="s">
        <v>200</v>
      </c>
      <c r="C164" s="89">
        <f>COUNT(D285)+COUNT(D287:D290)+COUNT(D292:D295)*6</f>
        <v>29</v>
      </c>
      <c r="D164" s="89"/>
      <c r="E164" s="90">
        <f>SUM(D285)+SUM(D287:D290)+SUM(D292:D295)*6</f>
        <v>10258.95312</v>
      </c>
      <c r="F164" s="90"/>
      <c r="G164" s="90">
        <f>SUM(F285)+SUM(F287:F290)+SUM(F292:F295)*6</f>
        <v>15534.03969</v>
      </c>
      <c r="H164" s="90"/>
    </row>
    <row r="165" spans="1:10" s="35" customFormat="1" ht="15.75" customHeight="1" x14ac:dyDescent="0.3">
      <c r="A165" s="93" t="s">
        <v>193</v>
      </c>
      <c r="B165" s="47" t="s">
        <v>196</v>
      </c>
      <c r="C165" s="89">
        <f>COUNT(D298)+COUNT(D300:D303)+COUNT(D305:D308)*6</f>
        <v>29</v>
      </c>
      <c r="D165" s="89"/>
      <c r="E165" s="90">
        <f>SUM(D298)+SUM(D300:D303)+SUM(D305:D308)*6</f>
        <v>10258.95312</v>
      </c>
      <c r="F165" s="90"/>
      <c r="G165" s="90">
        <f>SUM(F298)+SUM(F300:F303)+SUM(F305:F308)*6</f>
        <v>15518.189699999999</v>
      </c>
      <c r="H165" s="90"/>
    </row>
    <row r="166" spans="1:10" s="35" customFormat="1" x14ac:dyDescent="0.3">
      <c r="A166" s="94"/>
      <c r="B166" s="47" t="s">
        <v>198</v>
      </c>
      <c r="C166" s="89">
        <f>COUNT(D311)+COUNT(D313:D316)+COUNT(D318:D321)*6</f>
        <v>29</v>
      </c>
      <c r="D166" s="89"/>
      <c r="E166" s="90">
        <f>SUM(D311)+SUM(D313:D316)+SUM(D318:D321)*6</f>
        <v>10258.95312</v>
      </c>
      <c r="F166" s="90"/>
      <c r="G166" s="90">
        <f>SUM(F311)+SUM(F313:F316)+SUM(F318:F321)*6</f>
        <v>15514.09938</v>
      </c>
      <c r="H166" s="90"/>
    </row>
    <row r="167" spans="1:10" s="35" customFormat="1" x14ac:dyDescent="0.3">
      <c r="A167" s="92" t="s">
        <v>205</v>
      </c>
      <c r="B167" s="47" t="s">
        <v>200</v>
      </c>
      <c r="C167" s="89">
        <f>COUNT(D325)+COUNT(D327:D330)+COUNT(D332:D335)*6</f>
        <v>29</v>
      </c>
      <c r="D167" s="95"/>
      <c r="E167" s="90">
        <f>SUM(D325)+SUM(D327:D330)+SUM(D332:D335)*6</f>
        <v>10258.95312</v>
      </c>
      <c r="F167" s="96"/>
      <c r="G167" s="90">
        <f>SUM(F325)+SUM(F327:F330)+SUM(F332:F335)*6</f>
        <v>15534.03969</v>
      </c>
      <c r="H167" s="96"/>
    </row>
    <row r="168" spans="1:10" s="35" customFormat="1" x14ac:dyDescent="0.3">
      <c r="A168" s="93"/>
      <c r="B168" s="47" t="s">
        <v>196</v>
      </c>
      <c r="C168" s="89">
        <f>COUNT(D338)+COUNT(D340:D343)+COUNT(D345:D348)*6</f>
        <v>29</v>
      </c>
      <c r="D168" s="89"/>
      <c r="E168" s="90">
        <f>SUM(D338)+SUM(D340:D343)+SUM(D345:D348)*6</f>
        <v>10258.95312</v>
      </c>
      <c r="F168" s="90"/>
      <c r="G168" s="90">
        <f>SUM(F338)+SUM(F340:F343)+SUM(F345:F348)*6</f>
        <v>15518.189699999999</v>
      </c>
      <c r="H168" s="90"/>
    </row>
    <row r="169" spans="1:10" s="35" customFormat="1" x14ac:dyDescent="0.3">
      <c r="A169" s="94"/>
      <c r="B169" s="47" t="s">
        <v>198</v>
      </c>
      <c r="C169" s="89">
        <f>COUNT(D351)+COUNT(D353:D356)+COUNT(D358:D361)*6</f>
        <v>29</v>
      </c>
      <c r="D169" s="89"/>
      <c r="E169" s="90">
        <f>SUM(D351)+SUM(D353:D356)+SUM(D358:D361)*6</f>
        <v>10258.95312</v>
      </c>
      <c r="F169" s="90"/>
      <c r="G169" s="90">
        <f>SUM(F351)+SUM(F353:F356)+SUM(F358:F361)*6</f>
        <v>15514.09938</v>
      </c>
      <c r="H169" s="90"/>
    </row>
    <row r="170" spans="1:10" s="35" customFormat="1" x14ac:dyDescent="0.3">
      <c r="A170" s="161" t="s">
        <v>156</v>
      </c>
      <c r="B170" s="161"/>
      <c r="C170" s="156">
        <f>SUM(C161:C169)</f>
        <v>260</v>
      </c>
      <c r="D170" s="154"/>
      <c r="E170" s="156">
        <f t="shared" ref="E170" si="2">SUM(E161:E169)</f>
        <v>95847.392160000003</v>
      </c>
      <c r="F170" s="154"/>
      <c r="G170" s="156">
        <f t="shared" ref="G170" si="3">SUM(G161:G169)</f>
        <v>145537.14669000002</v>
      </c>
      <c r="H170" s="154"/>
    </row>
    <row r="171" spans="1:10" s="35" customFormat="1" x14ac:dyDescent="0.3">
      <c r="A171" s="161" t="s">
        <v>221</v>
      </c>
      <c r="B171" s="161"/>
      <c r="C171" s="156">
        <f>C170+C158</f>
        <v>316</v>
      </c>
      <c r="D171" s="154"/>
      <c r="E171" s="156">
        <f>E170+E158</f>
        <v>106106.02236</v>
      </c>
      <c r="F171" s="154"/>
      <c r="G171" s="156">
        <f>G170+G158</f>
        <v>161438.02350000001</v>
      </c>
      <c r="H171" s="154"/>
    </row>
    <row r="172" spans="1:10" s="34" customFormat="1" x14ac:dyDescent="0.3">
      <c r="A172" s="155" t="s">
        <v>57</v>
      </c>
      <c r="B172" s="155"/>
      <c r="C172" s="155"/>
      <c r="D172" s="155"/>
      <c r="E172" s="155"/>
      <c r="F172" s="155"/>
      <c r="G172" s="155"/>
      <c r="H172" s="155"/>
    </row>
    <row r="173" spans="1:10" x14ac:dyDescent="0.3">
      <c r="A173" s="155" t="s">
        <v>58</v>
      </c>
      <c r="B173" s="155"/>
      <c r="C173" s="155"/>
      <c r="D173" s="155"/>
      <c r="E173" s="155"/>
      <c r="F173" s="155"/>
      <c r="G173" s="155"/>
      <c r="H173" s="155"/>
    </row>
    <row r="174" spans="1:10" ht="47.25" customHeight="1" x14ac:dyDescent="0.3">
      <c r="A174" s="103" t="s">
        <v>124</v>
      </c>
      <c r="B174" s="103" t="s">
        <v>123</v>
      </c>
      <c r="C174" s="103" t="s">
        <v>59</v>
      </c>
      <c r="D174" s="103" t="s">
        <v>60</v>
      </c>
      <c r="E174" s="105" t="s">
        <v>162</v>
      </c>
      <c r="F174" s="43" t="s">
        <v>155</v>
      </c>
      <c r="G174" s="107" t="s">
        <v>62</v>
      </c>
      <c r="H174" s="108"/>
    </row>
    <row r="175" spans="1:10" s="37" customFormat="1" x14ac:dyDescent="0.3">
      <c r="A175" s="104"/>
      <c r="B175" s="104"/>
      <c r="C175" s="104"/>
      <c r="D175" s="104"/>
      <c r="E175" s="106"/>
      <c r="F175" s="13">
        <v>0.55000000000000004</v>
      </c>
      <c r="G175" s="109"/>
      <c r="H175" s="110"/>
    </row>
    <row r="176" spans="1:10" s="37" customFormat="1" x14ac:dyDescent="0.3">
      <c r="A176" s="147" t="s">
        <v>193</v>
      </c>
      <c r="B176" s="148"/>
      <c r="C176" s="148"/>
      <c r="D176" s="148"/>
      <c r="E176" s="148"/>
      <c r="F176" s="148"/>
      <c r="G176" s="148"/>
      <c r="H176" s="149"/>
      <c r="J176" s="36"/>
    </row>
    <row r="177" spans="1:14" s="37" customFormat="1" x14ac:dyDescent="0.3">
      <c r="A177" s="147" t="s">
        <v>218</v>
      </c>
      <c r="B177" s="148"/>
      <c r="C177" s="148"/>
      <c r="D177" s="148"/>
      <c r="E177" s="148"/>
      <c r="F177" s="148"/>
      <c r="G177" s="148"/>
      <c r="H177" s="149"/>
      <c r="J177" s="36"/>
    </row>
    <row r="178" spans="1:14" s="37" customFormat="1" ht="32.25" customHeight="1" x14ac:dyDescent="0.3">
      <c r="A178" s="147" t="s">
        <v>194</v>
      </c>
      <c r="B178" s="148"/>
      <c r="C178" s="148"/>
      <c r="D178" s="148"/>
      <c r="E178" s="148"/>
      <c r="F178" s="148"/>
      <c r="G178" s="148"/>
      <c r="H178" s="149"/>
      <c r="J178" s="36"/>
    </row>
    <row r="179" spans="1:14" s="37" customFormat="1" ht="15.75" customHeight="1" x14ac:dyDescent="0.3">
      <c r="A179" s="69">
        <v>1</v>
      </c>
      <c r="B179" s="69"/>
      <c r="C179" s="42" t="s">
        <v>195</v>
      </c>
      <c r="D179" s="55">
        <f>(16.63)*(10.764)</f>
        <v>179.00531999999998</v>
      </c>
      <c r="E179" s="42">
        <v>0</v>
      </c>
      <c r="F179" s="42">
        <f>(D179+E179)*(($F$175)+1)</f>
        <v>277.45824599999997</v>
      </c>
      <c r="G179" s="69" t="str">
        <f>A178</f>
        <v>Ground Floor For Entrance Lobby, Society Office, Electric Meter Room, Commercial &amp; Parking</v>
      </c>
      <c r="H179" s="69"/>
      <c r="I179" s="53">
        <f>6.05*2.75</f>
        <v>16.637499999999999</v>
      </c>
      <c r="L179" s="180"/>
      <c r="M179" s="180"/>
      <c r="N179" s="36"/>
    </row>
    <row r="180" spans="1:14" s="37" customFormat="1" ht="15.75" customHeight="1" x14ac:dyDescent="0.3">
      <c r="A180" s="69">
        <f t="shared" ref="A180:A204" si="4">A179+1</f>
        <v>2</v>
      </c>
      <c r="B180" s="69"/>
      <c r="C180" s="42" t="s">
        <v>195</v>
      </c>
      <c r="D180" s="55">
        <f>(18.42)*(10.764)</f>
        <v>198.27288000000001</v>
      </c>
      <c r="E180" s="42">
        <v>0</v>
      </c>
      <c r="F180" s="42">
        <f t="shared" ref="F180:F182" si="5">(D180+E180)*(($F$175)+1)</f>
        <v>307.32296400000001</v>
      </c>
      <c r="G180" s="69"/>
      <c r="H180" s="69"/>
      <c r="I180" s="55">
        <f>10.764</f>
        <v>10.763999999999999</v>
      </c>
      <c r="L180" s="180"/>
      <c r="M180" s="180"/>
      <c r="N180" s="36"/>
    </row>
    <row r="181" spans="1:14" s="37" customFormat="1" ht="15.75" customHeight="1" x14ac:dyDescent="0.3">
      <c r="A181" s="69">
        <f t="shared" si="4"/>
        <v>3</v>
      </c>
      <c r="B181" s="69"/>
      <c r="C181" s="42" t="s">
        <v>195</v>
      </c>
      <c r="D181" s="55">
        <f>(20.35)*(10.764)</f>
        <v>219.04740000000001</v>
      </c>
      <c r="E181" s="42">
        <v>0</v>
      </c>
      <c r="F181" s="42">
        <f t="shared" si="5"/>
        <v>339.52347000000003</v>
      </c>
      <c r="G181" s="69"/>
      <c r="H181" s="69"/>
      <c r="I181" s="36"/>
      <c r="L181" s="180"/>
      <c r="M181" s="180"/>
      <c r="N181" s="36"/>
    </row>
    <row r="182" spans="1:14" s="37" customFormat="1" ht="15.75" customHeight="1" x14ac:dyDescent="0.3">
      <c r="A182" s="69">
        <f t="shared" si="4"/>
        <v>4</v>
      </c>
      <c r="B182" s="69"/>
      <c r="C182" s="42" t="s">
        <v>195</v>
      </c>
      <c r="D182" s="55">
        <f>(22.13)*(10.764)</f>
        <v>238.20731999999998</v>
      </c>
      <c r="E182" s="42">
        <v>0</v>
      </c>
      <c r="F182" s="42">
        <f t="shared" si="5"/>
        <v>369.22134599999998</v>
      </c>
      <c r="G182" s="69"/>
      <c r="H182" s="69"/>
      <c r="I182" s="36"/>
      <c r="L182" s="180"/>
      <c r="M182" s="180"/>
      <c r="N182" s="36"/>
    </row>
    <row r="183" spans="1:14" s="37" customFormat="1" x14ac:dyDescent="0.3">
      <c r="A183" s="69">
        <f t="shared" si="4"/>
        <v>5</v>
      </c>
      <c r="B183" s="69"/>
      <c r="C183" s="42" t="s">
        <v>195</v>
      </c>
      <c r="D183" s="55">
        <f>(24.5)*(10.764)</f>
        <v>263.71799999999996</v>
      </c>
      <c r="E183" s="42">
        <v>0</v>
      </c>
      <c r="F183" s="42">
        <f>(D183+E183)*(($F$175)+1)</f>
        <v>408.76289999999995</v>
      </c>
      <c r="G183" s="69"/>
      <c r="H183" s="69"/>
      <c r="I183" s="36"/>
      <c r="L183" s="180"/>
      <c r="M183" s="180"/>
      <c r="N183" s="36"/>
    </row>
    <row r="184" spans="1:14" s="37" customFormat="1" x14ac:dyDescent="0.3">
      <c r="A184" s="69">
        <f t="shared" si="4"/>
        <v>6</v>
      </c>
      <c r="B184" s="69"/>
      <c r="C184" s="42" t="s">
        <v>195</v>
      </c>
      <c r="D184" s="55">
        <f>(25.5)*(10.764)</f>
        <v>274.48199999999997</v>
      </c>
      <c r="E184" s="42">
        <v>0</v>
      </c>
      <c r="F184" s="42">
        <f t="shared" ref="F184:F186" si="6">(D184+E184)*(($F$175)+1)</f>
        <v>425.44709999999998</v>
      </c>
      <c r="G184" s="69"/>
      <c r="H184" s="69"/>
      <c r="I184" s="36"/>
      <c r="L184" s="180"/>
      <c r="M184" s="180"/>
      <c r="N184" s="36"/>
    </row>
    <row r="185" spans="1:14" s="37" customFormat="1" x14ac:dyDescent="0.3">
      <c r="A185" s="69">
        <f t="shared" si="4"/>
        <v>7</v>
      </c>
      <c r="B185" s="69"/>
      <c r="C185" s="42" t="s">
        <v>195</v>
      </c>
      <c r="D185" s="55">
        <f>(9.1)*(10.764)</f>
        <v>97.952399999999997</v>
      </c>
      <c r="E185" s="42">
        <v>0</v>
      </c>
      <c r="F185" s="42">
        <f t="shared" si="6"/>
        <v>151.82622000000001</v>
      </c>
      <c r="G185" s="69"/>
      <c r="H185" s="69"/>
      <c r="I185" s="36"/>
      <c r="L185" s="180"/>
      <c r="M185" s="180"/>
      <c r="N185" s="36"/>
    </row>
    <row r="186" spans="1:14" s="37" customFormat="1" x14ac:dyDescent="0.3">
      <c r="A186" s="69">
        <f t="shared" si="4"/>
        <v>8</v>
      </c>
      <c r="B186" s="69"/>
      <c r="C186" s="42" t="s">
        <v>195</v>
      </c>
      <c r="D186" s="55">
        <f>(9.1)*(10.764)</f>
        <v>97.952399999999997</v>
      </c>
      <c r="E186" s="42">
        <v>0</v>
      </c>
      <c r="F186" s="42">
        <f t="shared" si="6"/>
        <v>151.82622000000001</v>
      </c>
      <c r="G186" s="69"/>
      <c r="H186" s="69"/>
      <c r="I186" s="36">
        <f>5.1*1.93</f>
        <v>9.8429999999999982</v>
      </c>
      <c r="L186" s="180"/>
      <c r="M186" s="180"/>
      <c r="N186" s="36"/>
    </row>
    <row r="187" spans="1:14" s="37" customFormat="1" x14ac:dyDescent="0.3">
      <c r="A187" s="69">
        <f t="shared" si="4"/>
        <v>9</v>
      </c>
      <c r="B187" s="69"/>
      <c r="C187" s="42" t="s">
        <v>195</v>
      </c>
      <c r="D187" s="55">
        <f>(15.64)*(10.764)</f>
        <v>168.34896000000001</v>
      </c>
      <c r="E187" s="42">
        <v>0</v>
      </c>
      <c r="F187" s="42">
        <f>(D187+E187)*(($F$175)+1)</f>
        <v>260.94088800000003</v>
      </c>
      <c r="G187" s="69"/>
      <c r="H187" s="69"/>
      <c r="I187" s="36"/>
      <c r="L187" s="180"/>
      <c r="M187" s="180"/>
      <c r="N187" s="36"/>
    </row>
    <row r="188" spans="1:14" s="37" customFormat="1" x14ac:dyDescent="0.3">
      <c r="A188" s="69">
        <f t="shared" si="4"/>
        <v>10</v>
      </c>
      <c r="B188" s="69"/>
      <c r="C188" s="42" t="s">
        <v>195</v>
      </c>
      <c r="D188" s="55">
        <f>(29.41)*(10.764)</f>
        <v>316.56923999999998</v>
      </c>
      <c r="E188" s="42">
        <v>0</v>
      </c>
      <c r="F188" s="42">
        <f t="shared" ref="F188:F190" si="7">(D188+E188)*(($F$175)+1)</f>
        <v>490.682322</v>
      </c>
      <c r="G188" s="69"/>
      <c r="H188" s="69"/>
      <c r="I188" s="36"/>
      <c r="L188" s="180"/>
      <c r="M188" s="180"/>
      <c r="N188" s="36"/>
    </row>
    <row r="189" spans="1:14" s="37" customFormat="1" x14ac:dyDescent="0.3">
      <c r="A189" s="69">
        <f t="shared" si="4"/>
        <v>11</v>
      </c>
      <c r="B189" s="69"/>
      <c r="C189" s="42" t="s">
        <v>195</v>
      </c>
      <c r="D189" s="55">
        <f>(24.33)*(10.764)</f>
        <v>261.88811999999996</v>
      </c>
      <c r="E189" s="42">
        <v>0</v>
      </c>
      <c r="F189" s="42">
        <f t="shared" si="7"/>
        <v>405.92658599999993</v>
      </c>
      <c r="G189" s="69"/>
      <c r="H189" s="69"/>
      <c r="I189" s="36"/>
      <c r="L189" s="180"/>
      <c r="M189" s="180"/>
      <c r="N189" s="36"/>
    </row>
    <row r="190" spans="1:14" s="37" customFormat="1" x14ac:dyDescent="0.3">
      <c r="A190" s="69">
        <f t="shared" si="4"/>
        <v>12</v>
      </c>
      <c r="B190" s="69"/>
      <c r="C190" s="42" t="s">
        <v>195</v>
      </c>
      <c r="D190" s="55">
        <f>(24.33)*(10.764)</f>
        <v>261.88811999999996</v>
      </c>
      <c r="E190" s="42">
        <v>0</v>
      </c>
      <c r="F190" s="42">
        <f t="shared" si="7"/>
        <v>405.92658599999993</v>
      </c>
      <c r="G190" s="69"/>
      <c r="H190" s="69"/>
      <c r="I190" s="36"/>
      <c r="L190" s="180"/>
      <c r="M190" s="180"/>
      <c r="N190" s="36"/>
    </row>
    <row r="191" spans="1:14" s="37" customFormat="1" x14ac:dyDescent="0.3">
      <c r="A191" s="69">
        <f t="shared" si="4"/>
        <v>13</v>
      </c>
      <c r="B191" s="69"/>
      <c r="C191" s="42" t="s">
        <v>195</v>
      </c>
      <c r="D191" s="55">
        <f>(20.37)*(10.764)</f>
        <v>219.26267999999999</v>
      </c>
      <c r="E191" s="42">
        <v>0</v>
      </c>
      <c r="F191" s="42">
        <f>(D191+E191)*(($F$175)+1)</f>
        <v>339.85715399999998</v>
      </c>
      <c r="G191" s="69"/>
      <c r="H191" s="69"/>
      <c r="I191" s="36"/>
      <c r="L191" s="180"/>
      <c r="M191" s="180"/>
      <c r="N191" s="36"/>
    </row>
    <row r="192" spans="1:14" s="37" customFormat="1" x14ac:dyDescent="0.3">
      <c r="A192" s="69">
        <f t="shared" si="4"/>
        <v>14</v>
      </c>
      <c r="B192" s="69"/>
      <c r="C192" s="42" t="s">
        <v>195</v>
      </c>
      <c r="D192" s="55">
        <f>(21.5)*(10.764)</f>
        <v>231.42599999999999</v>
      </c>
      <c r="E192" s="42">
        <v>0</v>
      </c>
      <c r="F192" s="42">
        <f t="shared" ref="F192:F194" si="8">(D192+E192)*(($F$175)+1)</f>
        <v>358.71030000000002</v>
      </c>
      <c r="G192" s="69"/>
      <c r="H192" s="69"/>
      <c r="I192" s="36">
        <f>3*6.7</f>
        <v>20.100000000000001</v>
      </c>
      <c r="L192" s="180"/>
      <c r="M192" s="180"/>
      <c r="N192" s="36"/>
    </row>
    <row r="193" spans="1:14" s="37" customFormat="1" x14ac:dyDescent="0.3">
      <c r="A193" s="69">
        <f t="shared" si="4"/>
        <v>15</v>
      </c>
      <c r="B193" s="69"/>
      <c r="C193" s="42" t="s">
        <v>195</v>
      </c>
      <c r="D193" s="55">
        <f>(12.06)*(10.764)</f>
        <v>129.81384</v>
      </c>
      <c r="E193" s="42">
        <v>0</v>
      </c>
      <c r="F193" s="42">
        <f t="shared" si="8"/>
        <v>201.21145200000001</v>
      </c>
      <c r="G193" s="69"/>
      <c r="H193" s="69"/>
      <c r="I193" s="36"/>
      <c r="L193" s="180"/>
      <c r="M193" s="180"/>
      <c r="N193" s="36"/>
    </row>
    <row r="194" spans="1:14" s="37" customFormat="1" x14ac:dyDescent="0.3">
      <c r="A194" s="69">
        <f t="shared" si="4"/>
        <v>16</v>
      </c>
      <c r="B194" s="69"/>
      <c r="C194" s="42" t="s">
        <v>195</v>
      </c>
      <c r="D194" s="55">
        <f>(21.68)*(10.764)</f>
        <v>233.36351999999999</v>
      </c>
      <c r="E194" s="42">
        <v>0</v>
      </c>
      <c r="F194" s="42">
        <f t="shared" si="8"/>
        <v>361.71345600000001</v>
      </c>
      <c r="G194" s="69"/>
      <c r="H194" s="69"/>
      <c r="I194" s="36"/>
      <c r="L194" s="180"/>
      <c r="M194" s="180"/>
      <c r="N194" s="36"/>
    </row>
    <row r="195" spans="1:14" s="37" customFormat="1" x14ac:dyDescent="0.3">
      <c r="A195" s="69">
        <f t="shared" si="4"/>
        <v>17</v>
      </c>
      <c r="B195" s="69"/>
      <c r="C195" s="42" t="s">
        <v>195</v>
      </c>
      <c r="D195" s="55">
        <f>(28.76)*(10.764)</f>
        <v>309.57263999999998</v>
      </c>
      <c r="E195" s="42">
        <v>0</v>
      </c>
      <c r="F195" s="42">
        <f>(D195+E195)*(($F$175)+1)</f>
        <v>479.83759199999997</v>
      </c>
      <c r="G195" s="69"/>
      <c r="H195" s="69"/>
      <c r="I195" s="36"/>
      <c r="L195" s="180"/>
      <c r="M195" s="180"/>
      <c r="N195" s="36"/>
    </row>
    <row r="196" spans="1:14" s="37" customFormat="1" x14ac:dyDescent="0.3">
      <c r="A196" s="69">
        <f t="shared" si="4"/>
        <v>18</v>
      </c>
      <c r="B196" s="69"/>
      <c r="C196" s="42" t="s">
        <v>195</v>
      </c>
      <c r="D196" s="55">
        <f>(21.68)*(10.764)</f>
        <v>233.36351999999999</v>
      </c>
      <c r="E196" s="42">
        <v>0</v>
      </c>
      <c r="F196" s="42">
        <f t="shared" ref="F196:F198" si="9">(D196+E196)*(($F$175)+1)</f>
        <v>361.71345600000001</v>
      </c>
      <c r="G196" s="69"/>
      <c r="H196" s="69"/>
      <c r="I196" s="36"/>
      <c r="L196" s="180"/>
      <c r="M196" s="180"/>
      <c r="N196" s="36"/>
    </row>
    <row r="197" spans="1:14" s="37" customFormat="1" x14ac:dyDescent="0.3">
      <c r="A197" s="69">
        <f t="shared" si="4"/>
        <v>19</v>
      </c>
      <c r="B197" s="69"/>
      <c r="C197" s="42" t="s">
        <v>195</v>
      </c>
      <c r="D197" s="55">
        <f>(12.06)*(10.764)</f>
        <v>129.81384</v>
      </c>
      <c r="E197" s="42">
        <v>0</v>
      </c>
      <c r="F197" s="42">
        <f t="shared" si="9"/>
        <v>201.21145200000001</v>
      </c>
      <c r="G197" s="69"/>
      <c r="H197" s="69"/>
      <c r="I197" s="36"/>
      <c r="L197" s="180"/>
      <c r="M197" s="180"/>
      <c r="N197" s="36"/>
    </row>
    <row r="198" spans="1:14" s="37" customFormat="1" x14ac:dyDescent="0.3">
      <c r="A198" s="69">
        <f t="shared" si="4"/>
        <v>20</v>
      </c>
      <c r="B198" s="69"/>
      <c r="C198" s="42" t="s">
        <v>195</v>
      </c>
      <c r="D198" s="55">
        <f>(12.06)*(10.764)</f>
        <v>129.81384</v>
      </c>
      <c r="E198" s="42">
        <v>0</v>
      </c>
      <c r="F198" s="42">
        <f t="shared" si="9"/>
        <v>201.21145200000001</v>
      </c>
      <c r="G198" s="69"/>
      <c r="H198" s="69"/>
      <c r="I198" s="36"/>
      <c r="L198" s="180"/>
      <c r="M198" s="180"/>
      <c r="N198" s="36"/>
    </row>
    <row r="199" spans="1:14" s="37" customFormat="1" x14ac:dyDescent="0.3">
      <c r="A199" s="69">
        <f t="shared" si="4"/>
        <v>21</v>
      </c>
      <c r="B199" s="69"/>
      <c r="C199" s="42" t="s">
        <v>195</v>
      </c>
      <c r="D199" s="55">
        <f>(21.68)*(10.764)</f>
        <v>233.36351999999999</v>
      </c>
      <c r="E199" s="42">
        <v>0</v>
      </c>
      <c r="F199" s="42">
        <f>(D199+E199)*(($F$175)+1)</f>
        <v>361.71345600000001</v>
      </c>
      <c r="G199" s="69"/>
      <c r="H199" s="69"/>
      <c r="I199" s="36"/>
      <c r="L199" s="180"/>
      <c r="M199" s="180"/>
      <c r="N199" s="36"/>
    </row>
    <row r="200" spans="1:14" s="37" customFormat="1" x14ac:dyDescent="0.3">
      <c r="A200" s="69">
        <f t="shared" si="4"/>
        <v>22</v>
      </c>
      <c r="B200" s="69"/>
      <c r="C200" s="42" t="s">
        <v>195</v>
      </c>
      <c r="D200" s="55">
        <f>(28.76)*(10.764)</f>
        <v>309.57263999999998</v>
      </c>
      <c r="E200" s="42">
        <v>0</v>
      </c>
      <c r="F200" s="42">
        <f t="shared" ref="F200:F202" si="10">(D200+E200)*(($F$175)+1)</f>
        <v>479.83759199999997</v>
      </c>
      <c r="G200" s="69"/>
      <c r="H200" s="69"/>
      <c r="I200" s="36"/>
      <c r="L200" s="180"/>
      <c r="M200" s="180"/>
      <c r="N200" s="36"/>
    </row>
    <row r="201" spans="1:14" s="37" customFormat="1" x14ac:dyDescent="0.3">
      <c r="A201" s="69">
        <f t="shared" si="4"/>
        <v>23</v>
      </c>
      <c r="B201" s="69"/>
      <c r="C201" s="42" t="s">
        <v>195</v>
      </c>
      <c r="D201" s="55">
        <f>(21.68)*(10.764)</f>
        <v>233.36351999999999</v>
      </c>
      <c r="E201" s="42">
        <v>0</v>
      </c>
      <c r="F201" s="42">
        <f t="shared" si="10"/>
        <v>361.71345600000001</v>
      </c>
      <c r="G201" s="69"/>
      <c r="H201" s="69"/>
      <c r="I201" s="36"/>
      <c r="L201" s="180"/>
      <c r="M201" s="180"/>
      <c r="N201" s="36"/>
    </row>
    <row r="202" spans="1:14" s="37" customFormat="1" x14ac:dyDescent="0.3">
      <c r="A202" s="69">
        <f t="shared" si="4"/>
        <v>24</v>
      </c>
      <c r="B202" s="69"/>
      <c r="C202" s="42" t="s">
        <v>195</v>
      </c>
      <c r="D202" s="55">
        <f>(15.93)*(10.764)</f>
        <v>171.47051999999999</v>
      </c>
      <c r="E202" s="42">
        <v>0</v>
      </c>
      <c r="F202" s="42">
        <f t="shared" si="10"/>
        <v>265.77930600000002</v>
      </c>
      <c r="G202" s="69"/>
      <c r="H202" s="69"/>
      <c r="I202" s="36"/>
      <c r="L202" s="180"/>
      <c r="M202" s="180"/>
      <c r="N202" s="36"/>
    </row>
    <row r="203" spans="1:14" s="37" customFormat="1" x14ac:dyDescent="0.3">
      <c r="A203" s="69">
        <f t="shared" si="4"/>
        <v>25</v>
      </c>
      <c r="B203" s="69"/>
      <c r="C203" s="42" t="s">
        <v>195</v>
      </c>
      <c r="D203" s="55">
        <f>(24.33)*(10.764)</f>
        <v>261.88811999999996</v>
      </c>
      <c r="E203" s="42">
        <v>0</v>
      </c>
      <c r="F203" s="42">
        <f>(D203+E203)*(($F$175)+1)</f>
        <v>405.92658599999993</v>
      </c>
      <c r="G203" s="69"/>
      <c r="H203" s="69"/>
      <c r="I203" s="36"/>
      <c r="L203" s="180"/>
      <c r="M203" s="180"/>
      <c r="N203" s="36"/>
    </row>
    <row r="204" spans="1:14" s="37" customFormat="1" x14ac:dyDescent="0.3">
      <c r="A204" s="69">
        <f t="shared" si="4"/>
        <v>26</v>
      </c>
      <c r="B204" s="69"/>
      <c r="C204" s="42" t="s">
        <v>195</v>
      </c>
      <c r="D204" s="55">
        <f>(13.38)*(10.764)</f>
        <v>144.02232000000001</v>
      </c>
      <c r="E204" s="42">
        <v>0</v>
      </c>
      <c r="F204" s="42">
        <f t="shared" ref="F204" si="11">(D204+E204)*(($F$175)+1)</f>
        <v>223.23459600000001</v>
      </c>
      <c r="G204" s="69"/>
      <c r="H204" s="69"/>
      <c r="I204" s="36"/>
      <c r="L204" s="180"/>
      <c r="M204" s="180"/>
      <c r="N204" s="36"/>
    </row>
    <row r="205" spans="1:14" s="37" customFormat="1" x14ac:dyDescent="0.3">
      <c r="A205" s="147" t="s">
        <v>204</v>
      </c>
      <c r="B205" s="148"/>
      <c r="C205" s="148"/>
      <c r="D205" s="148"/>
      <c r="E205" s="148"/>
      <c r="F205" s="148"/>
      <c r="G205" s="148"/>
      <c r="H205" s="149"/>
      <c r="J205" s="36"/>
    </row>
    <row r="206" spans="1:14" s="37" customFormat="1" x14ac:dyDescent="0.3">
      <c r="A206" s="147" t="s">
        <v>218</v>
      </c>
      <c r="B206" s="148"/>
      <c r="C206" s="148"/>
      <c r="D206" s="148"/>
      <c r="E206" s="148"/>
      <c r="F206" s="148"/>
      <c r="G206" s="148"/>
      <c r="H206" s="149"/>
      <c r="J206" s="36"/>
    </row>
    <row r="207" spans="1:14" s="37" customFormat="1" x14ac:dyDescent="0.3">
      <c r="A207" s="147" t="s">
        <v>194</v>
      </c>
      <c r="B207" s="148"/>
      <c r="C207" s="148"/>
      <c r="D207" s="148"/>
      <c r="E207" s="148"/>
      <c r="F207" s="148"/>
      <c r="G207" s="148"/>
      <c r="H207" s="149"/>
      <c r="J207" s="36"/>
    </row>
    <row r="208" spans="1:14" s="37" customFormat="1" ht="15.75" customHeight="1" x14ac:dyDescent="0.3">
      <c r="A208" s="100">
        <v>1</v>
      </c>
      <c r="B208" s="101"/>
      <c r="C208" s="42" t="s">
        <v>195</v>
      </c>
      <c r="D208" s="55">
        <f>(20.73)*(10.764)</f>
        <v>223.13772</v>
      </c>
      <c r="E208" s="42">
        <v>0</v>
      </c>
      <c r="F208" s="42">
        <f>(D208+E208)*(($F$175)+1)</f>
        <v>345.86346600000002</v>
      </c>
      <c r="G208" s="150" t="str">
        <f>A207</f>
        <v>Ground Floor For Entrance Lobby, Society Office, Electric Meter Room, Commercial &amp; Parking</v>
      </c>
      <c r="H208" s="151"/>
      <c r="I208" s="53">
        <f>2.1*9.1</f>
        <v>19.11</v>
      </c>
      <c r="L208" s="180"/>
      <c r="M208" s="180"/>
      <c r="N208" s="36"/>
    </row>
    <row r="209" spans="1:14" s="37" customFormat="1" ht="15.75" customHeight="1" x14ac:dyDescent="0.3">
      <c r="A209" s="100">
        <f t="shared" ref="A209:A222" si="12">A208+1</f>
        <v>2</v>
      </c>
      <c r="B209" s="101"/>
      <c r="C209" s="42" t="s">
        <v>195</v>
      </c>
      <c r="D209" s="55">
        <f>(13.86)*(10.764)</f>
        <v>149.18903999999998</v>
      </c>
      <c r="E209" s="42">
        <v>0</v>
      </c>
      <c r="F209" s="42">
        <f t="shared" ref="F209:F222" si="13">(D209+E209)*(($F$175)+1)</f>
        <v>231.24301199999996</v>
      </c>
      <c r="G209" s="152"/>
      <c r="H209" s="153"/>
      <c r="I209" s="36"/>
      <c r="L209" s="180"/>
      <c r="M209" s="180"/>
      <c r="N209" s="36"/>
    </row>
    <row r="210" spans="1:14" s="37" customFormat="1" ht="15.75" customHeight="1" x14ac:dyDescent="0.3">
      <c r="A210" s="100">
        <f t="shared" si="12"/>
        <v>3</v>
      </c>
      <c r="B210" s="101"/>
      <c r="C210" s="42" t="s">
        <v>195</v>
      </c>
      <c r="D210" s="55">
        <f>(20.96)*(10.764)</f>
        <v>225.61344</v>
      </c>
      <c r="E210" s="42">
        <v>0</v>
      </c>
      <c r="F210" s="42">
        <f t="shared" si="13"/>
        <v>349.70083199999999</v>
      </c>
      <c r="G210" s="152"/>
      <c r="H210" s="153"/>
      <c r="I210" s="36"/>
      <c r="L210" s="180"/>
      <c r="M210" s="180"/>
      <c r="N210" s="36"/>
    </row>
    <row r="211" spans="1:14" s="37" customFormat="1" ht="15.75" customHeight="1" x14ac:dyDescent="0.3">
      <c r="A211" s="100">
        <f t="shared" si="12"/>
        <v>4</v>
      </c>
      <c r="B211" s="101"/>
      <c r="C211" s="42" t="s">
        <v>195</v>
      </c>
      <c r="D211" s="55">
        <f>(15.8)*(10.764)</f>
        <v>170.0712</v>
      </c>
      <c r="E211" s="42">
        <v>0</v>
      </c>
      <c r="F211" s="42">
        <f t="shared" si="13"/>
        <v>263.61036000000001</v>
      </c>
      <c r="G211" s="152"/>
      <c r="H211" s="153"/>
      <c r="I211" s="36"/>
      <c r="L211" s="180"/>
      <c r="M211" s="180"/>
      <c r="N211" s="36"/>
    </row>
    <row r="212" spans="1:14" s="37" customFormat="1" x14ac:dyDescent="0.3">
      <c r="A212" s="100">
        <f t="shared" si="12"/>
        <v>5</v>
      </c>
      <c r="B212" s="101"/>
      <c r="C212" s="42" t="s">
        <v>195</v>
      </c>
      <c r="D212" s="55">
        <f>(7.74)*(10.764)</f>
        <v>83.313360000000003</v>
      </c>
      <c r="E212" s="42">
        <v>0</v>
      </c>
      <c r="F212" s="42">
        <f t="shared" si="13"/>
        <v>129.13570800000002</v>
      </c>
      <c r="G212" s="152"/>
      <c r="H212" s="153"/>
      <c r="I212" s="36">
        <f>1.8*4.3</f>
        <v>7.74</v>
      </c>
      <c r="L212" s="180"/>
      <c r="M212" s="180"/>
      <c r="N212" s="36"/>
    </row>
    <row r="213" spans="1:14" s="37" customFormat="1" x14ac:dyDescent="0.3">
      <c r="A213" s="100">
        <f t="shared" si="12"/>
        <v>6</v>
      </c>
      <c r="B213" s="101"/>
      <c r="C213" s="42" t="s">
        <v>195</v>
      </c>
      <c r="D213" s="55">
        <f>(7.74)*(10.764)</f>
        <v>83.313360000000003</v>
      </c>
      <c r="E213" s="42">
        <v>0</v>
      </c>
      <c r="F213" s="42">
        <f t="shared" si="13"/>
        <v>129.13570800000002</v>
      </c>
      <c r="G213" s="152"/>
      <c r="H213" s="153"/>
      <c r="I213" s="36"/>
      <c r="L213" s="180"/>
      <c r="M213" s="180"/>
      <c r="N213" s="36"/>
    </row>
    <row r="214" spans="1:14" s="37" customFormat="1" x14ac:dyDescent="0.3">
      <c r="A214" s="100">
        <f t="shared" si="12"/>
        <v>7</v>
      </c>
      <c r="B214" s="101"/>
      <c r="C214" s="42" t="s">
        <v>195</v>
      </c>
      <c r="D214" s="55">
        <f>(15.8)*(10.764)</f>
        <v>170.0712</v>
      </c>
      <c r="E214" s="42">
        <v>0</v>
      </c>
      <c r="F214" s="42">
        <f t="shared" si="13"/>
        <v>263.61036000000001</v>
      </c>
      <c r="G214" s="152"/>
      <c r="H214" s="153"/>
      <c r="I214" s="36"/>
      <c r="L214" s="180"/>
      <c r="M214" s="180"/>
      <c r="N214" s="36"/>
    </row>
    <row r="215" spans="1:14" s="37" customFormat="1" x14ac:dyDescent="0.3">
      <c r="A215" s="100">
        <f t="shared" si="12"/>
        <v>8</v>
      </c>
      <c r="B215" s="101"/>
      <c r="C215" s="42" t="s">
        <v>195</v>
      </c>
      <c r="D215" s="55">
        <f>(20.96)*(10.764)</f>
        <v>225.61344</v>
      </c>
      <c r="E215" s="42">
        <v>0</v>
      </c>
      <c r="F215" s="42">
        <f t="shared" si="13"/>
        <v>349.70083199999999</v>
      </c>
      <c r="G215" s="152"/>
      <c r="H215" s="153"/>
      <c r="I215" s="36"/>
      <c r="L215" s="180"/>
      <c r="M215" s="180"/>
      <c r="N215" s="36"/>
    </row>
    <row r="216" spans="1:14" s="37" customFormat="1" x14ac:dyDescent="0.3">
      <c r="A216" s="100">
        <f t="shared" si="12"/>
        <v>9</v>
      </c>
      <c r="B216" s="101"/>
      <c r="C216" s="42" t="s">
        <v>195</v>
      </c>
      <c r="D216" s="55">
        <f>(15.8)*(10.764)</f>
        <v>170.0712</v>
      </c>
      <c r="E216" s="42">
        <v>0</v>
      </c>
      <c r="F216" s="42">
        <f t="shared" si="13"/>
        <v>263.61036000000001</v>
      </c>
      <c r="G216" s="152"/>
      <c r="H216" s="153"/>
      <c r="I216" s="36"/>
      <c r="L216" s="180"/>
      <c r="M216" s="180"/>
      <c r="N216" s="36"/>
    </row>
    <row r="217" spans="1:14" s="37" customFormat="1" x14ac:dyDescent="0.3">
      <c r="A217" s="100">
        <f t="shared" si="12"/>
        <v>10</v>
      </c>
      <c r="B217" s="101"/>
      <c r="C217" s="42" t="s">
        <v>195</v>
      </c>
      <c r="D217" s="55">
        <f>(7.74)*(10.764)</f>
        <v>83.313360000000003</v>
      </c>
      <c r="E217" s="42">
        <v>0</v>
      </c>
      <c r="F217" s="42">
        <f t="shared" si="13"/>
        <v>129.13570800000002</v>
      </c>
      <c r="G217" s="152"/>
      <c r="H217" s="153"/>
      <c r="I217" s="36"/>
      <c r="L217" s="180"/>
      <c r="M217" s="180"/>
      <c r="N217" s="36"/>
    </row>
    <row r="218" spans="1:14" s="37" customFormat="1" x14ac:dyDescent="0.3">
      <c r="A218" s="100">
        <f t="shared" si="12"/>
        <v>11</v>
      </c>
      <c r="B218" s="101"/>
      <c r="C218" s="42" t="s">
        <v>195</v>
      </c>
      <c r="D218" s="55">
        <f>(7.74)*(10.764)</f>
        <v>83.313360000000003</v>
      </c>
      <c r="E218" s="42">
        <v>0</v>
      </c>
      <c r="F218" s="42">
        <f t="shared" si="13"/>
        <v>129.13570800000002</v>
      </c>
      <c r="G218" s="152"/>
      <c r="H218" s="153"/>
      <c r="I218" s="36"/>
      <c r="L218" s="180"/>
      <c r="M218" s="180"/>
      <c r="N218" s="36"/>
    </row>
    <row r="219" spans="1:14" s="37" customFormat="1" x14ac:dyDescent="0.3">
      <c r="A219" s="100">
        <f t="shared" si="12"/>
        <v>12</v>
      </c>
      <c r="B219" s="101"/>
      <c r="C219" s="42" t="s">
        <v>195</v>
      </c>
      <c r="D219" s="55">
        <f>(15.6)*(10.764)</f>
        <v>167.91839999999999</v>
      </c>
      <c r="E219" s="42">
        <v>0</v>
      </c>
      <c r="F219" s="42">
        <f>(D219+E219)*(($F$175)+1)</f>
        <v>260.27352000000002</v>
      </c>
      <c r="G219" s="152"/>
      <c r="H219" s="153"/>
      <c r="I219" s="36">
        <f>2.45*6.45</f>
        <v>15.802500000000002</v>
      </c>
      <c r="L219" s="180"/>
      <c r="M219" s="180"/>
      <c r="N219" s="36"/>
    </row>
    <row r="220" spans="1:14" s="37" customFormat="1" x14ac:dyDescent="0.3">
      <c r="A220" s="100">
        <f t="shared" si="12"/>
        <v>13</v>
      </c>
      <c r="B220" s="101"/>
      <c r="C220" s="42" t="s">
        <v>195</v>
      </c>
      <c r="D220" s="55">
        <f>(20.96)*(10.764)</f>
        <v>225.61344</v>
      </c>
      <c r="E220" s="42">
        <v>0</v>
      </c>
      <c r="F220" s="42">
        <f t="shared" si="13"/>
        <v>349.70083199999999</v>
      </c>
      <c r="G220" s="152"/>
      <c r="H220" s="153"/>
      <c r="I220" s="36"/>
      <c r="L220" s="180"/>
      <c r="M220" s="180"/>
      <c r="N220" s="36"/>
    </row>
    <row r="221" spans="1:14" s="37" customFormat="1" x14ac:dyDescent="0.3">
      <c r="A221" s="100">
        <f t="shared" si="12"/>
        <v>14</v>
      </c>
      <c r="B221" s="101"/>
      <c r="C221" s="42" t="s">
        <v>195</v>
      </c>
      <c r="D221" s="55">
        <f>(15.8)*(10.764)</f>
        <v>170.0712</v>
      </c>
      <c r="E221" s="42">
        <v>0</v>
      </c>
      <c r="F221" s="42">
        <f t="shared" si="13"/>
        <v>263.61036000000001</v>
      </c>
      <c r="G221" s="152"/>
      <c r="H221" s="153"/>
      <c r="I221" s="36"/>
      <c r="L221" s="180"/>
      <c r="M221" s="180"/>
      <c r="N221" s="36"/>
    </row>
    <row r="222" spans="1:14" s="37" customFormat="1" x14ac:dyDescent="0.3">
      <c r="A222" s="100">
        <f t="shared" si="12"/>
        <v>15</v>
      </c>
      <c r="B222" s="101"/>
      <c r="C222" s="42" t="s">
        <v>195</v>
      </c>
      <c r="D222" s="55">
        <f>(11.61)*(10.764)</f>
        <v>124.97003999999998</v>
      </c>
      <c r="E222" s="42">
        <v>0</v>
      </c>
      <c r="F222" s="42">
        <f t="shared" si="13"/>
        <v>193.70356199999998</v>
      </c>
      <c r="G222" s="152"/>
      <c r="H222" s="153"/>
      <c r="I222" s="36"/>
      <c r="L222" s="180"/>
      <c r="M222" s="180"/>
      <c r="N222" s="36"/>
    </row>
    <row r="223" spans="1:14" s="37" customFormat="1" x14ac:dyDescent="0.3">
      <c r="A223" s="147" t="s">
        <v>205</v>
      </c>
      <c r="B223" s="148"/>
      <c r="C223" s="148"/>
      <c r="D223" s="148"/>
      <c r="E223" s="148"/>
      <c r="F223" s="148"/>
      <c r="G223" s="148"/>
      <c r="H223" s="149"/>
      <c r="J223" s="36"/>
    </row>
    <row r="224" spans="1:14" s="37" customFormat="1" x14ac:dyDescent="0.3">
      <c r="A224" s="163" t="s">
        <v>218</v>
      </c>
      <c r="B224" s="163"/>
      <c r="C224" s="163"/>
      <c r="D224" s="163"/>
      <c r="E224" s="163"/>
      <c r="F224" s="163"/>
      <c r="G224" s="163"/>
      <c r="H224" s="163"/>
      <c r="J224" s="36"/>
    </row>
    <row r="225" spans="1:14" s="37" customFormat="1" x14ac:dyDescent="0.3">
      <c r="A225" s="163" t="s">
        <v>206</v>
      </c>
      <c r="B225" s="163"/>
      <c r="C225" s="163"/>
      <c r="D225" s="163"/>
      <c r="E225" s="163"/>
      <c r="F225" s="163"/>
      <c r="G225" s="163"/>
      <c r="H225" s="163"/>
      <c r="J225" s="36"/>
    </row>
    <row r="226" spans="1:14" s="37" customFormat="1" ht="15.75" customHeight="1" x14ac:dyDescent="0.3">
      <c r="A226" s="69">
        <v>1</v>
      </c>
      <c r="B226" s="69"/>
      <c r="C226" s="42" t="s">
        <v>195</v>
      </c>
      <c r="D226" s="55">
        <f>(20.73)*(10.764)</f>
        <v>223.13772</v>
      </c>
      <c r="E226" s="42">
        <v>0</v>
      </c>
      <c r="F226" s="42">
        <f>(D226+E226)*(($F$175)+1)</f>
        <v>345.86346600000002</v>
      </c>
      <c r="G226" s="69" t="str">
        <f>A225</f>
        <v>Ground Floor For Entrance Lobby, Driver Room, Electric Meter Room, Commercial &amp; Parking</v>
      </c>
      <c r="H226" s="69"/>
      <c r="I226" s="53">
        <f>2.1*9.1</f>
        <v>19.11</v>
      </c>
      <c r="L226" s="180"/>
      <c r="M226" s="180"/>
      <c r="N226" s="36"/>
    </row>
    <row r="227" spans="1:14" s="37" customFormat="1" ht="15.75" customHeight="1" x14ac:dyDescent="0.3">
      <c r="A227" s="69">
        <f t="shared" ref="A227:A240" si="14">A226+1</f>
        <v>2</v>
      </c>
      <c r="B227" s="69"/>
      <c r="C227" s="42" t="s">
        <v>195</v>
      </c>
      <c r="D227" s="55">
        <f>(13.86)*(10.764)</f>
        <v>149.18903999999998</v>
      </c>
      <c r="E227" s="42">
        <v>0</v>
      </c>
      <c r="F227" s="42">
        <f t="shared" ref="F227:F240" si="15">(D227+E227)*(($F$175)+1)</f>
        <v>231.24301199999996</v>
      </c>
      <c r="G227" s="69"/>
      <c r="H227" s="69"/>
      <c r="I227" s="36"/>
      <c r="L227" s="180"/>
      <c r="M227" s="180"/>
      <c r="N227" s="36"/>
    </row>
    <row r="228" spans="1:14" s="37" customFormat="1" ht="15.75" customHeight="1" x14ac:dyDescent="0.3">
      <c r="A228" s="69">
        <f t="shared" si="14"/>
        <v>3</v>
      </c>
      <c r="B228" s="69"/>
      <c r="C228" s="42" t="s">
        <v>195</v>
      </c>
      <c r="D228" s="55">
        <f>(20.96)*(10.764)</f>
        <v>225.61344</v>
      </c>
      <c r="E228" s="42">
        <v>0</v>
      </c>
      <c r="F228" s="42">
        <f t="shared" si="15"/>
        <v>349.70083199999999</v>
      </c>
      <c r="G228" s="69"/>
      <c r="H228" s="69"/>
      <c r="I228" s="36"/>
      <c r="L228" s="180"/>
      <c r="M228" s="180"/>
      <c r="N228" s="36"/>
    </row>
    <row r="229" spans="1:14" s="37" customFormat="1" ht="15.75" customHeight="1" x14ac:dyDescent="0.3">
      <c r="A229" s="69">
        <f t="shared" si="14"/>
        <v>4</v>
      </c>
      <c r="B229" s="69"/>
      <c r="C229" s="42" t="s">
        <v>195</v>
      </c>
      <c r="D229" s="55">
        <f>(15.8)*(10.764)</f>
        <v>170.0712</v>
      </c>
      <c r="E229" s="42">
        <v>0</v>
      </c>
      <c r="F229" s="42">
        <f t="shared" si="15"/>
        <v>263.61036000000001</v>
      </c>
      <c r="G229" s="69"/>
      <c r="H229" s="69"/>
      <c r="I229" s="36"/>
      <c r="L229" s="180"/>
      <c r="M229" s="180"/>
      <c r="N229" s="36"/>
    </row>
    <row r="230" spans="1:14" s="37" customFormat="1" x14ac:dyDescent="0.3">
      <c r="A230" s="69">
        <f t="shared" si="14"/>
        <v>5</v>
      </c>
      <c r="B230" s="69"/>
      <c r="C230" s="42" t="s">
        <v>195</v>
      </c>
      <c r="D230" s="55">
        <f>(7.74)*(10.764)</f>
        <v>83.313360000000003</v>
      </c>
      <c r="E230" s="42">
        <v>0</v>
      </c>
      <c r="F230" s="42">
        <f t="shared" si="15"/>
        <v>129.13570800000002</v>
      </c>
      <c r="G230" s="69"/>
      <c r="H230" s="69"/>
      <c r="I230" s="36">
        <f>1.8*4.3</f>
        <v>7.74</v>
      </c>
      <c r="L230" s="180"/>
      <c r="M230" s="180"/>
      <c r="N230" s="36"/>
    </row>
    <row r="231" spans="1:14" s="37" customFormat="1" x14ac:dyDescent="0.3">
      <c r="A231" s="69">
        <f t="shared" si="14"/>
        <v>6</v>
      </c>
      <c r="B231" s="69"/>
      <c r="C231" s="42" t="s">
        <v>195</v>
      </c>
      <c r="D231" s="55">
        <f>(7.74)*(10.764)</f>
        <v>83.313360000000003</v>
      </c>
      <c r="E231" s="42">
        <v>0</v>
      </c>
      <c r="F231" s="42">
        <f t="shared" si="15"/>
        <v>129.13570800000002</v>
      </c>
      <c r="G231" s="69"/>
      <c r="H231" s="69"/>
      <c r="I231" s="36"/>
      <c r="L231" s="180"/>
      <c r="M231" s="180"/>
      <c r="N231" s="36"/>
    </row>
    <row r="232" spans="1:14" s="37" customFormat="1" x14ac:dyDescent="0.3">
      <c r="A232" s="69">
        <f t="shared" si="14"/>
        <v>7</v>
      </c>
      <c r="B232" s="69"/>
      <c r="C232" s="42" t="s">
        <v>195</v>
      </c>
      <c r="D232" s="55">
        <f>(15.8)*(10.764)</f>
        <v>170.0712</v>
      </c>
      <c r="E232" s="42">
        <v>0</v>
      </c>
      <c r="F232" s="42">
        <f t="shared" si="15"/>
        <v>263.61036000000001</v>
      </c>
      <c r="G232" s="69"/>
      <c r="H232" s="69"/>
      <c r="I232" s="36"/>
      <c r="L232" s="180"/>
      <c r="M232" s="180"/>
      <c r="N232" s="36"/>
    </row>
    <row r="233" spans="1:14" s="37" customFormat="1" x14ac:dyDescent="0.3">
      <c r="A233" s="69">
        <f t="shared" si="14"/>
        <v>8</v>
      </c>
      <c r="B233" s="69"/>
      <c r="C233" s="42" t="s">
        <v>195</v>
      </c>
      <c r="D233" s="55">
        <f>(20.96)*(10.764)</f>
        <v>225.61344</v>
      </c>
      <c r="E233" s="42">
        <v>0</v>
      </c>
      <c r="F233" s="42">
        <f t="shared" si="15"/>
        <v>349.70083199999999</v>
      </c>
      <c r="G233" s="69"/>
      <c r="H233" s="69"/>
      <c r="I233" s="36"/>
      <c r="L233" s="180"/>
      <c r="M233" s="180"/>
      <c r="N233" s="36"/>
    </row>
    <row r="234" spans="1:14" s="37" customFormat="1" x14ac:dyDescent="0.3">
      <c r="A234" s="69">
        <f t="shared" si="14"/>
        <v>9</v>
      </c>
      <c r="B234" s="69"/>
      <c r="C234" s="42" t="s">
        <v>195</v>
      </c>
      <c r="D234" s="55">
        <f>(15.8)*(10.764)</f>
        <v>170.0712</v>
      </c>
      <c r="E234" s="42">
        <v>0</v>
      </c>
      <c r="F234" s="42">
        <f>(D234+E234)*(($F$175)+1)</f>
        <v>263.61036000000001</v>
      </c>
      <c r="G234" s="69"/>
      <c r="H234" s="69"/>
      <c r="I234" s="36"/>
      <c r="L234" s="180"/>
      <c r="M234" s="180"/>
      <c r="N234" s="36"/>
    </row>
    <row r="235" spans="1:14" s="37" customFormat="1" x14ac:dyDescent="0.3">
      <c r="A235" s="69">
        <f t="shared" si="14"/>
        <v>10</v>
      </c>
      <c r="B235" s="69"/>
      <c r="C235" s="42" t="s">
        <v>195</v>
      </c>
      <c r="D235" s="55">
        <f>(7.74)*(10.764)</f>
        <v>83.313360000000003</v>
      </c>
      <c r="E235" s="42">
        <v>0</v>
      </c>
      <c r="F235" s="42">
        <f t="shared" si="15"/>
        <v>129.13570800000002</v>
      </c>
      <c r="G235" s="69"/>
      <c r="H235" s="69"/>
      <c r="I235" s="36"/>
      <c r="L235" s="180"/>
      <c r="M235" s="180"/>
      <c r="N235" s="36"/>
    </row>
    <row r="236" spans="1:14" s="37" customFormat="1" x14ac:dyDescent="0.3">
      <c r="A236" s="69">
        <f t="shared" si="14"/>
        <v>11</v>
      </c>
      <c r="B236" s="69"/>
      <c r="C236" s="42" t="s">
        <v>195</v>
      </c>
      <c r="D236" s="55">
        <f>(7.74)*(10.764)</f>
        <v>83.313360000000003</v>
      </c>
      <c r="E236" s="42">
        <v>0</v>
      </c>
      <c r="F236" s="42">
        <f t="shared" si="15"/>
        <v>129.13570800000002</v>
      </c>
      <c r="G236" s="69"/>
      <c r="H236" s="69"/>
      <c r="I236" s="36"/>
      <c r="L236" s="180"/>
      <c r="M236" s="180"/>
      <c r="N236" s="36"/>
    </row>
    <row r="237" spans="1:14" s="37" customFormat="1" x14ac:dyDescent="0.3">
      <c r="A237" s="69">
        <f t="shared" si="14"/>
        <v>12</v>
      </c>
      <c r="B237" s="69"/>
      <c r="C237" s="42" t="s">
        <v>195</v>
      </c>
      <c r="D237" s="55">
        <f>(15.6)*(10.764)</f>
        <v>167.91839999999999</v>
      </c>
      <c r="E237" s="42">
        <v>0</v>
      </c>
      <c r="F237" s="42">
        <f t="shared" si="15"/>
        <v>260.27352000000002</v>
      </c>
      <c r="G237" s="69"/>
      <c r="H237" s="69"/>
      <c r="I237" s="36">
        <f>2.45*6.45</f>
        <v>15.802500000000002</v>
      </c>
      <c r="L237" s="180"/>
      <c r="M237" s="180"/>
      <c r="N237" s="36"/>
    </row>
    <row r="238" spans="1:14" s="37" customFormat="1" x14ac:dyDescent="0.3">
      <c r="A238" s="69">
        <f t="shared" si="14"/>
        <v>13</v>
      </c>
      <c r="B238" s="69"/>
      <c r="C238" s="42" t="s">
        <v>195</v>
      </c>
      <c r="D238" s="55">
        <f>(20.96)*(10.764)</f>
        <v>225.61344</v>
      </c>
      <c r="E238" s="42">
        <v>0</v>
      </c>
      <c r="F238" s="42">
        <f t="shared" si="15"/>
        <v>349.70083199999999</v>
      </c>
      <c r="G238" s="69"/>
      <c r="H238" s="69"/>
      <c r="I238" s="36"/>
      <c r="L238" s="180"/>
      <c r="M238" s="180"/>
      <c r="N238" s="36"/>
    </row>
    <row r="239" spans="1:14" s="37" customFormat="1" x14ac:dyDescent="0.3">
      <c r="A239" s="69">
        <f t="shared" si="14"/>
        <v>14</v>
      </c>
      <c r="B239" s="69"/>
      <c r="C239" s="42" t="s">
        <v>195</v>
      </c>
      <c r="D239" s="55">
        <f>(15.8)*(10.764)</f>
        <v>170.0712</v>
      </c>
      <c r="E239" s="42">
        <v>0</v>
      </c>
      <c r="F239" s="42">
        <f t="shared" si="15"/>
        <v>263.61036000000001</v>
      </c>
      <c r="G239" s="69"/>
      <c r="H239" s="69"/>
      <c r="I239" s="36"/>
      <c r="L239" s="180"/>
      <c r="M239" s="180"/>
      <c r="N239" s="36"/>
    </row>
    <row r="240" spans="1:14" s="37" customFormat="1" x14ac:dyDescent="0.3">
      <c r="A240" s="69">
        <f t="shared" si="14"/>
        <v>15</v>
      </c>
      <c r="B240" s="69"/>
      <c r="C240" s="42" t="s">
        <v>195</v>
      </c>
      <c r="D240" s="55">
        <f>(11.61)*(10.764)</f>
        <v>124.97003999999998</v>
      </c>
      <c r="E240" s="42">
        <v>0</v>
      </c>
      <c r="F240" s="42">
        <f t="shared" si="15"/>
        <v>193.70356199999998</v>
      </c>
      <c r="G240" s="69"/>
      <c r="H240" s="69"/>
      <c r="I240" s="36"/>
      <c r="L240" s="180"/>
      <c r="M240" s="180"/>
      <c r="N240" s="36"/>
    </row>
    <row r="241" spans="1:14" s="37" customFormat="1" x14ac:dyDescent="0.3">
      <c r="A241" s="100"/>
      <c r="B241" s="183"/>
      <c r="C241" s="183"/>
      <c r="D241" s="183"/>
      <c r="E241" s="183"/>
      <c r="F241" s="183"/>
      <c r="G241" s="183"/>
      <c r="H241" s="101"/>
      <c r="I241" s="36"/>
      <c r="N241" s="36"/>
    </row>
    <row r="242" spans="1:14" ht="47.25" customHeight="1" x14ac:dyDescent="0.3">
      <c r="A242" s="107" t="s">
        <v>125</v>
      </c>
      <c r="B242" s="107" t="s">
        <v>126</v>
      </c>
      <c r="C242" s="103" t="s">
        <v>59</v>
      </c>
      <c r="D242" s="103" t="s">
        <v>60</v>
      </c>
      <c r="E242" s="105" t="s">
        <v>61</v>
      </c>
      <c r="F242" s="43" t="s">
        <v>155</v>
      </c>
      <c r="G242" s="107" t="s">
        <v>62</v>
      </c>
      <c r="H242" s="108"/>
      <c r="I242" s="36"/>
    </row>
    <row r="243" spans="1:14" s="37" customFormat="1" x14ac:dyDescent="0.3">
      <c r="A243" s="109"/>
      <c r="B243" s="109"/>
      <c r="C243" s="104"/>
      <c r="D243" s="104"/>
      <c r="E243" s="106"/>
      <c r="F243" s="13">
        <v>0.5</v>
      </c>
      <c r="G243" s="109"/>
      <c r="H243" s="110"/>
      <c r="I243" s="36"/>
    </row>
    <row r="244" spans="1:14" s="37" customFormat="1" x14ac:dyDescent="0.3">
      <c r="A244" s="147" t="s">
        <v>193</v>
      </c>
      <c r="B244" s="148"/>
      <c r="C244" s="148"/>
      <c r="D244" s="148"/>
      <c r="E244" s="148"/>
      <c r="F244" s="148"/>
      <c r="G244" s="148"/>
      <c r="H244" s="149"/>
      <c r="J244" s="36"/>
    </row>
    <row r="245" spans="1:14" s="37" customFormat="1" x14ac:dyDescent="0.3">
      <c r="A245" s="163" t="s">
        <v>200</v>
      </c>
      <c r="B245" s="163"/>
      <c r="C245" s="163"/>
      <c r="D245" s="163"/>
      <c r="E245" s="163"/>
      <c r="F245" s="163"/>
      <c r="G245" s="163"/>
      <c r="H245" s="163"/>
      <c r="I245" s="36"/>
      <c r="L245" s="180"/>
      <c r="M245" s="180"/>
    </row>
    <row r="246" spans="1:14" s="37" customFormat="1" x14ac:dyDescent="0.3">
      <c r="A246" s="163" t="s">
        <v>201</v>
      </c>
      <c r="B246" s="163"/>
      <c r="C246" s="163"/>
      <c r="D246" s="163"/>
      <c r="E246" s="163"/>
      <c r="F246" s="163"/>
      <c r="G246" s="163"/>
      <c r="H246" s="163"/>
      <c r="I246" s="36"/>
      <c r="K246" s="54"/>
      <c r="L246" s="180"/>
      <c r="M246" s="180"/>
    </row>
    <row r="247" spans="1:14" s="37" customFormat="1" ht="15.75" customHeight="1" x14ac:dyDescent="0.3">
      <c r="A247" s="69">
        <v>1</v>
      </c>
      <c r="B247" s="69"/>
      <c r="C247" s="42" t="s">
        <v>202</v>
      </c>
      <c r="D247" s="55">
        <f>(39.63+3.3)*(10.764)</f>
        <v>462.09851999999995</v>
      </c>
      <c r="E247" s="42">
        <v>0</v>
      </c>
      <c r="F247" s="42">
        <f>D247*(($F$243)+1)+(IF(E247&lt;101,E247,IF(E247&lt;201,E247/2,IF(E247&lt;=301,E247/3,E247/4))))</f>
        <v>693.1477799999999</v>
      </c>
      <c r="G247" s="150" t="str">
        <f>A246</f>
        <v>1st Floor For Residential</v>
      </c>
      <c r="H247" s="151"/>
      <c r="I247" s="36">
        <f>2.75*3.4+3*2.9+2.4*2.9+2.15*2.65+1.85*1.25+1.25*2.25+1.3*1.25</f>
        <v>37.457499999999996</v>
      </c>
      <c r="J247" s="37">
        <f>1.2*2.75</f>
        <v>3.3</v>
      </c>
      <c r="K247" s="54"/>
      <c r="N247" s="36"/>
    </row>
    <row r="248" spans="1:14" s="37" customFormat="1" ht="15.75" customHeight="1" x14ac:dyDescent="0.3">
      <c r="A248" s="69">
        <f>A247+1</f>
        <v>2</v>
      </c>
      <c r="B248" s="69"/>
      <c r="C248" s="42" t="s">
        <v>202</v>
      </c>
      <c r="D248" s="55">
        <f>(39.63+3.3)*(10.764)</f>
        <v>462.09851999999995</v>
      </c>
      <c r="E248" s="55">
        <f>(4.7*10.3+3.6*1.9+2.9*2+3.5*2.8+4.1*2.8+4.7*2.8+5*1+0.9*4.1+2.7*1.5+4.8*0.9+5.6*1.3)*(10.764)</f>
        <v>1289.8501199999998</v>
      </c>
      <c r="F248" s="42">
        <f t="shared" ref="F248:F250" si="16">D248*(($F$243)+1)+(IF(E248&lt;101,E248,IF(E248&lt;201,E248/2,IF(E248&lt;=301,E248/3,E248/4))))</f>
        <v>1015.6103099999998</v>
      </c>
      <c r="G248" s="152"/>
      <c r="H248" s="153"/>
      <c r="I248" s="36"/>
      <c r="K248" s="54"/>
      <c r="N248" s="36"/>
    </row>
    <row r="249" spans="1:14" s="37" customFormat="1" ht="15.75" customHeight="1" x14ac:dyDescent="0.3">
      <c r="A249" s="69">
        <f>A248+1</f>
        <v>3</v>
      </c>
      <c r="B249" s="69"/>
      <c r="C249" s="42" t="s">
        <v>202</v>
      </c>
      <c r="D249" s="55">
        <f>(39.63+3.3)*(10.764)</f>
        <v>462.09851999999995</v>
      </c>
      <c r="E249" s="55">
        <f>(5.6*1.3+4.8*0.9+2.7*1.5+0.9*4.1+6.2*3.1+2.9*4.7)*(10.764)</f>
        <v>561.77315999999996</v>
      </c>
      <c r="F249" s="42">
        <f t="shared" si="16"/>
        <v>833.59106999999995</v>
      </c>
      <c r="G249" s="152"/>
      <c r="H249" s="153"/>
      <c r="I249" s="36"/>
      <c r="K249" s="54"/>
      <c r="N249" s="36"/>
    </row>
    <row r="250" spans="1:14" s="37" customFormat="1" ht="15.75" customHeight="1" x14ac:dyDescent="0.3">
      <c r="A250" s="69">
        <f>A249+1</f>
        <v>4</v>
      </c>
      <c r="B250" s="69"/>
      <c r="C250" s="42" t="s">
        <v>202</v>
      </c>
      <c r="D250" s="55">
        <f>(39.63+3.3)*(10.764)</f>
        <v>462.09851999999995</v>
      </c>
      <c r="E250" s="55">
        <f>(2.7*4.7+5.6*3.1)*(10.764)</f>
        <v>323.45819999999998</v>
      </c>
      <c r="F250" s="42">
        <f t="shared" si="16"/>
        <v>774.01232999999991</v>
      </c>
      <c r="G250" s="189"/>
      <c r="H250" s="190"/>
      <c r="I250" s="36"/>
      <c r="K250" s="54"/>
      <c r="N250" s="36"/>
    </row>
    <row r="251" spans="1:14" s="37" customFormat="1" x14ac:dyDescent="0.3">
      <c r="A251" s="163" t="s">
        <v>203</v>
      </c>
      <c r="B251" s="163"/>
      <c r="C251" s="163"/>
      <c r="D251" s="163"/>
      <c r="E251" s="163"/>
      <c r="F251" s="163"/>
      <c r="G251" s="163"/>
      <c r="H251" s="163"/>
      <c r="I251" s="36"/>
      <c r="L251" s="180"/>
      <c r="M251" s="180"/>
    </row>
    <row r="252" spans="1:14" s="37" customFormat="1" ht="15.75" customHeight="1" x14ac:dyDescent="0.3">
      <c r="A252" s="69">
        <v>1</v>
      </c>
      <c r="B252" s="69"/>
      <c r="C252" s="42" t="s">
        <v>202</v>
      </c>
      <c r="D252" s="55">
        <f>(39.63+3.3+0.6*(3+2.4))*(10.764)</f>
        <v>496.97388000000001</v>
      </c>
      <c r="E252" s="42">
        <v>0</v>
      </c>
      <c r="F252" s="42">
        <f t="shared" ref="F252:F255" si="17">D252*(($F$243)+1)+(IF(E252&lt;101,E252,IF(E252&lt;201,E252/2,IF(E252&lt;=301,E252/3,E252/4))))</f>
        <v>745.46082000000001</v>
      </c>
      <c r="G252" s="150" t="str">
        <f>A251</f>
        <v>2nd To 7th Floor</v>
      </c>
      <c r="H252" s="151"/>
      <c r="I252" s="36"/>
      <c r="J252" s="36">
        <f>3000000/F252</f>
        <v>4024.3563706004024</v>
      </c>
      <c r="N252" s="36"/>
    </row>
    <row r="253" spans="1:14" s="37" customFormat="1" ht="15.75" customHeight="1" x14ac:dyDescent="0.3">
      <c r="A253" s="69">
        <f>A252+1</f>
        <v>2</v>
      </c>
      <c r="B253" s="69"/>
      <c r="C253" s="42" t="s">
        <v>202</v>
      </c>
      <c r="D253" s="55">
        <f>(39.63+3.3+0.6*(3+2.4))*(10.764)</f>
        <v>496.97388000000001</v>
      </c>
      <c r="E253" s="42">
        <v>0</v>
      </c>
      <c r="F253" s="42">
        <f t="shared" si="17"/>
        <v>745.46082000000001</v>
      </c>
      <c r="G253" s="152"/>
      <c r="H253" s="153"/>
      <c r="I253" s="36"/>
      <c r="J253" s="36">
        <f t="shared" ref="J253:J255" si="18">3000000/F253</f>
        <v>4024.3563706004024</v>
      </c>
      <c r="N253" s="36"/>
    </row>
    <row r="254" spans="1:14" s="37" customFormat="1" ht="15.75" customHeight="1" x14ac:dyDescent="0.3">
      <c r="A254" s="69">
        <f>A253+1</f>
        <v>3</v>
      </c>
      <c r="B254" s="69"/>
      <c r="C254" s="42" t="s">
        <v>202</v>
      </c>
      <c r="D254" s="55">
        <f>(39.63+3.3+0.6*(3+2.4))*(10.764)</f>
        <v>496.97388000000001</v>
      </c>
      <c r="E254" s="42">
        <v>0</v>
      </c>
      <c r="F254" s="42">
        <f t="shared" si="17"/>
        <v>745.46082000000001</v>
      </c>
      <c r="G254" s="152"/>
      <c r="H254" s="153"/>
      <c r="I254" s="36"/>
      <c r="J254" s="36">
        <f t="shared" si="18"/>
        <v>4024.3563706004024</v>
      </c>
      <c r="N254" s="36"/>
    </row>
    <row r="255" spans="1:14" s="37" customFormat="1" ht="15.75" customHeight="1" x14ac:dyDescent="0.3">
      <c r="A255" s="69">
        <f>A254+1</f>
        <v>4</v>
      </c>
      <c r="B255" s="69"/>
      <c r="C255" s="42" t="s">
        <v>202</v>
      </c>
      <c r="D255" s="55">
        <f>(39.63+3.3+0.6*(3+2.4))*(10.764)</f>
        <v>496.97388000000001</v>
      </c>
      <c r="E255" s="42">
        <v>0</v>
      </c>
      <c r="F255" s="42">
        <f t="shared" si="17"/>
        <v>745.46082000000001</v>
      </c>
      <c r="G255" s="152"/>
      <c r="H255" s="153"/>
      <c r="I255" s="36"/>
      <c r="J255" s="36">
        <f t="shared" si="18"/>
        <v>4024.3563706004024</v>
      </c>
      <c r="N255" s="36"/>
    </row>
    <row r="256" spans="1:14" s="37" customFormat="1" x14ac:dyDescent="0.3">
      <c r="A256" s="147" t="s">
        <v>196</v>
      </c>
      <c r="B256" s="148"/>
      <c r="C256" s="148"/>
      <c r="D256" s="148"/>
      <c r="E256" s="148"/>
      <c r="F256" s="148"/>
      <c r="G256" s="148"/>
      <c r="H256" s="149"/>
      <c r="J256" s="36"/>
    </row>
    <row r="257" spans="1:14" s="37" customFormat="1" x14ac:dyDescent="0.3">
      <c r="A257" s="147" t="s">
        <v>197</v>
      </c>
      <c r="B257" s="148"/>
      <c r="C257" s="148"/>
      <c r="D257" s="148"/>
      <c r="E257" s="148"/>
      <c r="F257" s="148"/>
      <c r="G257" s="148"/>
      <c r="H257" s="149"/>
      <c r="J257" s="36"/>
    </row>
    <row r="258" spans="1:14" s="37" customFormat="1" x14ac:dyDescent="0.3">
      <c r="A258" s="100">
        <v>1</v>
      </c>
      <c r="B258" s="101"/>
      <c r="C258" s="42" t="s">
        <v>199</v>
      </c>
      <c r="D258" s="55">
        <f>(29.96)*(10.764)</f>
        <v>322.48944</v>
      </c>
      <c r="E258" s="42">
        <v>0</v>
      </c>
      <c r="F258" s="42">
        <f>D258*(($F$243)+1)+(IF(E258&lt;101,E258,IF(E258&lt;201,E258/2,IF(E258&lt;=301,E258/3,E258/4))))</f>
        <v>483.73415999999997</v>
      </c>
      <c r="G258" s="100" t="str">
        <f>A257</f>
        <v>Ground Floor For Part Residential</v>
      </c>
      <c r="H258" s="101"/>
      <c r="I258" s="36">
        <f>2.75*3.4+1.8*2.9+2.45*2.9+1.25*1.4+1.25*2+1.5*1.4</f>
        <v>28.024999999999999</v>
      </c>
      <c r="J258" s="37">
        <f>1200000/F258</f>
        <v>2480.70138358639</v>
      </c>
      <c r="L258" s="180"/>
      <c r="M258" s="180"/>
      <c r="N258" s="36"/>
    </row>
    <row r="259" spans="1:14" s="37" customFormat="1" x14ac:dyDescent="0.3">
      <c r="A259" s="163" t="s">
        <v>201</v>
      </c>
      <c r="B259" s="163"/>
      <c r="C259" s="163"/>
      <c r="D259" s="163"/>
      <c r="E259" s="163"/>
      <c r="F259" s="163"/>
      <c r="G259" s="163"/>
      <c r="H259" s="163"/>
      <c r="I259" s="36"/>
      <c r="L259" s="180"/>
      <c r="M259" s="180"/>
    </row>
    <row r="260" spans="1:14" s="37" customFormat="1" ht="15.75" customHeight="1" x14ac:dyDescent="0.3">
      <c r="A260" s="69">
        <v>1</v>
      </c>
      <c r="B260" s="69"/>
      <c r="C260" s="42" t="s">
        <v>199</v>
      </c>
      <c r="D260" s="55">
        <f>(29.96)*(10.764)</f>
        <v>322.48944</v>
      </c>
      <c r="E260" s="42">
        <v>0</v>
      </c>
      <c r="F260" s="42">
        <f t="shared" ref="F260:F261" si="19">D260*(($F$243)+1)+(IF(E260&lt;101,E260,IF(E260&lt;201,E260/2,IF(E260&lt;=301,E260/3,E260/4))))</f>
        <v>483.73415999999997</v>
      </c>
      <c r="G260" s="150" t="str">
        <f>A259</f>
        <v>1st Floor For Residential</v>
      </c>
      <c r="H260" s="151"/>
      <c r="I260" s="36"/>
      <c r="N260" s="36"/>
    </row>
    <row r="261" spans="1:14" s="37" customFormat="1" ht="15.75" customHeight="1" x14ac:dyDescent="0.3">
      <c r="A261" s="69">
        <f>A260+1</f>
        <v>2</v>
      </c>
      <c r="B261" s="69"/>
      <c r="C261" s="42" t="s">
        <v>199</v>
      </c>
      <c r="D261" s="55">
        <f>(29.96)*(10.764)</f>
        <v>322.48944</v>
      </c>
      <c r="E261" s="42">
        <v>0</v>
      </c>
      <c r="F261" s="42">
        <f t="shared" si="19"/>
        <v>483.73415999999997</v>
      </c>
      <c r="G261" s="152"/>
      <c r="H261" s="153"/>
      <c r="I261" s="36"/>
      <c r="N261" s="36"/>
    </row>
    <row r="262" spans="1:14" s="37" customFormat="1" ht="15.75" customHeight="1" x14ac:dyDescent="0.3">
      <c r="A262" s="69">
        <f>A261+1</f>
        <v>3</v>
      </c>
      <c r="B262" s="69"/>
      <c r="C262" s="42" t="s">
        <v>199</v>
      </c>
      <c r="D262" s="55">
        <f>(29.96)*(10.764)</f>
        <v>322.48944</v>
      </c>
      <c r="E262" s="55">
        <f>(4.1*3.1+1.8*5.7)*(10.764)</f>
        <v>247.24907999999996</v>
      </c>
      <c r="F262" s="42">
        <f>D262*(($F$243)+1)+(IF(E262&lt;101,E262,IF(E262&lt;201,E262/2,IF(E262&lt;=301,E262/3,E262/4))))</f>
        <v>566.15051999999991</v>
      </c>
      <c r="G262" s="152"/>
      <c r="H262" s="153"/>
      <c r="I262" s="36"/>
      <c r="N262" s="36"/>
    </row>
    <row r="263" spans="1:14" s="37" customFormat="1" ht="15.75" customHeight="1" x14ac:dyDescent="0.3">
      <c r="A263" s="69">
        <f>A262+1</f>
        <v>4</v>
      </c>
      <c r="B263" s="69"/>
      <c r="C263" s="42" t="s">
        <v>199</v>
      </c>
      <c r="D263" s="55">
        <f>(29.96)*(10.764)</f>
        <v>322.48944</v>
      </c>
      <c r="E263" s="55">
        <f>(1.5*5.7+4.2*3.1)*(10.764)</f>
        <v>232.17947999999998</v>
      </c>
      <c r="F263" s="42">
        <f>D263*(($F$243)+1)+(IF(E263&lt;101,E263,IF(E263&lt;201,E263/2,IF(E263&lt;=301,E263/3,E263/4))))</f>
        <v>561.12731999999994</v>
      </c>
      <c r="G263" s="189"/>
      <c r="H263" s="190"/>
      <c r="I263" s="36"/>
      <c r="N263" s="36"/>
    </row>
    <row r="264" spans="1:14" s="37" customFormat="1" x14ac:dyDescent="0.3">
      <c r="A264" s="163" t="s">
        <v>203</v>
      </c>
      <c r="B264" s="163"/>
      <c r="C264" s="163"/>
      <c r="D264" s="163"/>
      <c r="E264" s="163"/>
      <c r="F264" s="163"/>
      <c r="G264" s="163"/>
      <c r="H264" s="163"/>
      <c r="I264" s="36"/>
      <c r="L264" s="180"/>
      <c r="M264" s="180"/>
    </row>
    <row r="265" spans="1:14" s="37" customFormat="1" ht="15.75" customHeight="1" x14ac:dyDescent="0.3">
      <c r="A265" s="69">
        <v>1</v>
      </c>
      <c r="B265" s="69"/>
      <c r="C265" s="42" t="s">
        <v>199</v>
      </c>
      <c r="D265" s="55">
        <f>(29.96+0.6*(2.45+1.8+1.6))*(10.764)</f>
        <v>360.27107999999998</v>
      </c>
      <c r="E265" s="42">
        <v>0</v>
      </c>
      <c r="F265" s="42">
        <f t="shared" ref="F265:F266" si="20">D265*(($F$243)+1)+(IF(E265&lt;101,E265,IF(E265&lt;201,E265/2,IF(E265&lt;=301,E265/3,E265/4))))</f>
        <v>540.40661999999998</v>
      </c>
      <c r="G265" s="150" t="str">
        <f>A264</f>
        <v>2nd To 7th Floor</v>
      </c>
      <c r="H265" s="151"/>
      <c r="I265" s="36"/>
      <c r="N265" s="36"/>
    </row>
    <row r="266" spans="1:14" s="37" customFormat="1" ht="15.75" customHeight="1" x14ac:dyDescent="0.3">
      <c r="A266" s="69">
        <f>A265+1</f>
        <v>2</v>
      </c>
      <c r="B266" s="69"/>
      <c r="C266" s="42" t="s">
        <v>199</v>
      </c>
      <c r="D266" s="55">
        <f>(29.96+0.6*(2.45+1.8+1.6))*(10.764)</f>
        <v>360.27107999999998</v>
      </c>
      <c r="E266" s="42">
        <v>0</v>
      </c>
      <c r="F266" s="42">
        <f t="shared" si="20"/>
        <v>540.40661999999998</v>
      </c>
      <c r="G266" s="152"/>
      <c r="H266" s="153"/>
      <c r="I266" s="36"/>
      <c r="N266" s="36"/>
    </row>
    <row r="267" spans="1:14" s="37" customFormat="1" ht="15.75" customHeight="1" x14ac:dyDescent="0.3">
      <c r="A267" s="69">
        <f>A266+1</f>
        <v>3</v>
      </c>
      <c r="B267" s="69"/>
      <c r="C267" s="42" t="s">
        <v>199</v>
      </c>
      <c r="D267" s="55">
        <f>(29.96+0.6*(2.45+1.8+1.6))*(10.764)</f>
        <v>360.27107999999998</v>
      </c>
      <c r="E267" s="42">
        <v>0</v>
      </c>
      <c r="F267" s="42">
        <f>D267*(($F$243)+1)+(IF(E267&lt;101,E267,IF(E267&lt;201,E267/2,IF(E267&lt;=301,E267/3,E267/4))))</f>
        <v>540.40661999999998</v>
      </c>
      <c r="G267" s="152"/>
      <c r="H267" s="153"/>
      <c r="I267" s="36"/>
      <c r="N267" s="36"/>
    </row>
    <row r="268" spans="1:14" s="37" customFormat="1" ht="15.75" customHeight="1" x14ac:dyDescent="0.3">
      <c r="A268" s="69">
        <f>A267+1</f>
        <v>4</v>
      </c>
      <c r="B268" s="69"/>
      <c r="C268" s="42" t="s">
        <v>199</v>
      </c>
      <c r="D268" s="55">
        <f>(29.96+0.6*(2.45+1.8+1.6))*(10.764)</f>
        <v>360.27107999999998</v>
      </c>
      <c r="E268" s="42">
        <v>0</v>
      </c>
      <c r="F268" s="42">
        <f>D268*(($F$243)+1)+(IF(E268&lt;101,E268,IF(E268&lt;201,E268/2,IF(E268&lt;=301,E268/3,E268/4))))</f>
        <v>540.40661999999998</v>
      </c>
      <c r="G268" s="152"/>
      <c r="H268" s="153"/>
      <c r="I268" s="36"/>
      <c r="N268" s="36"/>
    </row>
    <row r="269" spans="1:14" s="37" customFormat="1" x14ac:dyDescent="0.3">
      <c r="A269" s="147" t="s">
        <v>198</v>
      </c>
      <c r="B269" s="148"/>
      <c r="C269" s="148"/>
      <c r="D269" s="148"/>
      <c r="E269" s="148"/>
      <c r="F269" s="148"/>
      <c r="G269" s="148"/>
      <c r="H269" s="149"/>
      <c r="J269" s="36"/>
    </row>
    <row r="270" spans="1:14" s="37" customFormat="1" x14ac:dyDescent="0.3">
      <c r="A270" s="147" t="s">
        <v>197</v>
      </c>
      <c r="B270" s="148"/>
      <c r="C270" s="148"/>
      <c r="D270" s="148"/>
      <c r="E270" s="148"/>
      <c r="F270" s="148"/>
      <c r="G270" s="148"/>
      <c r="H270" s="149"/>
      <c r="J270" s="36"/>
    </row>
    <row r="271" spans="1:14" s="37" customFormat="1" x14ac:dyDescent="0.3">
      <c r="A271" s="100">
        <v>1</v>
      </c>
      <c r="B271" s="101"/>
      <c r="C271" s="42" t="s">
        <v>199</v>
      </c>
      <c r="D271" s="55">
        <f>(29.96)*(10.764)</f>
        <v>322.48944</v>
      </c>
      <c r="E271" s="42">
        <v>0</v>
      </c>
      <c r="F271" s="42">
        <f>D271*(($F$243)+1)+(IF(E271&lt;101,E271,IF(E271&lt;201,E271/2,IF(E271&lt;=301,E271/3,E271/4))))</f>
        <v>483.73415999999997</v>
      </c>
      <c r="G271" s="100" t="str">
        <f>A270</f>
        <v>Ground Floor For Part Residential</v>
      </c>
      <c r="H271" s="101"/>
      <c r="I271" s="36"/>
      <c r="L271" s="180"/>
      <c r="M271" s="180"/>
      <c r="N271" s="36"/>
    </row>
    <row r="272" spans="1:14" s="37" customFormat="1" x14ac:dyDescent="0.3">
      <c r="A272" s="163" t="s">
        <v>201</v>
      </c>
      <c r="B272" s="163"/>
      <c r="C272" s="163"/>
      <c r="D272" s="163"/>
      <c r="E272" s="163"/>
      <c r="F272" s="163"/>
      <c r="G272" s="163"/>
      <c r="H272" s="163"/>
      <c r="I272" s="36"/>
      <c r="L272" s="180"/>
      <c r="M272" s="180"/>
    </row>
    <row r="273" spans="1:14" s="37" customFormat="1" ht="15.75" customHeight="1" x14ac:dyDescent="0.3">
      <c r="A273" s="69">
        <v>1</v>
      </c>
      <c r="B273" s="69"/>
      <c r="C273" s="42" t="s">
        <v>199</v>
      </c>
      <c r="D273" s="55">
        <f>(29.96)*(10.764)</f>
        <v>322.48944</v>
      </c>
      <c r="E273" s="42">
        <v>0</v>
      </c>
      <c r="F273" s="42">
        <f t="shared" ref="F273:F274" si="21">D273*(($F$243)+1)+(IF(E273&lt;101,E273,IF(E273&lt;201,E273/2,IF(E273&lt;=301,E273/3,E273/4))))</f>
        <v>483.73415999999997</v>
      </c>
      <c r="G273" s="69" t="str">
        <f>A272</f>
        <v>1st Floor For Residential</v>
      </c>
      <c r="H273" s="69"/>
      <c r="I273" s="36"/>
      <c r="N273" s="36"/>
    </row>
    <row r="274" spans="1:14" s="37" customFormat="1" ht="15.75" customHeight="1" x14ac:dyDescent="0.3">
      <c r="A274" s="69">
        <f>A273+1</f>
        <v>2</v>
      </c>
      <c r="B274" s="69"/>
      <c r="C274" s="42" t="s">
        <v>199</v>
      </c>
      <c r="D274" s="55">
        <f>(29.96)*(10.764)</f>
        <v>322.48944</v>
      </c>
      <c r="E274" s="42">
        <v>0</v>
      </c>
      <c r="F274" s="42">
        <f t="shared" si="21"/>
        <v>483.73415999999997</v>
      </c>
      <c r="G274" s="69"/>
      <c r="H274" s="69"/>
      <c r="I274" s="36">
        <f>2.75*3.4+1.8*2.9+2.45*2.9+1.25*2+1.25*1.4+1.5*1.4</f>
        <v>28.024999999999999</v>
      </c>
      <c r="N274" s="36"/>
    </row>
    <row r="275" spans="1:14" s="37" customFormat="1" ht="15.75" customHeight="1" x14ac:dyDescent="0.3">
      <c r="A275" s="69">
        <f>A274+1</f>
        <v>3</v>
      </c>
      <c r="B275" s="69"/>
      <c r="C275" s="42" t="s">
        <v>199</v>
      </c>
      <c r="D275" s="55">
        <f>(29.96)*(10.764)</f>
        <v>322.48944</v>
      </c>
      <c r="E275" s="55">
        <f>(4.4*3.1+1.8*5.7)*(10.764)</f>
        <v>257.25960000000003</v>
      </c>
      <c r="F275" s="42">
        <f>D275*(($F$243)+1)+(IF(E275&lt;101,E275,IF(E275&lt;201,E275/2,IF(E275&lt;=301,E275/3,E275/4))))</f>
        <v>569.48735999999997</v>
      </c>
      <c r="G275" s="69"/>
      <c r="H275" s="69"/>
      <c r="I275" s="36"/>
      <c r="N275" s="36"/>
    </row>
    <row r="276" spans="1:14" s="37" customFormat="1" ht="15.75" customHeight="1" x14ac:dyDescent="0.3">
      <c r="A276" s="69">
        <f>A275+1</f>
        <v>4</v>
      </c>
      <c r="B276" s="69"/>
      <c r="C276" s="42" t="s">
        <v>199</v>
      </c>
      <c r="D276" s="55">
        <f>(29.96)*(10.764)</f>
        <v>322.48944</v>
      </c>
      <c r="E276" s="55">
        <f>(1.4*5.7+6.2*3.1+2.7*1+5.2*6+1.9*2)*(10.764)</f>
        <v>698.58360000000005</v>
      </c>
      <c r="F276" s="42">
        <f>D276*(($F$243)+1)+(IF(E276&lt;101,E276,IF(E276&lt;201,E276/2,IF(E276&lt;=301,E276/3,E276/4))))</f>
        <v>658.38005999999996</v>
      </c>
      <c r="G276" s="69"/>
      <c r="H276" s="69"/>
      <c r="I276" s="36"/>
      <c r="N276" s="36"/>
    </row>
    <row r="277" spans="1:14" s="37" customFormat="1" x14ac:dyDescent="0.3">
      <c r="A277" s="163" t="s">
        <v>203</v>
      </c>
      <c r="B277" s="163"/>
      <c r="C277" s="163"/>
      <c r="D277" s="163"/>
      <c r="E277" s="163"/>
      <c r="F277" s="163"/>
      <c r="G277" s="163"/>
      <c r="H277" s="163"/>
      <c r="I277" s="36"/>
      <c r="L277" s="180"/>
      <c r="M277" s="180"/>
    </row>
    <row r="278" spans="1:14" s="37" customFormat="1" ht="15.75" customHeight="1" x14ac:dyDescent="0.3">
      <c r="A278" s="69">
        <v>1</v>
      </c>
      <c r="B278" s="69"/>
      <c r="C278" s="42" t="s">
        <v>199</v>
      </c>
      <c r="D278" s="55">
        <f>(29.96+0.6*(2.45+1.8+1.6))*(10.764)</f>
        <v>360.27107999999998</v>
      </c>
      <c r="E278" s="42">
        <v>0</v>
      </c>
      <c r="F278" s="42">
        <f t="shared" ref="F278:F279" si="22">D278*(($F$243)+1)+(IF(E278&lt;101,E278,IF(E278&lt;201,E278/2,IF(E278&lt;=301,E278/3,E278/4))))</f>
        <v>540.40661999999998</v>
      </c>
      <c r="G278" s="69" t="str">
        <f>A277</f>
        <v>2nd To 7th Floor</v>
      </c>
      <c r="H278" s="69"/>
      <c r="I278" s="36"/>
      <c r="N278" s="36"/>
    </row>
    <row r="279" spans="1:14" s="37" customFormat="1" ht="15.75" customHeight="1" x14ac:dyDescent="0.3">
      <c r="A279" s="69">
        <f>A278+1</f>
        <v>2</v>
      </c>
      <c r="B279" s="69"/>
      <c r="C279" s="42" t="s">
        <v>199</v>
      </c>
      <c r="D279" s="55">
        <f>(29.96+0.6*(2.45+1.8+1.6))*(10.764)</f>
        <v>360.27107999999998</v>
      </c>
      <c r="E279" s="42">
        <v>0</v>
      </c>
      <c r="F279" s="42">
        <f t="shared" si="22"/>
        <v>540.40661999999998</v>
      </c>
      <c r="G279" s="69"/>
      <c r="H279" s="69"/>
      <c r="I279" s="36"/>
      <c r="N279" s="36"/>
    </row>
    <row r="280" spans="1:14" s="37" customFormat="1" ht="15.75" customHeight="1" x14ac:dyDescent="0.3">
      <c r="A280" s="69">
        <f>A279+1</f>
        <v>3</v>
      </c>
      <c r="B280" s="69"/>
      <c r="C280" s="42" t="s">
        <v>199</v>
      </c>
      <c r="D280" s="55">
        <f>(29.96+0.6*(2.45+1.8+1.6))*(10.764)</f>
        <v>360.27107999999998</v>
      </c>
      <c r="E280" s="42">
        <v>0</v>
      </c>
      <c r="F280" s="42">
        <f>D280*(($F$243)+1)+(IF(E280&lt;101,E280,IF(E280&lt;201,E280/2,IF(E280&lt;=301,E280/3,E280/4))))</f>
        <v>540.40661999999998</v>
      </c>
      <c r="G280" s="69"/>
      <c r="H280" s="69"/>
      <c r="I280" s="36"/>
      <c r="N280" s="36"/>
    </row>
    <row r="281" spans="1:14" s="37" customFormat="1" ht="15.75" customHeight="1" x14ac:dyDescent="0.3">
      <c r="A281" s="69">
        <f>A280+1</f>
        <v>4</v>
      </c>
      <c r="B281" s="69"/>
      <c r="C281" s="42" t="s">
        <v>199</v>
      </c>
      <c r="D281" s="55">
        <f>(29.96+0.6*(2.45+1.8+1.6))*(10.764)</f>
        <v>360.27107999999998</v>
      </c>
      <c r="E281" s="42">
        <v>0</v>
      </c>
      <c r="F281" s="42">
        <f>D281*(($F$243)+1)+(IF(E281&lt;101,E281,IF(E281&lt;201,E281/2,IF(E281&lt;=301,E281/3,E281/4))))</f>
        <v>540.40661999999998</v>
      </c>
      <c r="G281" s="69"/>
      <c r="H281" s="69"/>
      <c r="I281" s="36"/>
      <c r="N281" s="36"/>
    </row>
    <row r="282" spans="1:14" s="37" customFormat="1" x14ac:dyDescent="0.3">
      <c r="A282" s="163" t="s">
        <v>204</v>
      </c>
      <c r="B282" s="163"/>
      <c r="C282" s="163"/>
      <c r="D282" s="163"/>
      <c r="E282" s="163"/>
      <c r="F282" s="163"/>
      <c r="G282" s="163"/>
      <c r="H282" s="163"/>
      <c r="J282" s="36"/>
    </row>
    <row r="283" spans="1:14" s="37" customFormat="1" x14ac:dyDescent="0.3">
      <c r="A283" s="163" t="s">
        <v>200</v>
      </c>
      <c r="B283" s="163"/>
      <c r="C283" s="163"/>
      <c r="D283" s="163"/>
      <c r="E283" s="163"/>
      <c r="F283" s="163"/>
      <c r="G283" s="163"/>
      <c r="H283" s="163"/>
      <c r="I283" s="36"/>
      <c r="L283" s="180"/>
      <c r="M283" s="180"/>
    </row>
    <row r="284" spans="1:14" s="37" customFormat="1" x14ac:dyDescent="0.3">
      <c r="A284" s="147" t="s">
        <v>197</v>
      </c>
      <c r="B284" s="148"/>
      <c r="C284" s="148"/>
      <c r="D284" s="148"/>
      <c r="E284" s="148"/>
      <c r="F284" s="148"/>
      <c r="G284" s="148"/>
      <c r="H284" s="149"/>
      <c r="J284" s="36"/>
    </row>
    <row r="285" spans="1:14" s="37" customFormat="1" x14ac:dyDescent="0.3">
      <c r="A285" s="100">
        <v>1</v>
      </c>
      <c r="B285" s="101"/>
      <c r="C285" s="42" t="s">
        <v>199</v>
      </c>
      <c r="D285" s="55">
        <f>(29.96)*(10.764)</f>
        <v>322.48944</v>
      </c>
      <c r="E285" s="42">
        <v>0</v>
      </c>
      <c r="F285" s="42">
        <f>D285*(($F$243)+1)+(IF(E285&lt;101,E285,IF(E285&lt;201,E285/2,IF(E285&lt;=301,E285/3,E285/4))))</f>
        <v>483.73415999999997</v>
      </c>
      <c r="G285" s="100" t="str">
        <f>A284</f>
        <v>Ground Floor For Part Residential</v>
      </c>
      <c r="H285" s="101"/>
      <c r="I285" s="36"/>
      <c r="L285" s="180"/>
      <c r="M285" s="180"/>
      <c r="N285" s="36"/>
    </row>
    <row r="286" spans="1:14" s="37" customFormat="1" x14ac:dyDescent="0.3">
      <c r="A286" s="163" t="s">
        <v>201</v>
      </c>
      <c r="B286" s="163"/>
      <c r="C286" s="163"/>
      <c r="D286" s="163"/>
      <c r="E286" s="163"/>
      <c r="F286" s="163"/>
      <c r="G286" s="163"/>
      <c r="H286" s="147"/>
      <c r="I286" s="36"/>
      <c r="K286" s="54"/>
      <c r="L286" s="180"/>
      <c r="M286" s="180"/>
    </row>
    <row r="287" spans="1:14" s="37" customFormat="1" ht="15.75" customHeight="1" x14ac:dyDescent="0.3">
      <c r="A287" s="69">
        <v>1</v>
      </c>
      <c r="B287" s="69"/>
      <c r="C287" s="42" t="s">
        <v>199</v>
      </c>
      <c r="D287" s="55">
        <f>(29.96)*(10.764)</f>
        <v>322.48944</v>
      </c>
      <c r="E287" s="42">
        <v>0</v>
      </c>
      <c r="F287" s="42">
        <f t="shared" ref="F287:F288" si="23">D287*(($F$243)+1)+(IF(E287&lt;101,E287,IF(E287&lt;201,E287/2,IF(E287&lt;=301,E287/3,E287/4))))</f>
        <v>483.73415999999997</v>
      </c>
      <c r="G287" s="150" t="str">
        <f>A286</f>
        <v>1st Floor For Residential</v>
      </c>
      <c r="H287" s="191"/>
      <c r="I287" s="36"/>
      <c r="K287" s="54"/>
      <c r="N287" s="36"/>
    </row>
    <row r="288" spans="1:14" s="37" customFormat="1" ht="15.75" customHeight="1" x14ac:dyDescent="0.3">
      <c r="A288" s="69">
        <f>A287+1</f>
        <v>2</v>
      </c>
      <c r="B288" s="69"/>
      <c r="C288" s="42" t="s">
        <v>199</v>
      </c>
      <c r="D288" s="55">
        <f>(29.96)*(10.764)</f>
        <v>322.48944</v>
      </c>
      <c r="E288" s="42">
        <v>0</v>
      </c>
      <c r="F288" s="42">
        <f t="shared" si="23"/>
        <v>483.73415999999997</v>
      </c>
      <c r="G288" s="152"/>
      <c r="H288" s="192"/>
      <c r="I288" s="36"/>
      <c r="K288" s="54"/>
      <c r="N288" s="36"/>
    </row>
    <row r="289" spans="1:14" s="37" customFormat="1" ht="15.75" customHeight="1" x14ac:dyDescent="0.3">
      <c r="A289" s="69">
        <f>A288+1</f>
        <v>3</v>
      </c>
      <c r="B289" s="69"/>
      <c r="C289" s="42" t="s">
        <v>199</v>
      </c>
      <c r="D289" s="55">
        <f>(29.96)*(10.764)</f>
        <v>322.48944</v>
      </c>
      <c r="E289" s="55">
        <f>(3.9*2.7+3*2.2+0.9*4.9+5.7*0.9+1.9*4)*(10.764)</f>
        <v>368.88228000000004</v>
      </c>
      <c r="F289" s="42">
        <f>D289*(($F$243)+1)+(IF(E289&lt;101,E289,IF(E289&lt;201,E289/2,IF(E289&lt;=301,E289/3,E289/4))))</f>
        <v>575.95472999999993</v>
      </c>
      <c r="G289" s="152"/>
      <c r="H289" s="192"/>
      <c r="I289" s="36"/>
      <c r="N289" s="36"/>
    </row>
    <row r="290" spans="1:14" s="37" customFormat="1" ht="15.75" customHeight="1" x14ac:dyDescent="0.3">
      <c r="A290" s="69">
        <f>A289+1</f>
        <v>4</v>
      </c>
      <c r="B290" s="69"/>
      <c r="C290" s="42" t="s">
        <v>199</v>
      </c>
      <c r="D290" s="55">
        <f>(29.96)*(10.764)</f>
        <v>322.48944</v>
      </c>
      <c r="E290" s="55">
        <f>(1.4*4+4.8*0.9)*(10.764)</f>
        <v>106.77887999999999</v>
      </c>
      <c r="F290" s="42">
        <f>D290*(($F$243)+1)+(IF(E290&lt;101,E290,IF(E290&lt;201,E290/2,IF(E290&lt;=301,E290/3,E290/4))))</f>
        <v>537.12360000000001</v>
      </c>
      <c r="G290" s="189"/>
      <c r="H290" s="193"/>
      <c r="I290" s="36"/>
      <c r="N290" s="36"/>
    </row>
    <row r="291" spans="1:14" s="37" customFormat="1" x14ac:dyDescent="0.3">
      <c r="A291" s="163" t="s">
        <v>203</v>
      </c>
      <c r="B291" s="163"/>
      <c r="C291" s="163"/>
      <c r="D291" s="163"/>
      <c r="E291" s="163"/>
      <c r="F291" s="163"/>
      <c r="G291" s="163"/>
      <c r="H291" s="147"/>
      <c r="I291" s="36"/>
      <c r="L291" s="180"/>
      <c r="M291" s="180"/>
    </row>
    <row r="292" spans="1:14" s="37" customFormat="1" ht="15.75" customHeight="1" x14ac:dyDescent="0.3">
      <c r="A292" s="69">
        <v>1</v>
      </c>
      <c r="B292" s="69"/>
      <c r="C292" s="42" t="s">
        <v>199</v>
      </c>
      <c r="D292" s="55">
        <f>(29.96+0.6*(2.45+1.8+1.6))*(10.764)</f>
        <v>360.27107999999998</v>
      </c>
      <c r="E292" s="42">
        <v>0</v>
      </c>
      <c r="F292" s="42">
        <f t="shared" ref="F292:F293" si="24">D292*(($F$243)+1)+(IF(E292&lt;101,E292,IF(E292&lt;201,E292/2,IF(E292&lt;=301,E292/3,E292/4))))</f>
        <v>540.40661999999998</v>
      </c>
      <c r="G292" s="150" t="str">
        <f>A291</f>
        <v>2nd To 7th Floor</v>
      </c>
      <c r="H292" s="191"/>
      <c r="I292" s="36"/>
      <c r="N292" s="36"/>
    </row>
    <row r="293" spans="1:14" s="37" customFormat="1" ht="15.75" customHeight="1" x14ac:dyDescent="0.3">
      <c r="A293" s="69">
        <f>A292+1</f>
        <v>2</v>
      </c>
      <c r="B293" s="69"/>
      <c r="C293" s="42" t="s">
        <v>199</v>
      </c>
      <c r="D293" s="55">
        <f>(29.96+0.6*(2.45+1.8+1.6))*(10.764)</f>
        <v>360.27107999999998</v>
      </c>
      <c r="E293" s="42">
        <v>0</v>
      </c>
      <c r="F293" s="42">
        <f t="shared" si="24"/>
        <v>540.40661999999998</v>
      </c>
      <c r="G293" s="152"/>
      <c r="H293" s="153"/>
      <c r="I293" s="36"/>
      <c r="N293" s="36"/>
    </row>
    <row r="294" spans="1:14" s="37" customFormat="1" ht="15.75" customHeight="1" x14ac:dyDescent="0.3">
      <c r="A294" s="69">
        <f>A293+1</f>
        <v>3</v>
      </c>
      <c r="B294" s="69"/>
      <c r="C294" s="42" t="s">
        <v>199</v>
      </c>
      <c r="D294" s="55">
        <f>(29.96+0.6*(2.45+1.8+1.6))*(10.764)</f>
        <v>360.27107999999998</v>
      </c>
      <c r="E294" s="42">
        <v>0</v>
      </c>
      <c r="F294" s="42">
        <f>D294*(($F$243)+1)+(IF(E294&lt;101,E294,IF(E294&lt;201,E294/2,IF(E294&lt;=301,E294/3,E294/4))))</f>
        <v>540.40661999999998</v>
      </c>
      <c r="G294" s="152"/>
      <c r="H294" s="153"/>
      <c r="I294" s="36"/>
      <c r="N294" s="36"/>
    </row>
    <row r="295" spans="1:14" s="37" customFormat="1" ht="15.75" customHeight="1" x14ac:dyDescent="0.3">
      <c r="A295" s="69">
        <f>A294+1</f>
        <v>4</v>
      </c>
      <c r="B295" s="69"/>
      <c r="C295" s="42" t="s">
        <v>199</v>
      </c>
      <c r="D295" s="55">
        <f>(29.96+0.6*(2.45+1.8+1.6))*(10.764)</f>
        <v>360.27107999999998</v>
      </c>
      <c r="E295" s="42">
        <v>0</v>
      </c>
      <c r="F295" s="42">
        <f>D295*(($F$243)+1)+(IF(E295&lt;101,E295,IF(E295&lt;201,E295/2,IF(E295&lt;=301,E295/3,E295/4))))</f>
        <v>540.40661999999998</v>
      </c>
      <c r="G295" s="152"/>
      <c r="H295" s="153"/>
      <c r="I295" s="36"/>
      <c r="N295" s="36"/>
    </row>
    <row r="296" spans="1:14" s="37" customFormat="1" x14ac:dyDescent="0.3">
      <c r="A296" s="147" t="s">
        <v>196</v>
      </c>
      <c r="B296" s="148"/>
      <c r="C296" s="148"/>
      <c r="D296" s="148"/>
      <c r="E296" s="148"/>
      <c r="F296" s="148"/>
      <c r="G296" s="148"/>
      <c r="H296" s="149"/>
      <c r="J296" s="36"/>
    </row>
    <row r="297" spans="1:14" s="37" customFormat="1" x14ac:dyDescent="0.3">
      <c r="A297" s="147" t="s">
        <v>197</v>
      </c>
      <c r="B297" s="148"/>
      <c r="C297" s="148"/>
      <c r="D297" s="148"/>
      <c r="E297" s="148"/>
      <c r="F297" s="148"/>
      <c r="G297" s="148"/>
      <c r="H297" s="149"/>
      <c r="J297" s="36"/>
    </row>
    <row r="298" spans="1:14" s="37" customFormat="1" x14ac:dyDescent="0.3">
      <c r="A298" s="100">
        <v>1</v>
      </c>
      <c r="B298" s="101"/>
      <c r="C298" s="42" t="s">
        <v>199</v>
      </c>
      <c r="D298" s="55">
        <f>(29.96)*(10.764)</f>
        <v>322.48944</v>
      </c>
      <c r="E298" s="42">
        <v>0</v>
      </c>
      <c r="F298" s="42">
        <f>D298*(($F$243)+1)+(IF(E298&lt;101,E298,IF(E298&lt;201,E298/2,IF(E298&lt;=301,E298/3,E298/4))))</f>
        <v>483.73415999999997</v>
      </c>
      <c r="G298" s="100" t="str">
        <f>A297</f>
        <v>Ground Floor For Part Residential</v>
      </c>
      <c r="H298" s="101"/>
      <c r="I298" s="36"/>
      <c r="L298" s="180"/>
      <c r="M298" s="180"/>
      <c r="N298" s="36"/>
    </row>
    <row r="299" spans="1:14" s="37" customFormat="1" x14ac:dyDescent="0.3">
      <c r="A299" s="163" t="s">
        <v>201</v>
      </c>
      <c r="B299" s="163"/>
      <c r="C299" s="163"/>
      <c r="D299" s="163"/>
      <c r="E299" s="163"/>
      <c r="F299" s="163"/>
      <c r="G299" s="163"/>
      <c r="H299" s="163"/>
      <c r="I299" s="36"/>
      <c r="L299" s="180"/>
      <c r="M299" s="180"/>
    </row>
    <row r="300" spans="1:14" s="37" customFormat="1" ht="15.75" customHeight="1" x14ac:dyDescent="0.3">
      <c r="A300" s="69">
        <v>1</v>
      </c>
      <c r="B300" s="69"/>
      <c r="C300" s="42" t="s">
        <v>199</v>
      </c>
      <c r="D300" s="55">
        <f>(29.96)*(10.764)</f>
        <v>322.48944</v>
      </c>
      <c r="E300" s="42">
        <v>0</v>
      </c>
      <c r="F300" s="42">
        <f t="shared" ref="F300:F301" si="25">D300*(($F$243)+1)+(IF(E300&lt;101,E300,IF(E300&lt;201,E300/2,IF(E300&lt;=301,E300/3,E300/4))))</f>
        <v>483.73415999999997</v>
      </c>
      <c r="G300" s="150" t="str">
        <f>A299</f>
        <v>1st Floor For Residential</v>
      </c>
      <c r="H300" s="151"/>
      <c r="I300" s="36"/>
      <c r="N300" s="36"/>
    </row>
    <row r="301" spans="1:14" s="37" customFormat="1" ht="15.75" customHeight="1" x14ac:dyDescent="0.3">
      <c r="A301" s="69">
        <f>A300+1</f>
        <v>2</v>
      </c>
      <c r="B301" s="69"/>
      <c r="C301" s="42" t="s">
        <v>199</v>
      </c>
      <c r="D301" s="55">
        <f>(29.96)*(10.764)</f>
        <v>322.48944</v>
      </c>
      <c r="E301" s="42">
        <v>0</v>
      </c>
      <c r="F301" s="42">
        <f t="shared" si="25"/>
        <v>483.73415999999997</v>
      </c>
      <c r="G301" s="152"/>
      <c r="H301" s="153"/>
      <c r="I301" s="36"/>
      <c r="N301" s="36"/>
    </row>
    <row r="302" spans="1:14" s="37" customFormat="1" ht="15.75" customHeight="1" x14ac:dyDescent="0.3">
      <c r="A302" s="69">
        <f>A301+1</f>
        <v>3</v>
      </c>
      <c r="B302" s="69"/>
      <c r="C302" s="42" t="s">
        <v>199</v>
      </c>
      <c r="D302" s="55">
        <f>(29.96)*(10.764)</f>
        <v>322.48944</v>
      </c>
      <c r="E302" s="55">
        <f>(4.9*0.9+2*4)*(10.764)</f>
        <v>133.58123999999998</v>
      </c>
      <c r="F302" s="42">
        <f>D302*(($F$243)+1)+(IF(E302&lt;101,E302,IF(E302&lt;201,E302/2,IF(E302&lt;=301,E302/3,E302/4))))</f>
        <v>550.52477999999996</v>
      </c>
      <c r="G302" s="152"/>
      <c r="H302" s="153"/>
      <c r="I302" s="36"/>
      <c r="N302" s="36"/>
    </row>
    <row r="303" spans="1:14" s="37" customFormat="1" ht="15.75" customHeight="1" x14ac:dyDescent="0.3">
      <c r="A303" s="69">
        <f>A302+1</f>
        <v>4</v>
      </c>
      <c r="B303" s="69"/>
      <c r="C303" s="42" t="s">
        <v>199</v>
      </c>
      <c r="D303" s="55">
        <f>(29.96)*(10.764)</f>
        <v>322.48944</v>
      </c>
      <c r="E303" s="55">
        <f>(1.7*4+4.9*1)*(10.764)</f>
        <v>125.93879999999999</v>
      </c>
      <c r="F303" s="42">
        <f>D303*(($F$243)+1)+(IF(E303&lt;101,E303,IF(E303&lt;201,E303/2,IF(E303&lt;=301,E303/3,E303/4))))</f>
        <v>546.70355999999992</v>
      </c>
      <c r="G303" s="189"/>
      <c r="H303" s="190"/>
      <c r="I303" s="36"/>
      <c r="N303" s="36"/>
    </row>
    <row r="304" spans="1:14" s="37" customFormat="1" x14ac:dyDescent="0.3">
      <c r="A304" s="163" t="s">
        <v>203</v>
      </c>
      <c r="B304" s="163"/>
      <c r="C304" s="163"/>
      <c r="D304" s="163"/>
      <c r="E304" s="163"/>
      <c r="F304" s="163"/>
      <c r="G304" s="163"/>
      <c r="H304" s="163"/>
      <c r="I304" s="36"/>
      <c r="L304" s="180"/>
      <c r="M304" s="180"/>
    </row>
    <row r="305" spans="1:14" s="37" customFormat="1" ht="15.75" customHeight="1" x14ac:dyDescent="0.3">
      <c r="A305" s="69">
        <v>1</v>
      </c>
      <c r="B305" s="69"/>
      <c r="C305" s="42" t="s">
        <v>199</v>
      </c>
      <c r="D305" s="55">
        <f>(29.96+0.6*(2.45+1.8+1.6))*(10.764)</f>
        <v>360.27107999999998</v>
      </c>
      <c r="E305" s="42">
        <v>0</v>
      </c>
      <c r="F305" s="42">
        <f t="shared" ref="F305:F306" si="26">D305*(($F$243)+1)+(IF(E305&lt;101,E305,IF(E305&lt;201,E305/2,IF(E305&lt;=301,E305/3,E305/4))))</f>
        <v>540.40661999999998</v>
      </c>
      <c r="G305" s="150" t="str">
        <f>A304</f>
        <v>2nd To 7th Floor</v>
      </c>
      <c r="H305" s="151"/>
      <c r="I305" s="36"/>
      <c r="N305" s="36"/>
    </row>
    <row r="306" spans="1:14" s="37" customFormat="1" ht="15.75" customHeight="1" x14ac:dyDescent="0.3">
      <c r="A306" s="69">
        <f>A305+1</f>
        <v>2</v>
      </c>
      <c r="B306" s="69"/>
      <c r="C306" s="42" t="s">
        <v>199</v>
      </c>
      <c r="D306" s="55">
        <f>(29.96+0.6*(2.45+1.8+1.6))*(10.764)</f>
        <v>360.27107999999998</v>
      </c>
      <c r="E306" s="42">
        <v>0</v>
      </c>
      <c r="F306" s="42">
        <f t="shared" si="26"/>
        <v>540.40661999999998</v>
      </c>
      <c r="G306" s="152"/>
      <c r="H306" s="153"/>
      <c r="I306" s="36"/>
      <c r="N306" s="36"/>
    </row>
    <row r="307" spans="1:14" s="37" customFormat="1" ht="15.75" customHeight="1" x14ac:dyDescent="0.3">
      <c r="A307" s="69">
        <f>A306+1</f>
        <v>3</v>
      </c>
      <c r="B307" s="69"/>
      <c r="C307" s="42" t="s">
        <v>199</v>
      </c>
      <c r="D307" s="55">
        <f>(29.96+0.6*(2.45+1.8+1.6))*(10.764)</f>
        <v>360.27107999999998</v>
      </c>
      <c r="E307" s="42">
        <v>0</v>
      </c>
      <c r="F307" s="42">
        <f>D307*(($F$243)+1)+(IF(E307&lt;101,E307,IF(E307&lt;201,E307/2,IF(E307&lt;=301,E307/3,E307/4))))</f>
        <v>540.40661999999998</v>
      </c>
      <c r="G307" s="152"/>
      <c r="H307" s="153"/>
      <c r="I307" s="36"/>
      <c r="N307" s="36"/>
    </row>
    <row r="308" spans="1:14" s="37" customFormat="1" ht="15.75" customHeight="1" x14ac:dyDescent="0.3">
      <c r="A308" s="69">
        <f>A307+1</f>
        <v>4</v>
      </c>
      <c r="B308" s="69"/>
      <c r="C308" s="42" t="s">
        <v>199</v>
      </c>
      <c r="D308" s="55">
        <f>(29.96+0.6*(2.45+1.8+1.6))*(10.764)</f>
        <v>360.27107999999998</v>
      </c>
      <c r="E308" s="42">
        <v>0</v>
      </c>
      <c r="F308" s="42">
        <f>D308*(($F$243)+1)+(IF(E308&lt;101,E308,IF(E308&lt;201,E308/2,IF(E308&lt;=301,E308/3,E308/4))))</f>
        <v>540.40661999999998</v>
      </c>
      <c r="G308" s="152"/>
      <c r="H308" s="153"/>
      <c r="I308" s="36"/>
      <c r="N308" s="36"/>
    </row>
    <row r="309" spans="1:14" s="37" customFormat="1" x14ac:dyDescent="0.3">
      <c r="A309" s="147" t="s">
        <v>198</v>
      </c>
      <c r="B309" s="148"/>
      <c r="C309" s="148"/>
      <c r="D309" s="148"/>
      <c r="E309" s="148"/>
      <c r="F309" s="148"/>
      <c r="G309" s="148"/>
      <c r="H309" s="149"/>
      <c r="J309" s="36"/>
    </row>
    <row r="310" spans="1:14" s="37" customFormat="1" x14ac:dyDescent="0.3">
      <c r="A310" s="147" t="s">
        <v>197</v>
      </c>
      <c r="B310" s="148"/>
      <c r="C310" s="148"/>
      <c r="D310" s="148"/>
      <c r="E310" s="148"/>
      <c r="F310" s="148"/>
      <c r="G310" s="148"/>
      <c r="H310" s="149"/>
      <c r="J310" s="36"/>
    </row>
    <row r="311" spans="1:14" s="37" customFormat="1" x14ac:dyDescent="0.3">
      <c r="A311" s="100">
        <v>1</v>
      </c>
      <c r="B311" s="101"/>
      <c r="C311" s="42" t="s">
        <v>199</v>
      </c>
      <c r="D311" s="55">
        <f>(29.96)*(10.764)</f>
        <v>322.48944</v>
      </c>
      <c r="E311" s="42">
        <v>0</v>
      </c>
      <c r="F311" s="42">
        <f>D311*(($F$243)+1)+(IF(E311&lt;101,E311,IF(E311&lt;201,E311/2,IF(E311&lt;=301,E311/3,E311/4))))</f>
        <v>483.73415999999997</v>
      </c>
      <c r="G311" s="100" t="str">
        <f>A310</f>
        <v>Ground Floor For Part Residential</v>
      </c>
      <c r="H311" s="101"/>
      <c r="I311" s="36"/>
      <c r="L311" s="180"/>
      <c r="M311" s="180"/>
      <c r="N311" s="36"/>
    </row>
    <row r="312" spans="1:14" s="37" customFormat="1" x14ac:dyDescent="0.3">
      <c r="A312" s="163" t="s">
        <v>201</v>
      </c>
      <c r="B312" s="163"/>
      <c r="C312" s="163"/>
      <c r="D312" s="163"/>
      <c r="E312" s="163"/>
      <c r="F312" s="163"/>
      <c r="G312" s="163"/>
      <c r="H312" s="163"/>
      <c r="I312" s="36"/>
      <c r="L312" s="180"/>
      <c r="M312" s="180"/>
    </row>
    <row r="313" spans="1:14" s="37" customFormat="1" ht="15.75" customHeight="1" x14ac:dyDescent="0.3">
      <c r="A313" s="69">
        <v>1</v>
      </c>
      <c r="B313" s="69"/>
      <c r="C313" s="42" t="s">
        <v>199</v>
      </c>
      <c r="D313" s="55">
        <f>(29.96)*(10.764)</f>
        <v>322.48944</v>
      </c>
      <c r="E313" s="42">
        <v>0</v>
      </c>
      <c r="F313" s="42">
        <f t="shared" ref="F313:F314" si="27">D313*(($F$243)+1)+(IF(E313&lt;101,E313,IF(E313&lt;201,E313/2,IF(E313&lt;=301,E313/3,E313/4))))</f>
        <v>483.73415999999997</v>
      </c>
      <c r="G313" s="150" t="str">
        <f>A312</f>
        <v>1st Floor For Residential</v>
      </c>
      <c r="H313" s="151"/>
      <c r="I313" s="36"/>
      <c r="N313" s="36"/>
    </row>
    <row r="314" spans="1:14" s="37" customFormat="1" ht="15.75" customHeight="1" x14ac:dyDescent="0.3">
      <c r="A314" s="69">
        <f>A313+1</f>
        <v>2</v>
      </c>
      <c r="B314" s="69"/>
      <c r="C314" s="42" t="s">
        <v>199</v>
      </c>
      <c r="D314" s="55">
        <f>(29.96)*(10.764)</f>
        <v>322.48944</v>
      </c>
      <c r="E314" s="42">
        <v>0</v>
      </c>
      <c r="F314" s="42">
        <f t="shared" si="27"/>
        <v>483.73415999999997</v>
      </c>
      <c r="G314" s="152"/>
      <c r="H314" s="153"/>
      <c r="I314" s="36"/>
      <c r="N314" s="36"/>
    </row>
    <row r="315" spans="1:14" s="37" customFormat="1" ht="15.75" customHeight="1" x14ac:dyDescent="0.3">
      <c r="A315" s="69">
        <f>A314+1</f>
        <v>3</v>
      </c>
      <c r="B315" s="69"/>
      <c r="C315" s="42" t="s">
        <v>199</v>
      </c>
      <c r="D315" s="55">
        <f>(29.96)*(10.764)</f>
        <v>322.48944</v>
      </c>
      <c r="E315" s="55">
        <f>(4.7*0.9+1.7*4)*(10.764)</f>
        <v>118.72692000000001</v>
      </c>
      <c r="F315" s="42">
        <f>D315*(($F$243)+1)+(IF(E315&lt;101,E315,IF(E315&lt;201,E315/2,IF(E315&lt;=301,E315/3,E315/4))))</f>
        <v>543.09762000000001</v>
      </c>
      <c r="G315" s="152"/>
      <c r="H315" s="153"/>
      <c r="I315" s="36"/>
      <c r="N315" s="36"/>
    </row>
    <row r="316" spans="1:14" s="37" customFormat="1" ht="15.75" customHeight="1" x14ac:dyDescent="0.3">
      <c r="A316" s="69">
        <f>A315+1</f>
        <v>4</v>
      </c>
      <c r="B316" s="69"/>
      <c r="C316" s="42" t="s">
        <v>199</v>
      </c>
      <c r="D316" s="55">
        <f>(29.96)*(10.764)</f>
        <v>322.48944</v>
      </c>
      <c r="E316" s="55">
        <f>(2*4+4.8*0.9)*(10.764)</f>
        <v>132.61248000000001</v>
      </c>
      <c r="F316" s="42">
        <f>D316*(($F$243)+1)+(IF(E316&lt;101,E316,IF(E316&lt;201,E316/2,IF(E316&lt;=301,E316/3,E316/4))))</f>
        <v>550.04039999999998</v>
      </c>
      <c r="G316" s="189"/>
      <c r="H316" s="190"/>
      <c r="I316" s="36"/>
      <c r="N316" s="36"/>
    </row>
    <row r="317" spans="1:14" s="37" customFormat="1" x14ac:dyDescent="0.3">
      <c r="A317" s="163" t="s">
        <v>203</v>
      </c>
      <c r="B317" s="163"/>
      <c r="C317" s="163"/>
      <c r="D317" s="163"/>
      <c r="E317" s="163"/>
      <c r="F317" s="163"/>
      <c r="G317" s="163"/>
      <c r="H317" s="163"/>
      <c r="I317" s="36"/>
      <c r="L317" s="180"/>
      <c r="M317" s="180"/>
    </row>
    <row r="318" spans="1:14" s="37" customFormat="1" ht="15.75" customHeight="1" x14ac:dyDescent="0.3">
      <c r="A318" s="69">
        <v>1</v>
      </c>
      <c r="B318" s="69"/>
      <c r="C318" s="42" t="s">
        <v>199</v>
      </c>
      <c r="D318" s="55">
        <f>(29.96+0.6*(2.45+1.8+1.6))*(10.764)</f>
        <v>360.27107999999998</v>
      </c>
      <c r="E318" s="42">
        <v>0</v>
      </c>
      <c r="F318" s="42">
        <f t="shared" ref="F318:F319" si="28">D318*(($F$243)+1)+(IF(E318&lt;101,E318,IF(E318&lt;201,E318/2,IF(E318&lt;=301,E318/3,E318/4))))</f>
        <v>540.40661999999998</v>
      </c>
      <c r="G318" s="69" t="str">
        <f>A317</f>
        <v>2nd To 7th Floor</v>
      </c>
      <c r="H318" s="69"/>
      <c r="I318" s="36"/>
      <c r="N318" s="36"/>
    </row>
    <row r="319" spans="1:14" s="37" customFormat="1" ht="15.75" customHeight="1" x14ac:dyDescent="0.3">
      <c r="A319" s="69">
        <f>A318+1</f>
        <v>2</v>
      </c>
      <c r="B319" s="69"/>
      <c r="C319" s="42" t="s">
        <v>199</v>
      </c>
      <c r="D319" s="55">
        <f>(29.96+0.6*(2.45+1.8+1.6))*(10.764)</f>
        <v>360.27107999999998</v>
      </c>
      <c r="E319" s="42">
        <v>0</v>
      </c>
      <c r="F319" s="42">
        <f t="shared" si="28"/>
        <v>540.40661999999998</v>
      </c>
      <c r="G319" s="69"/>
      <c r="H319" s="69"/>
      <c r="I319" s="36"/>
      <c r="N319" s="36"/>
    </row>
    <row r="320" spans="1:14" s="37" customFormat="1" ht="15.75" customHeight="1" x14ac:dyDescent="0.3">
      <c r="A320" s="69">
        <f>A319+1</f>
        <v>3</v>
      </c>
      <c r="B320" s="69"/>
      <c r="C320" s="42" t="s">
        <v>199</v>
      </c>
      <c r="D320" s="55">
        <f>(29.96+0.6*(2.45+1.8+1.6))*(10.764)</f>
        <v>360.27107999999998</v>
      </c>
      <c r="E320" s="42">
        <v>0</v>
      </c>
      <c r="F320" s="42">
        <f>D320*(($F$243)+1)+(IF(E320&lt;101,E320,IF(E320&lt;201,E320/2,IF(E320&lt;=301,E320/3,E320/4))))</f>
        <v>540.40661999999998</v>
      </c>
      <c r="G320" s="69"/>
      <c r="H320" s="69"/>
      <c r="I320" s="36"/>
      <c r="N320" s="36"/>
    </row>
    <row r="321" spans="1:14" s="37" customFormat="1" ht="15.75" customHeight="1" x14ac:dyDescent="0.3">
      <c r="A321" s="69">
        <f>A320+1</f>
        <v>4</v>
      </c>
      <c r="B321" s="69"/>
      <c r="C321" s="42" t="s">
        <v>199</v>
      </c>
      <c r="D321" s="55">
        <f>(29.96+0.6*(2.45+1.8+1.6))*(10.764)</f>
        <v>360.27107999999998</v>
      </c>
      <c r="E321" s="42">
        <v>0</v>
      </c>
      <c r="F321" s="42">
        <f>D321*(($F$243)+1)+(IF(E321&lt;101,E321,IF(E321&lt;201,E321/2,IF(E321&lt;=301,E321/3,E321/4))))</f>
        <v>540.40661999999998</v>
      </c>
      <c r="G321" s="69"/>
      <c r="H321" s="69"/>
      <c r="I321" s="36"/>
      <c r="N321" s="36"/>
    </row>
    <row r="322" spans="1:14" s="37" customFormat="1" x14ac:dyDescent="0.3">
      <c r="A322" s="163" t="s">
        <v>205</v>
      </c>
      <c r="B322" s="163"/>
      <c r="C322" s="163"/>
      <c r="D322" s="163"/>
      <c r="E322" s="163"/>
      <c r="F322" s="163"/>
      <c r="G322" s="163"/>
      <c r="H322" s="163"/>
      <c r="J322" s="36"/>
    </row>
    <row r="323" spans="1:14" s="37" customFormat="1" x14ac:dyDescent="0.3">
      <c r="A323" s="163" t="s">
        <v>200</v>
      </c>
      <c r="B323" s="163"/>
      <c r="C323" s="163"/>
      <c r="D323" s="163"/>
      <c r="E323" s="163"/>
      <c r="F323" s="163"/>
      <c r="G323" s="163"/>
      <c r="H323" s="163"/>
      <c r="I323" s="36"/>
      <c r="L323" s="180"/>
      <c r="M323" s="180"/>
    </row>
    <row r="324" spans="1:14" s="37" customFormat="1" x14ac:dyDescent="0.3">
      <c r="A324" s="163" t="s">
        <v>197</v>
      </c>
      <c r="B324" s="163"/>
      <c r="C324" s="163"/>
      <c r="D324" s="163"/>
      <c r="E324" s="163"/>
      <c r="F324" s="163"/>
      <c r="G324" s="163"/>
      <c r="H324" s="163"/>
      <c r="J324" s="36"/>
    </row>
    <row r="325" spans="1:14" s="37" customFormat="1" x14ac:dyDescent="0.3">
      <c r="A325" s="69">
        <v>1</v>
      </c>
      <c r="B325" s="69"/>
      <c r="C325" s="42" t="s">
        <v>199</v>
      </c>
      <c r="D325" s="55">
        <f>(29.96)*(10.764)</f>
        <v>322.48944</v>
      </c>
      <c r="E325" s="42">
        <v>0</v>
      </c>
      <c r="F325" s="42">
        <f>D325*(($F$243)+1)+(IF(E325&lt;101,E325,IF(E325&lt;201,E325/2,IF(E325&lt;=301,E325/3,E325/4))))</f>
        <v>483.73415999999997</v>
      </c>
      <c r="G325" s="69" t="str">
        <f>A324</f>
        <v>Ground Floor For Part Residential</v>
      </c>
      <c r="H325" s="69"/>
      <c r="I325" s="36"/>
      <c r="L325" s="180"/>
      <c r="M325" s="180"/>
      <c r="N325" s="36"/>
    </row>
    <row r="326" spans="1:14" s="37" customFormat="1" x14ac:dyDescent="0.3">
      <c r="A326" s="163" t="s">
        <v>201</v>
      </c>
      <c r="B326" s="163"/>
      <c r="C326" s="163"/>
      <c r="D326" s="163"/>
      <c r="E326" s="163"/>
      <c r="F326" s="163"/>
      <c r="G326" s="163"/>
      <c r="H326" s="163"/>
      <c r="I326" s="36"/>
      <c r="K326" s="54"/>
      <c r="L326" s="180"/>
      <c r="M326" s="180"/>
    </row>
    <row r="327" spans="1:14" s="37" customFormat="1" ht="15.75" customHeight="1" x14ac:dyDescent="0.3">
      <c r="A327" s="69">
        <v>1</v>
      </c>
      <c r="B327" s="69"/>
      <c r="C327" s="42" t="s">
        <v>199</v>
      </c>
      <c r="D327" s="55">
        <f>(29.96)*(10.764)</f>
        <v>322.48944</v>
      </c>
      <c r="E327" s="42">
        <v>0</v>
      </c>
      <c r="F327" s="42">
        <f t="shared" ref="F327:F328" si="29">D327*(($F$243)+1)+(IF(E327&lt;101,E327,IF(E327&lt;201,E327/2,IF(E327&lt;=301,E327/3,E327/4))))</f>
        <v>483.73415999999997</v>
      </c>
      <c r="G327" s="150" t="str">
        <f>A326</f>
        <v>1st Floor For Residential</v>
      </c>
      <c r="H327" s="191"/>
      <c r="I327" s="36"/>
      <c r="K327" s="54"/>
      <c r="N327" s="36"/>
    </row>
    <row r="328" spans="1:14" s="37" customFormat="1" ht="15.75" customHeight="1" x14ac:dyDescent="0.3">
      <c r="A328" s="69">
        <f>A327+1</f>
        <v>2</v>
      </c>
      <c r="B328" s="69"/>
      <c r="C328" s="42" t="s">
        <v>199</v>
      </c>
      <c r="D328" s="55">
        <f>(29.96)*(10.764)</f>
        <v>322.48944</v>
      </c>
      <c r="E328" s="42">
        <v>0</v>
      </c>
      <c r="F328" s="42">
        <f t="shared" si="29"/>
        <v>483.73415999999997</v>
      </c>
      <c r="G328" s="152"/>
      <c r="H328" s="192"/>
      <c r="I328" s="36"/>
      <c r="K328" s="54"/>
      <c r="N328" s="36"/>
    </row>
    <row r="329" spans="1:14" s="37" customFormat="1" ht="15.75" customHeight="1" x14ac:dyDescent="0.3">
      <c r="A329" s="69">
        <f>A328+1</f>
        <v>3</v>
      </c>
      <c r="B329" s="69"/>
      <c r="C329" s="42" t="s">
        <v>199</v>
      </c>
      <c r="D329" s="55">
        <f>(29.96)*(10.764)</f>
        <v>322.48944</v>
      </c>
      <c r="E329" s="55">
        <f>(3.9*2.7+3*2.2+0.9*4.9+5.7*0.9+1.9*4)*(10.764)</f>
        <v>368.88228000000004</v>
      </c>
      <c r="F329" s="42">
        <f>D329*(($F$243)+1)+(IF(E329&lt;101,E329,IF(E329&lt;201,E329/2,IF(E329&lt;=301,E329/3,E329/4))))</f>
        <v>575.95472999999993</v>
      </c>
      <c r="G329" s="152"/>
      <c r="H329" s="192"/>
      <c r="I329" s="36"/>
      <c r="N329" s="36"/>
    </row>
    <row r="330" spans="1:14" s="37" customFormat="1" ht="15.75" customHeight="1" x14ac:dyDescent="0.3">
      <c r="A330" s="69">
        <f>A329+1</f>
        <v>4</v>
      </c>
      <c r="B330" s="69"/>
      <c r="C330" s="42" t="s">
        <v>199</v>
      </c>
      <c r="D330" s="55">
        <f>(29.96)*(10.764)</f>
        <v>322.48944</v>
      </c>
      <c r="E330" s="55">
        <f>(1.4*4+4.8*0.9)*(10.764)</f>
        <v>106.77887999999999</v>
      </c>
      <c r="F330" s="42">
        <f>D330*(($F$243)+1)+(IF(E330&lt;101,E330,IF(E330&lt;201,E330/2,IF(E330&lt;=301,E330/3,E330/4))))</f>
        <v>537.12360000000001</v>
      </c>
      <c r="G330" s="189"/>
      <c r="H330" s="193"/>
      <c r="I330" s="36"/>
      <c r="N330" s="36"/>
    </row>
    <row r="331" spans="1:14" s="37" customFormat="1" x14ac:dyDescent="0.3">
      <c r="A331" s="163" t="s">
        <v>203</v>
      </c>
      <c r="B331" s="163"/>
      <c r="C331" s="163"/>
      <c r="D331" s="163"/>
      <c r="E331" s="163"/>
      <c r="F331" s="163"/>
      <c r="G331" s="163"/>
      <c r="H331" s="147"/>
      <c r="I331" s="36"/>
      <c r="L331" s="180"/>
      <c r="M331" s="180"/>
    </row>
    <row r="332" spans="1:14" s="37" customFormat="1" ht="15.75" customHeight="1" x14ac:dyDescent="0.3">
      <c r="A332" s="69">
        <v>1</v>
      </c>
      <c r="B332" s="69"/>
      <c r="C332" s="42" t="s">
        <v>199</v>
      </c>
      <c r="D332" s="55">
        <f>(29.96+0.6*(2.45+1.8+1.6))*(10.764)</f>
        <v>360.27107999999998</v>
      </c>
      <c r="E332" s="42">
        <v>0</v>
      </c>
      <c r="F332" s="42">
        <f t="shared" ref="F332:F333" si="30">D332*(($F$243)+1)+(IF(E332&lt;101,E332,IF(E332&lt;201,E332/2,IF(E332&lt;=301,E332/3,E332/4))))</f>
        <v>540.40661999999998</v>
      </c>
      <c r="G332" s="150" t="str">
        <f>A331</f>
        <v>2nd To 7th Floor</v>
      </c>
      <c r="H332" s="191"/>
      <c r="I332" s="36"/>
      <c r="N332" s="36"/>
    </row>
    <row r="333" spans="1:14" s="37" customFormat="1" ht="15.75" customHeight="1" x14ac:dyDescent="0.3">
      <c r="A333" s="69">
        <f>A332+1</f>
        <v>2</v>
      </c>
      <c r="B333" s="69"/>
      <c r="C333" s="42" t="s">
        <v>199</v>
      </c>
      <c r="D333" s="55">
        <f>(29.96+0.6*(2.45+1.8+1.6))*(10.764)</f>
        <v>360.27107999999998</v>
      </c>
      <c r="E333" s="42">
        <v>0</v>
      </c>
      <c r="F333" s="42">
        <f t="shared" si="30"/>
        <v>540.40661999999998</v>
      </c>
      <c r="G333" s="152"/>
      <c r="H333" s="153"/>
      <c r="I333" s="36"/>
      <c r="N333" s="36"/>
    </row>
    <row r="334" spans="1:14" s="37" customFormat="1" ht="15.75" customHeight="1" x14ac:dyDescent="0.3">
      <c r="A334" s="69">
        <f>A333+1</f>
        <v>3</v>
      </c>
      <c r="B334" s="69"/>
      <c r="C334" s="42" t="s">
        <v>199</v>
      </c>
      <c r="D334" s="55">
        <f>(29.96+0.6*(2.45+1.8+1.6))*(10.764)</f>
        <v>360.27107999999998</v>
      </c>
      <c r="E334" s="42">
        <v>0</v>
      </c>
      <c r="F334" s="42">
        <f>D334*(($F$243)+1)+(IF(E334&lt;101,E334,IF(E334&lt;201,E334/2,IF(E334&lt;=301,E334/3,E334/4))))</f>
        <v>540.40661999999998</v>
      </c>
      <c r="G334" s="152"/>
      <c r="H334" s="153"/>
      <c r="I334" s="36"/>
      <c r="N334" s="36"/>
    </row>
    <row r="335" spans="1:14" s="37" customFormat="1" ht="15.75" customHeight="1" x14ac:dyDescent="0.3">
      <c r="A335" s="69">
        <f>A334+1</f>
        <v>4</v>
      </c>
      <c r="B335" s="69"/>
      <c r="C335" s="42" t="s">
        <v>199</v>
      </c>
      <c r="D335" s="55">
        <f>(29.96+0.6*(2.45+1.8+1.6))*(10.764)</f>
        <v>360.27107999999998</v>
      </c>
      <c r="E335" s="42">
        <v>0</v>
      </c>
      <c r="F335" s="42">
        <f>D335*(($F$243)+1)+(IF(E335&lt;101,E335,IF(E335&lt;201,E335/2,IF(E335&lt;=301,E335/3,E335/4))))</f>
        <v>540.40661999999998</v>
      </c>
      <c r="G335" s="152"/>
      <c r="H335" s="153"/>
      <c r="I335" s="36"/>
      <c r="N335" s="36"/>
    </row>
    <row r="336" spans="1:14" s="37" customFormat="1" x14ac:dyDescent="0.3">
      <c r="A336" s="147" t="s">
        <v>196</v>
      </c>
      <c r="B336" s="148"/>
      <c r="C336" s="148"/>
      <c r="D336" s="148"/>
      <c r="E336" s="148"/>
      <c r="F336" s="148"/>
      <c r="G336" s="148"/>
      <c r="H336" s="149"/>
      <c r="J336" s="36"/>
    </row>
    <row r="337" spans="1:14" s="37" customFormat="1" x14ac:dyDescent="0.3">
      <c r="A337" s="147" t="s">
        <v>197</v>
      </c>
      <c r="B337" s="148"/>
      <c r="C337" s="148"/>
      <c r="D337" s="148"/>
      <c r="E337" s="148"/>
      <c r="F337" s="148"/>
      <c r="G337" s="148"/>
      <c r="H337" s="149"/>
      <c r="J337" s="36"/>
    </row>
    <row r="338" spans="1:14" s="37" customFormat="1" x14ac:dyDescent="0.3">
      <c r="A338" s="100">
        <v>1</v>
      </c>
      <c r="B338" s="101"/>
      <c r="C338" s="42" t="s">
        <v>199</v>
      </c>
      <c r="D338" s="55">
        <f>(29.96)*(10.764)</f>
        <v>322.48944</v>
      </c>
      <c r="E338" s="42">
        <v>0</v>
      </c>
      <c r="F338" s="42">
        <f>D338*(($F$243)+1)+(IF(E338&lt;101,E338,IF(E338&lt;201,E338/2,IF(E338&lt;=301,E338/3,E338/4))))</f>
        <v>483.73415999999997</v>
      </c>
      <c r="G338" s="100" t="str">
        <f>A337</f>
        <v>Ground Floor For Part Residential</v>
      </c>
      <c r="H338" s="101"/>
      <c r="I338" s="36"/>
      <c r="L338" s="180"/>
      <c r="M338" s="180"/>
      <c r="N338" s="36"/>
    </row>
    <row r="339" spans="1:14" s="37" customFormat="1" x14ac:dyDescent="0.3">
      <c r="A339" s="163" t="s">
        <v>201</v>
      </c>
      <c r="B339" s="163"/>
      <c r="C339" s="163"/>
      <c r="D339" s="163"/>
      <c r="E339" s="163"/>
      <c r="F339" s="163"/>
      <c r="G339" s="163"/>
      <c r="H339" s="163"/>
      <c r="I339" s="36"/>
      <c r="L339" s="180"/>
      <c r="M339" s="180"/>
    </row>
    <row r="340" spans="1:14" s="37" customFormat="1" ht="15.75" customHeight="1" x14ac:dyDescent="0.3">
      <c r="A340" s="69">
        <v>1</v>
      </c>
      <c r="B340" s="69"/>
      <c r="C340" s="42" t="s">
        <v>199</v>
      </c>
      <c r="D340" s="55">
        <f>(29.96)*(10.764)</f>
        <v>322.48944</v>
      </c>
      <c r="E340" s="42">
        <v>0</v>
      </c>
      <c r="F340" s="42">
        <f t="shared" ref="F340:F341" si="31">D340*(($F$243)+1)+(IF(E340&lt;101,E340,IF(E340&lt;201,E340/2,IF(E340&lt;=301,E340/3,E340/4))))</f>
        <v>483.73415999999997</v>
      </c>
      <c r="G340" s="150" t="str">
        <f>A339</f>
        <v>1st Floor For Residential</v>
      </c>
      <c r="H340" s="151"/>
      <c r="I340" s="36"/>
      <c r="N340" s="36"/>
    </row>
    <row r="341" spans="1:14" s="37" customFormat="1" ht="15.75" customHeight="1" x14ac:dyDescent="0.3">
      <c r="A341" s="69">
        <f>A340+1</f>
        <v>2</v>
      </c>
      <c r="B341" s="69"/>
      <c r="C341" s="42" t="s">
        <v>199</v>
      </c>
      <c r="D341" s="55">
        <f>(29.96)*(10.764)</f>
        <v>322.48944</v>
      </c>
      <c r="E341" s="42">
        <v>0</v>
      </c>
      <c r="F341" s="42">
        <f t="shared" si="31"/>
        <v>483.73415999999997</v>
      </c>
      <c r="G341" s="152"/>
      <c r="H341" s="153"/>
      <c r="I341" s="36"/>
      <c r="N341" s="36"/>
    </row>
    <row r="342" spans="1:14" s="37" customFormat="1" ht="15.75" customHeight="1" x14ac:dyDescent="0.3">
      <c r="A342" s="69">
        <f>A341+1</f>
        <v>3</v>
      </c>
      <c r="B342" s="69"/>
      <c r="C342" s="42" t="s">
        <v>199</v>
      </c>
      <c r="D342" s="55">
        <f>(29.96)*(10.764)</f>
        <v>322.48944</v>
      </c>
      <c r="E342" s="55">
        <f>(4.9*0.9+2*4)*(10.764)</f>
        <v>133.58123999999998</v>
      </c>
      <c r="F342" s="42">
        <f>D342*(($F$243)+1)+(IF(E342&lt;101,E342,IF(E342&lt;201,E342/2,IF(E342&lt;=301,E342/3,E342/4))))</f>
        <v>550.52477999999996</v>
      </c>
      <c r="G342" s="152"/>
      <c r="H342" s="153"/>
      <c r="I342" s="36"/>
      <c r="N342" s="36"/>
    </row>
    <row r="343" spans="1:14" s="37" customFormat="1" ht="15.75" customHeight="1" x14ac:dyDescent="0.3">
      <c r="A343" s="69">
        <f>A342+1</f>
        <v>4</v>
      </c>
      <c r="B343" s="69"/>
      <c r="C343" s="42" t="s">
        <v>199</v>
      </c>
      <c r="D343" s="55">
        <f>(29.96)*(10.764)</f>
        <v>322.48944</v>
      </c>
      <c r="E343" s="55">
        <f>(1.7*4+4.9*1)*(10.764)</f>
        <v>125.93879999999999</v>
      </c>
      <c r="F343" s="42">
        <f>D343*(($F$243)+1)+(IF(E343&lt;101,E343,IF(E343&lt;201,E343/2,IF(E343&lt;=301,E343/3,E343/4))))</f>
        <v>546.70355999999992</v>
      </c>
      <c r="G343" s="189"/>
      <c r="H343" s="190"/>
      <c r="I343" s="36"/>
      <c r="N343" s="36"/>
    </row>
    <row r="344" spans="1:14" s="37" customFormat="1" x14ac:dyDescent="0.3">
      <c r="A344" s="163" t="s">
        <v>203</v>
      </c>
      <c r="B344" s="163"/>
      <c r="C344" s="163"/>
      <c r="D344" s="163"/>
      <c r="E344" s="163"/>
      <c r="F344" s="163"/>
      <c r="G344" s="163"/>
      <c r="H344" s="163"/>
      <c r="I344" s="36"/>
      <c r="L344" s="180"/>
      <c r="M344" s="180"/>
    </row>
    <row r="345" spans="1:14" s="37" customFormat="1" ht="15.75" customHeight="1" x14ac:dyDescent="0.3">
      <c r="A345" s="69">
        <v>1</v>
      </c>
      <c r="B345" s="69"/>
      <c r="C345" s="42" t="s">
        <v>199</v>
      </c>
      <c r="D345" s="55">
        <f>(29.96+0.6*(2.45+1.8+1.6))*(10.764)</f>
        <v>360.27107999999998</v>
      </c>
      <c r="E345" s="42">
        <v>0</v>
      </c>
      <c r="F345" s="42">
        <f t="shared" ref="F345:F346" si="32">D345*(($F$243)+1)+(IF(E345&lt;101,E345,IF(E345&lt;201,E345/2,IF(E345&lt;=301,E345/3,E345/4))))</f>
        <v>540.40661999999998</v>
      </c>
      <c r="G345" s="150" t="str">
        <f>A344</f>
        <v>2nd To 7th Floor</v>
      </c>
      <c r="H345" s="151"/>
      <c r="I345" s="36"/>
      <c r="N345" s="36"/>
    </row>
    <row r="346" spans="1:14" s="37" customFormat="1" ht="15.75" customHeight="1" x14ac:dyDescent="0.3">
      <c r="A346" s="69">
        <f>A345+1</f>
        <v>2</v>
      </c>
      <c r="B346" s="69"/>
      <c r="C346" s="42" t="s">
        <v>199</v>
      </c>
      <c r="D346" s="55">
        <f>(29.96+0.6*(2.45+1.8+1.6))*(10.764)</f>
        <v>360.27107999999998</v>
      </c>
      <c r="E346" s="42">
        <v>0</v>
      </c>
      <c r="F346" s="42">
        <f t="shared" si="32"/>
        <v>540.40661999999998</v>
      </c>
      <c r="G346" s="152"/>
      <c r="H346" s="153"/>
      <c r="I346" s="36"/>
      <c r="N346" s="36"/>
    </row>
    <row r="347" spans="1:14" s="37" customFormat="1" ht="15.75" customHeight="1" x14ac:dyDescent="0.3">
      <c r="A347" s="69">
        <f>A346+1</f>
        <v>3</v>
      </c>
      <c r="B347" s="69"/>
      <c r="C347" s="42" t="s">
        <v>199</v>
      </c>
      <c r="D347" s="55">
        <f>(29.96+0.6*(2.45+1.8+1.6))*(10.764)</f>
        <v>360.27107999999998</v>
      </c>
      <c r="E347" s="42">
        <v>0</v>
      </c>
      <c r="F347" s="42">
        <f>D347*(($F$243)+1)+(IF(E347&lt;101,E347,IF(E347&lt;201,E347/2,IF(E347&lt;=301,E347/3,E347/4))))</f>
        <v>540.40661999999998</v>
      </c>
      <c r="G347" s="152"/>
      <c r="H347" s="153"/>
      <c r="I347" s="36"/>
      <c r="N347" s="36"/>
    </row>
    <row r="348" spans="1:14" s="37" customFormat="1" ht="15.75" customHeight="1" x14ac:dyDescent="0.3">
      <c r="A348" s="69">
        <f>A347+1</f>
        <v>4</v>
      </c>
      <c r="B348" s="69"/>
      <c r="C348" s="42" t="s">
        <v>199</v>
      </c>
      <c r="D348" s="55">
        <f>(29.96+0.6*(2.45+1.8+1.6))*(10.764)</f>
        <v>360.27107999999998</v>
      </c>
      <c r="E348" s="42">
        <v>0</v>
      </c>
      <c r="F348" s="42">
        <f>D348*(($F$243)+1)+(IF(E348&lt;101,E348,IF(E348&lt;201,E348/2,IF(E348&lt;=301,E348/3,E348/4))))</f>
        <v>540.40661999999998</v>
      </c>
      <c r="G348" s="152"/>
      <c r="H348" s="153"/>
      <c r="I348" s="36"/>
      <c r="N348" s="36"/>
    </row>
    <row r="349" spans="1:14" s="37" customFormat="1" x14ac:dyDescent="0.3">
      <c r="A349" s="147" t="s">
        <v>198</v>
      </c>
      <c r="B349" s="148"/>
      <c r="C349" s="148"/>
      <c r="D349" s="148"/>
      <c r="E349" s="148"/>
      <c r="F349" s="148"/>
      <c r="G349" s="148"/>
      <c r="H349" s="149"/>
      <c r="J349" s="36"/>
    </row>
    <row r="350" spans="1:14" s="37" customFormat="1" x14ac:dyDescent="0.3">
      <c r="A350" s="147" t="s">
        <v>197</v>
      </c>
      <c r="B350" s="148"/>
      <c r="C350" s="148"/>
      <c r="D350" s="148"/>
      <c r="E350" s="148"/>
      <c r="F350" s="148"/>
      <c r="G350" s="148"/>
      <c r="H350" s="149"/>
      <c r="J350" s="36"/>
    </row>
    <row r="351" spans="1:14" s="37" customFormat="1" x14ac:dyDescent="0.3">
      <c r="A351" s="100">
        <v>1</v>
      </c>
      <c r="B351" s="101"/>
      <c r="C351" s="42" t="s">
        <v>199</v>
      </c>
      <c r="D351" s="55">
        <f>(29.96)*(10.764)</f>
        <v>322.48944</v>
      </c>
      <c r="E351" s="42">
        <v>0</v>
      </c>
      <c r="F351" s="42">
        <f>D351*(($F$243)+1)+(IF(E351&lt;101,E351,IF(E351&lt;201,E351/2,IF(E351&lt;=301,E351/3,E351/4))))</f>
        <v>483.73415999999997</v>
      </c>
      <c r="G351" s="100" t="str">
        <f>A350</f>
        <v>Ground Floor For Part Residential</v>
      </c>
      <c r="H351" s="101"/>
      <c r="I351" s="36"/>
      <c r="L351" s="180"/>
      <c r="M351" s="180"/>
      <c r="N351" s="36"/>
    </row>
    <row r="352" spans="1:14" s="37" customFormat="1" x14ac:dyDescent="0.3">
      <c r="A352" s="163" t="s">
        <v>201</v>
      </c>
      <c r="B352" s="163"/>
      <c r="C352" s="163"/>
      <c r="D352" s="163"/>
      <c r="E352" s="163"/>
      <c r="F352" s="163"/>
      <c r="G352" s="163"/>
      <c r="H352" s="163"/>
      <c r="I352" s="36"/>
      <c r="L352" s="180"/>
      <c r="M352" s="180"/>
    </row>
    <row r="353" spans="1:14" s="37" customFormat="1" ht="15.75" customHeight="1" x14ac:dyDescent="0.3">
      <c r="A353" s="69">
        <v>1</v>
      </c>
      <c r="B353" s="69"/>
      <c r="C353" s="42" t="s">
        <v>199</v>
      </c>
      <c r="D353" s="55">
        <f>(29.96)*(10.764)</f>
        <v>322.48944</v>
      </c>
      <c r="E353" s="42">
        <v>0</v>
      </c>
      <c r="F353" s="42">
        <f t="shared" ref="F353:F354" si="33">D353*(($F$243)+1)+(IF(E353&lt;101,E353,IF(E353&lt;201,E353/2,IF(E353&lt;=301,E353/3,E353/4))))</f>
        <v>483.73415999999997</v>
      </c>
      <c r="G353" s="150" t="str">
        <f>A352</f>
        <v>1st Floor For Residential</v>
      </c>
      <c r="H353" s="151"/>
      <c r="I353" s="36"/>
      <c r="N353" s="36"/>
    </row>
    <row r="354" spans="1:14" s="37" customFormat="1" ht="15.75" customHeight="1" x14ac:dyDescent="0.3">
      <c r="A354" s="69">
        <f>A353+1</f>
        <v>2</v>
      </c>
      <c r="B354" s="69"/>
      <c r="C354" s="42" t="s">
        <v>199</v>
      </c>
      <c r="D354" s="55">
        <f>(29.96)*(10.764)</f>
        <v>322.48944</v>
      </c>
      <c r="E354" s="42">
        <v>0</v>
      </c>
      <c r="F354" s="42">
        <f t="shared" si="33"/>
        <v>483.73415999999997</v>
      </c>
      <c r="G354" s="152"/>
      <c r="H354" s="153"/>
      <c r="I354" s="36"/>
      <c r="N354" s="36"/>
    </row>
    <row r="355" spans="1:14" s="37" customFormat="1" ht="15.75" customHeight="1" x14ac:dyDescent="0.3">
      <c r="A355" s="69">
        <f>A354+1</f>
        <v>3</v>
      </c>
      <c r="B355" s="69"/>
      <c r="C355" s="42" t="s">
        <v>199</v>
      </c>
      <c r="D355" s="55">
        <f>(29.96)*(10.764)</f>
        <v>322.48944</v>
      </c>
      <c r="E355" s="55">
        <f>(4.7*0.9+1.7*4)*(10.764)</f>
        <v>118.72692000000001</v>
      </c>
      <c r="F355" s="42">
        <f>D355*(($F$243)+1)+(IF(E355&lt;101,E355,IF(E355&lt;201,E355/2,IF(E355&lt;=301,E355/3,E355/4))))</f>
        <v>543.09762000000001</v>
      </c>
      <c r="G355" s="152"/>
      <c r="H355" s="153"/>
      <c r="I355" s="36"/>
      <c r="N355" s="36"/>
    </row>
    <row r="356" spans="1:14" s="37" customFormat="1" ht="15.75" customHeight="1" x14ac:dyDescent="0.3">
      <c r="A356" s="69">
        <f>A355+1</f>
        <v>4</v>
      </c>
      <c r="B356" s="69"/>
      <c r="C356" s="42" t="s">
        <v>199</v>
      </c>
      <c r="D356" s="55">
        <f>(29.96)*(10.764)</f>
        <v>322.48944</v>
      </c>
      <c r="E356" s="55">
        <f>(2*4+4.8*0.9)*(10.764)</f>
        <v>132.61248000000001</v>
      </c>
      <c r="F356" s="42">
        <f>D356*(($F$243)+1)+(IF(E356&lt;101,E356,IF(E356&lt;201,E356/2,IF(E356&lt;=301,E356/3,E356/4))))</f>
        <v>550.04039999999998</v>
      </c>
      <c r="G356" s="189"/>
      <c r="H356" s="190"/>
      <c r="I356" s="36"/>
      <c r="N356" s="36"/>
    </row>
    <row r="357" spans="1:14" s="37" customFormat="1" x14ac:dyDescent="0.3">
      <c r="A357" s="163" t="s">
        <v>203</v>
      </c>
      <c r="B357" s="163"/>
      <c r="C357" s="163"/>
      <c r="D357" s="163"/>
      <c r="E357" s="163"/>
      <c r="F357" s="163"/>
      <c r="G357" s="163"/>
      <c r="H357" s="163"/>
      <c r="I357" s="36"/>
      <c r="L357" s="180"/>
      <c r="M357" s="180"/>
    </row>
    <row r="358" spans="1:14" s="37" customFormat="1" ht="15.75" customHeight="1" x14ac:dyDescent="0.3">
      <c r="A358" s="69">
        <v>1</v>
      </c>
      <c r="B358" s="69"/>
      <c r="C358" s="42" t="s">
        <v>199</v>
      </c>
      <c r="D358" s="55">
        <f>(29.96+0.6*(2.45+1.8+1.6))*(10.764)</f>
        <v>360.27107999999998</v>
      </c>
      <c r="E358" s="42">
        <v>0</v>
      </c>
      <c r="F358" s="42">
        <f t="shared" ref="F358:F359" si="34">D358*(($F$243)+1)+(IF(E358&lt;101,E358,IF(E358&lt;201,E358/2,IF(E358&lt;=301,E358/3,E358/4))))</f>
        <v>540.40661999999998</v>
      </c>
      <c r="G358" s="150" t="str">
        <f>A357</f>
        <v>2nd To 7th Floor</v>
      </c>
      <c r="H358" s="151"/>
      <c r="I358" s="36"/>
      <c r="N358" s="36"/>
    </row>
    <row r="359" spans="1:14" s="37" customFormat="1" ht="15.75" customHeight="1" x14ac:dyDescent="0.3">
      <c r="A359" s="69">
        <f>A358+1</f>
        <v>2</v>
      </c>
      <c r="B359" s="69"/>
      <c r="C359" s="42" t="s">
        <v>199</v>
      </c>
      <c r="D359" s="55">
        <f>(29.96+0.6*(2.45+1.8+1.6))*(10.764)</f>
        <v>360.27107999999998</v>
      </c>
      <c r="E359" s="42">
        <v>0</v>
      </c>
      <c r="F359" s="42">
        <f t="shared" si="34"/>
        <v>540.40661999999998</v>
      </c>
      <c r="G359" s="152"/>
      <c r="H359" s="153"/>
      <c r="I359" s="36"/>
      <c r="N359" s="36"/>
    </row>
    <row r="360" spans="1:14" s="37" customFormat="1" ht="15.75" customHeight="1" x14ac:dyDescent="0.3">
      <c r="A360" s="69">
        <f>A359+1</f>
        <v>3</v>
      </c>
      <c r="B360" s="69"/>
      <c r="C360" s="42" t="s">
        <v>199</v>
      </c>
      <c r="D360" s="55">
        <f>(29.96+0.6*(2.45+1.8+1.6))*(10.764)</f>
        <v>360.27107999999998</v>
      </c>
      <c r="E360" s="42">
        <v>0</v>
      </c>
      <c r="F360" s="42">
        <f>D360*(($F$243)+1)+(IF(E360&lt;101,E360,IF(E360&lt;201,E360/2,IF(E360&lt;=301,E360/3,E360/4))))</f>
        <v>540.40661999999998</v>
      </c>
      <c r="G360" s="152"/>
      <c r="H360" s="153"/>
      <c r="I360" s="36"/>
      <c r="N360" s="36"/>
    </row>
    <row r="361" spans="1:14" s="37" customFormat="1" ht="15.75" customHeight="1" x14ac:dyDescent="0.3">
      <c r="A361" s="69">
        <f>A360+1</f>
        <v>4</v>
      </c>
      <c r="B361" s="69"/>
      <c r="C361" s="42" t="s">
        <v>199</v>
      </c>
      <c r="D361" s="55">
        <f>(29.96+0.6*(2.45+1.8+1.6))*(10.764)</f>
        <v>360.27107999999998</v>
      </c>
      <c r="E361" s="42">
        <v>0</v>
      </c>
      <c r="F361" s="42">
        <f>D361*(($F$243)+1)+(IF(E361&lt;101,E361,IF(E361&lt;201,E361/2,IF(E361&lt;=301,E361/3,E361/4))))</f>
        <v>540.40661999999998</v>
      </c>
      <c r="G361" s="152"/>
      <c r="H361" s="153"/>
      <c r="I361" s="36"/>
      <c r="N361" s="36"/>
    </row>
    <row r="362" spans="1:14" s="35" customFormat="1" x14ac:dyDescent="0.3">
      <c r="A362" s="158" t="s">
        <v>70</v>
      </c>
      <c r="B362" s="158"/>
      <c r="C362" s="158"/>
      <c r="D362" s="158"/>
      <c r="E362" s="158"/>
      <c r="F362" s="158"/>
      <c r="G362" s="158"/>
      <c r="H362" s="158"/>
    </row>
    <row r="363" spans="1:14" s="35" customFormat="1" ht="33.450000000000003" customHeight="1" x14ac:dyDescent="0.3">
      <c r="A363" s="47" t="s">
        <v>159</v>
      </c>
      <c r="B363" s="66" t="s">
        <v>236</v>
      </c>
      <c r="C363" s="67"/>
      <c r="D363" s="67"/>
      <c r="E363" s="67"/>
      <c r="F363" s="67"/>
      <c r="G363" s="67"/>
      <c r="H363" s="68"/>
    </row>
    <row r="364" spans="1:14" s="35" customFormat="1" x14ac:dyDescent="0.3">
      <c r="A364" s="47" t="s">
        <v>159</v>
      </c>
      <c r="B364" s="66" t="str">
        <f>(IF(F242="Saleable area Loading :","We have considered Saleable area of Flats as per our Calculation.","We considered Saleable area of Flat as per Builder area Sheet."))</f>
        <v>We have considered Saleable area of Flats as per our Calculation.</v>
      </c>
      <c r="C364" s="67"/>
      <c r="D364" s="67"/>
      <c r="E364" s="67"/>
      <c r="F364" s="67"/>
      <c r="G364" s="67"/>
      <c r="H364" s="68"/>
    </row>
    <row r="365" spans="1:14" s="35" customFormat="1" x14ac:dyDescent="0.3">
      <c r="A365" s="47" t="s">
        <v>159</v>
      </c>
      <c r="B365" s="66" t="str">
        <f>(IF(F174="Saleable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365" s="67"/>
      <c r="D365" s="67"/>
      <c r="E365" s="67"/>
      <c r="F365" s="67"/>
      <c r="G365" s="67"/>
      <c r="H365" s="68"/>
    </row>
    <row r="366" spans="1:14" s="35" customFormat="1" x14ac:dyDescent="0.3">
      <c r="A366" s="47" t="s">
        <v>159</v>
      </c>
      <c r="B366" s="63" t="s">
        <v>129</v>
      </c>
      <c r="C366" s="64"/>
      <c r="D366" s="64"/>
      <c r="E366" s="64"/>
      <c r="F366" s="64"/>
      <c r="G366" s="64"/>
      <c r="H366" s="65"/>
    </row>
    <row r="367" spans="1:14" s="35" customFormat="1" x14ac:dyDescent="0.3">
      <c r="A367" s="47" t="s">
        <v>159</v>
      </c>
      <c r="B367" s="63" t="s">
        <v>216</v>
      </c>
      <c r="C367" s="64"/>
      <c r="D367" s="64"/>
      <c r="E367" s="64"/>
      <c r="F367" s="64"/>
      <c r="G367" s="64"/>
      <c r="H367" s="65"/>
    </row>
    <row r="368" spans="1:14" s="35" customFormat="1" x14ac:dyDescent="0.3">
      <c r="A368" s="47" t="s">
        <v>159</v>
      </c>
      <c r="B368" s="63" t="s">
        <v>158</v>
      </c>
      <c r="C368" s="64"/>
      <c r="D368" s="64"/>
      <c r="E368" s="64"/>
      <c r="F368" s="64"/>
      <c r="G368" s="64"/>
      <c r="H368" s="65"/>
    </row>
    <row r="369" spans="1:8" s="35" customFormat="1" x14ac:dyDescent="0.3">
      <c r="A369" s="47" t="s">
        <v>159</v>
      </c>
      <c r="B369" s="63" t="s">
        <v>130</v>
      </c>
      <c r="C369" s="64"/>
      <c r="D369" s="64"/>
      <c r="E369" s="64"/>
      <c r="F369" s="64"/>
      <c r="G369" s="64"/>
      <c r="H369" s="65"/>
    </row>
    <row r="370" spans="1:8" s="35" customFormat="1" ht="34.5" customHeight="1" x14ac:dyDescent="0.3">
      <c r="A370" s="47" t="s">
        <v>159</v>
      </c>
      <c r="B370" s="63" t="s">
        <v>160</v>
      </c>
      <c r="C370" s="64"/>
      <c r="D370" s="64"/>
      <c r="E370" s="64"/>
      <c r="F370" s="64"/>
      <c r="G370" s="64"/>
      <c r="H370" s="65"/>
    </row>
    <row r="371" spans="1:8" s="35" customFormat="1" x14ac:dyDescent="0.3">
      <c r="A371" s="47" t="s">
        <v>159</v>
      </c>
      <c r="B371" s="63" t="s">
        <v>131</v>
      </c>
      <c r="C371" s="64"/>
      <c r="D371" s="64"/>
      <c r="E371" s="64"/>
      <c r="F371" s="64"/>
      <c r="G371" s="64"/>
      <c r="H371" s="65"/>
    </row>
    <row r="372" spans="1:8" s="35" customFormat="1" hidden="1" x14ac:dyDescent="0.3">
      <c r="A372" s="47" t="s">
        <v>159</v>
      </c>
      <c r="B372" s="63" t="s">
        <v>226</v>
      </c>
      <c r="C372" s="64"/>
      <c r="D372" s="64"/>
      <c r="E372" s="64"/>
      <c r="F372" s="64"/>
      <c r="G372" s="64"/>
      <c r="H372" s="65"/>
    </row>
    <row r="373" spans="1:8" s="35" customFormat="1" x14ac:dyDescent="0.3">
      <c r="A373" s="47" t="s">
        <v>159</v>
      </c>
      <c r="B373" s="63" t="s">
        <v>229</v>
      </c>
      <c r="C373" s="64"/>
      <c r="D373" s="64"/>
      <c r="E373" s="64"/>
      <c r="F373" s="64"/>
      <c r="G373" s="64"/>
      <c r="H373" s="65"/>
    </row>
    <row r="374" spans="1:8" s="35" customFormat="1" x14ac:dyDescent="0.3">
      <c r="A374" s="47" t="s">
        <v>159</v>
      </c>
      <c r="B374" s="63" t="s">
        <v>239</v>
      </c>
      <c r="C374" s="64"/>
      <c r="D374" s="64"/>
      <c r="E374" s="64"/>
      <c r="F374" s="64"/>
      <c r="G374" s="64"/>
      <c r="H374" s="65"/>
    </row>
    <row r="375" spans="1:8" x14ac:dyDescent="0.3">
      <c r="A375" s="134" t="s">
        <v>63</v>
      </c>
      <c r="B375" s="134"/>
      <c r="C375" s="134"/>
      <c r="D375" s="134"/>
      <c r="E375" s="134"/>
      <c r="F375" s="134"/>
      <c r="G375" s="134"/>
      <c r="H375" s="134"/>
    </row>
    <row r="376" spans="1:8" x14ac:dyDescent="0.3">
      <c r="A376" s="98" t="s">
        <v>64</v>
      </c>
      <c r="B376" s="98"/>
      <c r="C376" s="98"/>
      <c r="D376" s="98"/>
      <c r="E376" s="98"/>
      <c r="F376" s="98"/>
      <c r="G376" s="98"/>
      <c r="H376" s="98"/>
    </row>
    <row r="377" spans="1:8" ht="15.75" customHeight="1" x14ac:dyDescent="0.3">
      <c r="A377" s="99" t="s">
        <v>65</v>
      </c>
      <c r="B377" s="99"/>
      <c r="C377" s="99"/>
      <c r="D377" s="99"/>
      <c r="E377" s="99"/>
      <c r="F377" s="99"/>
      <c r="G377" s="99"/>
      <c r="H377" s="99"/>
    </row>
    <row r="378" spans="1:8" x14ac:dyDescent="0.3">
      <c r="A378" s="98" t="s">
        <v>66</v>
      </c>
      <c r="B378" s="98"/>
      <c r="C378" s="98"/>
      <c r="D378" s="98"/>
      <c r="E378" s="98"/>
      <c r="F378" s="98"/>
      <c r="G378" s="98"/>
      <c r="H378" s="98"/>
    </row>
    <row r="379" spans="1:8" x14ac:dyDescent="0.3">
      <c r="A379" s="98" t="s">
        <v>67</v>
      </c>
      <c r="B379" s="98"/>
      <c r="C379" s="98"/>
      <c r="D379" s="98"/>
      <c r="E379" s="98"/>
      <c r="F379" s="98"/>
      <c r="G379" s="98"/>
      <c r="H379" s="98"/>
    </row>
    <row r="380" spans="1:8" x14ac:dyDescent="0.3">
      <c r="A380" s="98" t="s">
        <v>132</v>
      </c>
      <c r="B380" s="98"/>
      <c r="C380" s="98"/>
      <c r="D380" s="98"/>
      <c r="E380" s="98"/>
      <c r="F380" s="98"/>
      <c r="G380" s="98"/>
      <c r="H380" s="98"/>
    </row>
    <row r="381" spans="1:8" x14ac:dyDescent="0.3">
      <c r="A381" s="135" t="s">
        <v>133</v>
      </c>
      <c r="B381" s="135"/>
      <c r="C381" s="135"/>
      <c r="D381" s="135"/>
      <c r="E381" s="135"/>
      <c r="F381" s="135"/>
      <c r="G381" s="135"/>
      <c r="H381" s="135"/>
    </row>
    <row r="382" spans="1:8" x14ac:dyDescent="0.3">
      <c r="A382" s="160" t="s">
        <v>80</v>
      </c>
      <c r="B382" s="160"/>
      <c r="C382" s="160" t="s">
        <v>177</v>
      </c>
      <c r="D382" s="160"/>
      <c r="E382" s="160" t="s">
        <v>110</v>
      </c>
      <c r="F382" s="160"/>
      <c r="G382" s="160" t="s">
        <v>238</v>
      </c>
      <c r="H382" s="160"/>
    </row>
    <row r="383" spans="1:8" x14ac:dyDescent="0.3">
      <c r="A383" s="159" t="s">
        <v>82</v>
      </c>
      <c r="B383" s="159"/>
      <c r="C383" s="159"/>
      <c r="D383" s="159"/>
      <c r="E383" s="159"/>
      <c r="F383" s="159"/>
      <c r="G383" s="159"/>
      <c r="H383" s="159"/>
    </row>
    <row r="384" spans="1:8" x14ac:dyDescent="0.3">
      <c r="A384" s="159"/>
      <c r="B384" s="159"/>
      <c r="C384" s="159"/>
      <c r="D384" s="159"/>
      <c r="E384" s="159"/>
      <c r="F384" s="159"/>
      <c r="G384" s="159"/>
      <c r="H384" s="159"/>
    </row>
    <row r="385" spans="1:8" x14ac:dyDescent="0.3">
      <c r="A385" s="159"/>
      <c r="B385" s="159"/>
      <c r="C385" s="159"/>
      <c r="D385" s="159"/>
      <c r="E385" s="159"/>
      <c r="F385" s="159"/>
      <c r="G385" s="159"/>
      <c r="H385" s="159"/>
    </row>
    <row r="386" spans="1:8" x14ac:dyDescent="0.3">
      <c r="A386" s="159"/>
      <c r="B386" s="159"/>
      <c r="C386" s="159"/>
      <c r="D386" s="159"/>
      <c r="E386" s="159"/>
      <c r="F386" s="159"/>
      <c r="G386" s="159"/>
      <c r="H386" s="159"/>
    </row>
    <row r="387" spans="1:8" x14ac:dyDescent="0.3">
      <c r="A387" s="38" t="s">
        <v>68</v>
      </c>
      <c r="B387" s="39"/>
      <c r="C387" s="39"/>
      <c r="D387" s="38" t="str">
        <f>E8</f>
        <v>Star Homes</v>
      </c>
      <c r="F387" s="39"/>
      <c r="G387" s="39"/>
      <c r="H387" s="39"/>
    </row>
    <row r="388" spans="1:8" x14ac:dyDescent="0.3">
      <c r="A388" s="39"/>
      <c r="B388" s="39"/>
      <c r="C388" s="39"/>
      <c r="D388" s="39"/>
      <c r="E388" s="39"/>
      <c r="F388" s="39"/>
      <c r="G388" s="39"/>
      <c r="H388" s="39"/>
    </row>
    <row r="389" spans="1:8" x14ac:dyDescent="0.3">
      <c r="A389" s="39"/>
      <c r="B389" s="39"/>
      <c r="C389" s="39"/>
      <c r="D389" s="39"/>
      <c r="E389" s="39"/>
      <c r="F389" s="39"/>
      <c r="G389" s="39"/>
      <c r="H389" s="39"/>
    </row>
    <row r="390" spans="1:8" ht="15" customHeight="1" x14ac:dyDescent="0.3"/>
    <row r="429" spans="1:1" x14ac:dyDescent="0.3">
      <c r="A429" s="41" t="s">
        <v>172</v>
      </c>
    </row>
    <row r="467" spans="1:1" hidden="1" x14ac:dyDescent="0.3"/>
    <row r="468" spans="1:1" hidden="1" x14ac:dyDescent="0.3"/>
    <row r="469" spans="1:1" hidden="1" x14ac:dyDescent="0.3"/>
    <row r="470" spans="1:1" hidden="1" x14ac:dyDescent="0.3"/>
    <row r="471" spans="1:1" hidden="1" x14ac:dyDescent="0.3"/>
    <row r="472" spans="1:1" hidden="1" x14ac:dyDescent="0.3"/>
    <row r="473" spans="1:1" x14ac:dyDescent="0.3">
      <c r="A473" s="41" t="s">
        <v>69</v>
      </c>
    </row>
  </sheetData>
  <mergeCells count="664">
    <mergeCell ref="B374:H374"/>
    <mergeCell ref="A97:B97"/>
    <mergeCell ref="C97:H97"/>
    <mergeCell ref="A99:B99"/>
    <mergeCell ref="C99:H99"/>
    <mergeCell ref="A100:B100"/>
    <mergeCell ref="E100:F100"/>
    <mergeCell ref="G100:H100"/>
    <mergeCell ref="A101:B101"/>
    <mergeCell ref="E101:F110"/>
    <mergeCell ref="G101:H110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B373:H373"/>
    <mergeCell ref="A171:B171"/>
    <mergeCell ref="C171:D171"/>
    <mergeCell ref="E171:F171"/>
    <mergeCell ref="A69:B69"/>
    <mergeCell ref="C69:H69"/>
    <mergeCell ref="A71:B71"/>
    <mergeCell ref="C71:H71"/>
    <mergeCell ref="A72:B72"/>
    <mergeCell ref="E72:F72"/>
    <mergeCell ref="G72:H72"/>
    <mergeCell ref="A73:B73"/>
    <mergeCell ref="E73:F82"/>
    <mergeCell ref="G73:H82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G171:H171"/>
    <mergeCell ref="G157:H157"/>
    <mergeCell ref="A357:H357"/>
    <mergeCell ref="L357:M357"/>
    <mergeCell ref="A358:B358"/>
    <mergeCell ref="G358:H361"/>
    <mergeCell ref="A359:B359"/>
    <mergeCell ref="A360:B360"/>
    <mergeCell ref="A361:B361"/>
    <mergeCell ref="A223:H223"/>
    <mergeCell ref="A224:H224"/>
    <mergeCell ref="A225:H225"/>
    <mergeCell ref="G226:H240"/>
    <mergeCell ref="A234:B234"/>
    <mergeCell ref="L234:M234"/>
    <mergeCell ref="A235:B235"/>
    <mergeCell ref="L235:M235"/>
    <mergeCell ref="A236:B236"/>
    <mergeCell ref="L236:M236"/>
    <mergeCell ref="A237:B237"/>
    <mergeCell ref="L237:M237"/>
    <mergeCell ref="A336:H336"/>
    <mergeCell ref="A238:B238"/>
    <mergeCell ref="L238:M238"/>
    <mergeCell ref="L239:M239"/>
    <mergeCell ref="A240:B240"/>
    <mergeCell ref="A349:H349"/>
    <mergeCell ref="A350:H350"/>
    <mergeCell ref="A284:H284"/>
    <mergeCell ref="A285:B285"/>
    <mergeCell ref="G285:H285"/>
    <mergeCell ref="L285:M285"/>
    <mergeCell ref="A311:B311"/>
    <mergeCell ref="G311:H311"/>
    <mergeCell ref="G332:H335"/>
    <mergeCell ref="A334:B334"/>
    <mergeCell ref="L312:M312"/>
    <mergeCell ref="A298:B298"/>
    <mergeCell ref="G298:H298"/>
    <mergeCell ref="L298:M298"/>
    <mergeCell ref="A299:H299"/>
    <mergeCell ref="L299:M299"/>
    <mergeCell ref="A300:B300"/>
    <mergeCell ref="A317:H317"/>
    <mergeCell ref="L317:M317"/>
    <mergeCell ref="A318:B318"/>
    <mergeCell ref="G318:H321"/>
    <mergeCell ref="A319:B319"/>
    <mergeCell ref="A320:B320"/>
    <mergeCell ref="A321:B321"/>
    <mergeCell ref="A332:B332"/>
    <mergeCell ref="A330:B330"/>
    <mergeCell ref="A329:B329"/>
    <mergeCell ref="A323:H323"/>
    <mergeCell ref="L323:M323"/>
    <mergeCell ref="A324:H324"/>
    <mergeCell ref="G325:H325"/>
    <mergeCell ref="L325:M325"/>
    <mergeCell ref="A326:H326"/>
    <mergeCell ref="L326:M326"/>
    <mergeCell ref="G327:H330"/>
    <mergeCell ref="A328:B328"/>
    <mergeCell ref="A331:H331"/>
    <mergeCell ref="L331:M331"/>
    <mergeCell ref="A353:B353"/>
    <mergeCell ref="G353:H356"/>
    <mergeCell ref="A354:B354"/>
    <mergeCell ref="A355:B355"/>
    <mergeCell ref="A356:B356"/>
    <mergeCell ref="A337:H337"/>
    <mergeCell ref="L338:M338"/>
    <mergeCell ref="A339:H339"/>
    <mergeCell ref="L339:M339"/>
    <mergeCell ref="A340:B340"/>
    <mergeCell ref="G340:H343"/>
    <mergeCell ref="A344:H344"/>
    <mergeCell ref="L344:M344"/>
    <mergeCell ref="G345:H348"/>
    <mergeCell ref="A346:B346"/>
    <mergeCell ref="A347:B347"/>
    <mergeCell ref="A348:B348"/>
    <mergeCell ref="A352:H352"/>
    <mergeCell ref="L352:M352"/>
    <mergeCell ref="A351:B351"/>
    <mergeCell ref="G351:H351"/>
    <mergeCell ref="L351:M351"/>
    <mergeCell ref="A291:H291"/>
    <mergeCell ref="L291:M291"/>
    <mergeCell ref="A292:B292"/>
    <mergeCell ref="G292:H295"/>
    <mergeCell ref="A293:B293"/>
    <mergeCell ref="A294:B294"/>
    <mergeCell ref="A295:B295"/>
    <mergeCell ref="A296:H296"/>
    <mergeCell ref="A297:H297"/>
    <mergeCell ref="L304:M304"/>
    <mergeCell ref="A305:B305"/>
    <mergeCell ref="G305:H308"/>
    <mergeCell ref="A306:B306"/>
    <mergeCell ref="A307:B307"/>
    <mergeCell ref="A308:B308"/>
    <mergeCell ref="A309:H309"/>
    <mergeCell ref="A310:H310"/>
    <mergeCell ref="A312:H312"/>
    <mergeCell ref="L311:M311"/>
    <mergeCell ref="L233:M233"/>
    <mergeCell ref="A282:H282"/>
    <mergeCell ref="A283:H283"/>
    <mergeCell ref="L283:M283"/>
    <mergeCell ref="A286:H286"/>
    <mergeCell ref="L286:M286"/>
    <mergeCell ref="A287:B287"/>
    <mergeCell ref="G287:H290"/>
    <mergeCell ref="A288:B288"/>
    <mergeCell ref="A289:B289"/>
    <mergeCell ref="A290:B290"/>
    <mergeCell ref="L240:M240"/>
    <mergeCell ref="A251:H251"/>
    <mergeCell ref="L251:M251"/>
    <mergeCell ref="A252:B252"/>
    <mergeCell ref="G252:H255"/>
    <mergeCell ref="A253:B253"/>
    <mergeCell ref="A254:B254"/>
    <mergeCell ref="A255:B255"/>
    <mergeCell ref="L264:M264"/>
    <mergeCell ref="A265:B265"/>
    <mergeCell ref="A277:H277"/>
    <mergeCell ref="L277:M277"/>
    <mergeCell ref="A239:B239"/>
    <mergeCell ref="L228:M228"/>
    <mergeCell ref="A229:B229"/>
    <mergeCell ref="L229:M229"/>
    <mergeCell ref="A230:B230"/>
    <mergeCell ref="L230:M230"/>
    <mergeCell ref="A231:B231"/>
    <mergeCell ref="L231:M231"/>
    <mergeCell ref="A232:B232"/>
    <mergeCell ref="L232:M232"/>
    <mergeCell ref="L227:M227"/>
    <mergeCell ref="A218:B218"/>
    <mergeCell ref="L218:M218"/>
    <mergeCell ref="A219:B219"/>
    <mergeCell ref="L219:M219"/>
    <mergeCell ref="A220:B220"/>
    <mergeCell ref="L220:M220"/>
    <mergeCell ref="A221:B221"/>
    <mergeCell ref="L221:M221"/>
    <mergeCell ref="A222:B222"/>
    <mergeCell ref="L222:M222"/>
    <mergeCell ref="L213:M213"/>
    <mergeCell ref="A214:B214"/>
    <mergeCell ref="L214:M214"/>
    <mergeCell ref="L215:M215"/>
    <mergeCell ref="A216:B216"/>
    <mergeCell ref="L216:M216"/>
    <mergeCell ref="A217:B217"/>
    <mergeCell ref="L217:M217"/>
    <mergeCell ref="A226:B226"/>
    <mergeCell ref="L226:M226"/>
    <mergeCell ref="L208:M208"/>
    <mergeCell ref="A209:B209"/>
    <mergeCell ref="L209:M209"/>
    <mergeCell ref="A210:B210"/>
    <mergeCell ref="L210:M210"/>
    <mergeCell ref="A211:B211"/>
    <mergeCell ref="L211:M211"/>
    <mergeCell ref="A212:B212"/>
    <mergeCell ref="L212:M212"/>
    <mergeCell ref="L272:M272"/>
    <mergeCell ref="L271:M271"/>
    <mergeCell ref="A278:B278"/>
    <mergeCell ref="G278:H281"/>
    <mergeCell ref="A279:B279"/>
    <mergeCell ref="A280:B280"/>
    <mergeCell ref="A281:B281"/>
    <mergeCell ref="A260:B260"/>
    <mergeCell ref="G260:H263"/>
    <mergeCell ref="A261:B261"/>
    <mergeCell ref="A262:B262"/>
    <mergeCell ref="A263:B263"/>
    <mergeCell ref="A272:H272"/>
    <mergeCell ref="A273:B273"/>
    <mergeCell ref="G273:H276"/>
    <mergeCell ref="A274:B274"/>
    <mergeCell ref="A275:B275"/>
    <mergeCell ref="A276:B276"/>
    <mergeCell ref="A264:H264"/>
    <mergeCell ref="G265:H268"/>
    <mergeCell ref="A266:B266"/>
    <mergeCell ref="A267:B267"/>
    <mergeCell ref="A268:B268"/>
    <mergeCell ref="L204:M204"/>
    <mergeCell ref="G179:H204"/>
    <mergeCell ref="A244:H244"/>
    <mergeCell ref="A256:H256"/>
    <mergeCell ref="A269:H269"/>
    <mergeCell ref="A270:H270"/>
    <mergeCell ref="A246:H246"/>
    <mergeCell ref="L246:M246"/>
    <mergeCell ref="A247:B247"/>
    <mergeCell ref="A248:B248"/>
    <mergeCell ref="A249:B249"/>
    <mergeCell ref="A250:B250"/>
    <mergeCell ref="A215:B215"/>
    <mergeCell ref="A245:H245"/>
    <mergeCell ref="L245:M245"/>
    <mergeCell ref="G247:H250"/>
    <mergeCell ref="A259:H259"/>
    <mergeCell ref="A201:B201"/>
    <mergeCell ref="L201:M201"/>
    <mergeCell ref="A202:B202"/>
    <mergeCell ref="L202:M202"/>
    <mergeCell ref="A203:B203"/>
    <mergeCell ref="L203:M203"/>
    <mergeCell ref="A205:H205"/>
    <mergeCell ref="L198:M198"/>
    <mergeCell ref="A199:B199"/>
    <mergeCell ref="L199:M199"/>
    <mergeCell ref="A200:B200"/>
    <mergeCell ref="L200:M200"/>
    <mergeCell ref="A195:B195"/>
    <mergeCell ref="L195:M195"/>
    <mergeCell ref="A196:B196"/>
    <mergeCell ref="L196:M196"/>
    <mergeCell ref="A197:B197"/>
    <mergeCell ref="L197:M197"/>
    <mergeCell ref="A198:B198"/>
    <mergeCell ref="L192:M192"/>
    <mergeCell ref="A193:B193"/>
    <mergeCell ref="L193:M193"/>
    <mergeCell ref="A194:B194"/>
    <mergeCell ref="L194:M194"/>
    <mergeCell ref="A189:B189"/>
    <mergeCell ref="L189:M189"/>
    <mergeCell ref="A190:B190"/>
    <mergeCell ref="L190:M190"/>
    <mergeCell ref="A191:B191"/>
    <mergeCell ref="L191:M191"/>
    <mergeCell ref="A192:B192"/>
    <mergeCell ref="L186:M186"/>
    <mergeCell ref="A187:B187"/>
    <mergeCell ref="L187:M187"/>
    <mergeCell ref="A188:B188"/>
    <mergeCell ref="L188:M188"/>
    <mergeCell ref="A176:H176"/>
    <mergeCell ref="A177:H177"/>
    <mergeCell ref="A183:B183"/>
    <mergeCell ref="L183:M183"/>
    <mergeCell ref="A184:B184"/>
    <mergeCell ref="L184:M184"/>
    <mergeCell ref="A185:B185"/>
    <mergeCell ref="L185:M185"/>
    <mergeCell ref="A186:B186"/>
    <mergeCell ref="A144:E144"/>
    <mergeCell ref="A170:B170"/>
    <mergeCell ref="E170:F170"/>
    <mergeCell ref="A38:B38"/>
    <mergeCell ref="C38:H38"/>
    <mergeCell ref="B370:H370"/>
    <mergeCell ref="A47:B47"/>
    <mergeCell ref="C47:H47"/>
    <mergeCell ref="B368:H368"/>
    <mergeCell ref="A130:B130"/>
    <mergeCell ref="A131:B131"/>
    <mergeCell ref="G115:H124"/>
    <mergeCell ref="A116:B116"/>
    <mergeCell ref="A117:B117"/>
    <mergeCell ref="A118:B118"/>
    <mergeCell ref="F141:H141"/>
    <mergeCell ref="A141:E141"/>
    <mergeCell ref="D174:D175"/>
    <mergeCell ref="A143:E143"/>
    <mergeCell ref="A179:B179"/>
    <mergeCell ref="A180:B180"/>
    <mergeCell ref="A181:B181"/>
    <mergeCell ref="A113:B113"/>
    <mergeCell ref="C113:H113"/>
    <mergeCell ref="A114:B114"/>
    <mergeCell ref="E114:F114"/>
    <mergeCell ref="G114:H114"/>
    <mergeCell ref="A145:E145"/>
    <mergeCell ref="F145:H145"/>
    <mergeCell ref="A146:E146"/>
    <mergeCell ref="A148:E148"/>
    <mergeCell ref="F142:H142"/>
    <mergeCell ref="A147:E147"/>
    <mergeCell ref="A132:B132"/>
    <mergeCell ref="A133:B133"/>
    <mergeCell ref="A134:B134"/>
    <mergeCell ref="A136:B136"/>
    <mergeCell ref="A137:B137"/>
    <mergeCell ref="A142:E142"/>
    <mergeCell ref="A139:E139"/>
    <mergeCell ref="F143:H143"/>
    <mergeCell ref="G128:H128"/>
    <mergeCell ref="A127:B127"/>
    <mergeCell ref="C127:H127"/>
    <mergeCell ref="A128:B128"/>
    <mergeCell ref="E128:F128"/>
    <mergeCell ref="A129:B129"/>
    <mergeCell ref="F147:H147"/>
    <mergeCell ref="L258:M258"/>
    <mergeCell ref="L259:M259"/>
    <mergeCell ref="A333:B333"/>
    <mergeCell ref="E129:F138"/>
    <mergeCell ref="F139:H139"/>
    <mergeCell ref="F144:H144"/>
    <mergeCell ref="A241:H241"/>
    <mergeCell ref="A242:A243"/>
    <mergeCell ref="A327:B327"/>
    <mergeCell ref="A325:B325"/>
    <mergeCell ref="A150:E150"/>
    <mergeCell ref="G170:H170"/>
    <mergeCell ref="C156:D156"/>
    <mergeCell ref="E156:F156"/>
    <mergeCell ref="G156:H156"/>
    <mergeCell ref="A158:B158"/>
    <mergeCell ref="C158:D158"/>
    <mergeCell ref="E158:F158"/>
    <mergeCell ref="G158:H158"/>
    <mergeCell ref="C162:D162"/>
    <mergeCell ref="E162:F162"/>
    <mergeCell ref="G162:H162"/>
    <mergeCell ref="C160:D160"/>
    <mergeCell ref="C174:C175"/>
    <mergeCell ref="A37:B37"/>
    <mergeCell ref="C37:H37"/>
    <mergeCell ref="A44:D44"/>
    <mergeCell ref="L182:M182"/>
    <mergeCell ref="L181:M181"/>
    <mergeCell ref="L180:M180"/>
    <mergeCell ref="L179:M179"/>
    <mergeCell ref="C161:D161"/>
    <mergeCell ref="E161:F161"/>
    <mergeCell ref="G161:H161"/>
    <mergeCell ref="F146:H146"/>
    <mergeCell ref="A140:E140"/>
    <mergeCell ref="A125:B125"/>
    <mergeCell ref="C125:H125"/>
    <mergeCell ref="A178:H178"/>
    <mergeCell ref="E174:E175"/>
    <mergeCell ref="G174:H175"/>
    <mergeCell ref="A115:B115"/>
    <mergeCell ref="E115:F124"/>
    <mergeCell ref="A122:B122"/>
    <mergeCell ref="A123:B123"/>
    <mergeCell ref="A124:B124"/>
    <mergeCell ref="A182:B182"/>
    <mergeCell ref="D58:H58"/>
    <mergeCell ref="A36:H36"/>
    <mergeCell ref="A35:B35"/>
    <mergeCell ref="C35:E35"/>
    <mergeCell ref="G129:H138"/>
    <mergeCell ref="A40:D40"/>
    <mergeCell ref="E40:H40"/>
    <mergeCell ref="F32:H32"/>
    <mergeCell ref="F33:H33"/>
    <mergeCell ref="A39:H39"/>
    <mergeCell ref="A62:C62"/>
    <mergeCell ref="A63:C63"/>
    <mergeCell ref="D62:H62"/>
    <mergeCell ref="D63:H63"/>
    <mergeCell ref="A42:D42"/>
    <mergeCell ref="E42:H42"/>
    <mergeCell ref="E43:H43"/>
    <mergeCell ref="E44:H44"/>
    <mergeCell ref="E45:H45"/>
    <mergeCell ref="A43:D43"/>
    <mergeCell ref="F35:H35"/>
    <mergeCell ref="A34:B34"/>
    <mergeCell ref="C34:E34"/>
    <mergeCell ref="A45:D45"/>
    <mergeCell ref="A46:H46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10:D10"/>
    <mergeCell ref="E10:H10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A16:B16"/>
    <mergeCell ref="C16:H16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58:C58"/>
    <mergeCell ref="G49:H49"/>
    <mergeCell ref="A50:B51"/>
    <mergeCell ref="A64:C64"/>
    <mergeCell ref="D64:H64"/>
    <mergeCell ref="A65:C65"/>
    <mergeCell ref="D65:H65"/>
    <mergeCell ref="A68:C68"/>
    <mergeCell ref="D68:H68"/>
    <mergeCell ref="A66:C66"/>
    <mergeCell ref="D66:H66"/>
    <mergeCell ref="A67:C67"/>
    <mergeCell ref="D67:H67"/>
    <mergeCell ref="C49:E49"/>
    <mergeCell ref="A49:B49"/>
    <mergeCell ref="A383:H386"/>
    <mergeCell ref="A382:B382"/>
    <mergeCell ref="E382:F382"/>
    <mergeCell ref="C382:D382"/>
    <mergeCell ref="G382:H382"/>
    <mergeCell ref="A153:H153"/>
    <mergeCell ref="A151:E151"/>
    <mergeCell ref="F151:H151"/>
    <mergeCell ref="A152:E152"/>
    <mergeCell ref="F152:H152"/>
    <mergeCell ref="A322:H322"/>
    <mergeCell ref="A378:H378"/>
    <mergeCell ref="A159:H159"/>
    <mergeCell ref="A381:H381"/>
    <mergeCell ref="A379:H379"/>
    <mergeCell ref="A375:H375"/>
    <mergeCell ref="A376:H376"/>
    <mergeCell ref="E160:F160"/>
    <mergeCell ref="G160:H160"/>
    <mergeCell ref="A172:H172"/>
    <mergeCell ref="B363:H363"/>
    <mergeCell ref="B364:H364"/>
    <mergeCell ref="A335:B335"/>
    <mergeCell ref="C242:C243"/>
    <mergeCell ref="C164:D164"/>
    <mergeCell ref="A257:H257"/>
    <mergeCell ref="G271:H271"/>
    <mergeCell ref="B366:H366"/>
    <mergeCell ref="B367:H367"/>
    <mergeCell ref="A362:H362"/>
    <mergeCell ref="A338:B338"/>
    <mergeCell ref="B242:B243"/>
    <mergeCell ref="A271:B271"/>
    <mergeCell ref="A258:B258"/>
    <mergeCell ref="G258:H258"/>
    <mergeCell ref="A227:B227"/>
    <mergeCell ref="A228:B228"/>
    <mergeCell ref="A233:B233"/>
    <mergeCell ref="A313:B313"/>
    <mergeCell ref="G313:H316"/>
    <mergeCell ref="A314:B314"/>
    <mergeCell ref="A315:B315"/>
    <mergeCell ref="A316:B316"/>
    <mergeCell ref="A304:H304"/>
    <mergeCell ref="G300:H303"/>
    <mergeCell ref="A301:B301"/>
    <mergeCell ref="A302:B302"/>
    <mergeCell ref="A303:B303"/>
    <mergeCell ref="C53:H53"/>
    <mergeCell ref="A204:B204"/>
    <mergeCell ref="A206:H206"/>
    <mergeCell ref="A207:H207"/>
    <mergeCell ref="A208:B208"/>
    <mergeCell ref="G208:H222"/>
    <mergeCell ref="A213:B213"/>
    <mergeCell ref="C154:D154"/>
    <mergeCell ref="F150:H150"/>
    <mergeCell ref="F148:H148"/>
    <mergeCell ref="A173:H173"/>
    <mergeCell ref="G154:H154"/>
    <mergeCell ref="A149:E149"/>
    <mergeCell ref="C155:D155"/>
    <mergeCell ref="E155:F155"/>
    <mergeCell ref="B174:B175"/>
    <mergeCell ref="A174:A175"/>
    <mergeCell ref="C170:D170"/>
    <mergeCell ref="F149:H149"/>
    <mergeCell ref="E154:F154"/>
    <mergeCell ref="A154:B154"/>
    <mergeCell ref="C163:D163"/>
    <mergeCell ref="E163:F163"/>
    <mergeCell ref="G163:H163"/>
    <mergeCell ref="B372:H372"/>
    <mergeCell ref="E164:F164"/>
    <mergeCell ref="G164:H164"/>
    <mergeCell ref="C165:D165"/>
    <mergeCell ref="E165:F165"/>
    <mergeCell ref="C157:D157"/>
    <mergeCell ref="E157:F157"/>
    <mergeCell ref="G50:H50"/>
    <mergeCell ref="D56:H56"/>
    <mergeCell ref="C50:E50"/>
    <mergeCell ref="A59:C61"/>
    <mergeCell ref="D59:H59"/>
    <mergeCell ref="D60:H60"/>
    <mergeCell ref="A54:B54"/>
    <mergeCell ref="C54:E54"/>
    <mergeCell ref="A55:H55"/>
    <mergeCell ref="A56:C56"/>
    <mergeCell ref="A57:C57"/>
    <mergeCell ref="D57:H57"/>
    <mergeCell ref="G54:H54"/>
    <mergeCell ref="D61:H61"/>
    <mergeCell ref="A52:B53"/>
    <mergeCell ref="C52:E52"/>
    <mergeCell ref="G52:H52"/>
    <mergeCell ref="G167:H167"/>
    <mergeCell ref="E41:H41"/>
    <mergeCell ref="A41:D41"/>
    <mergeCell ref="A380:H380"/>
    <mergeCell ref="A377:H377"/>
    <mergeCell ref="G338:H338"/>
    <mergeCell ref="A160:B160"/>
    <mergeCell ref="D242:D243"/>
    <mergeCell ref="E242:E243"/>
    <mergeCell ref="G242:H243"/>
    <mergeCell ref="A119:B119"/>
    <mergeCell ref="A120:B120"/>
    <mergeCell ref="A121:B121"/>
    <mergeCell ref="A111:B111"/>
    <mergeCell ref="C111:H111"/>
    <mergeCell ref="A135:B135"/>
    <mergeCell ref="F140:H140"/>
    <mergeCell ref="G155:H155"/>
    <mergeCell ref="A138:B138"/>
    <mergeCell ref="A48:B48"/>
    <mergeCell ref="C48:E48"/>
    <mergeCell ref="C51:E51"/>
    <mergeCell ref="G51:H51"/>
    <mergeCell ref="G48:H48"/>
    <mergeCell ref="A83:B83"/>
    <mergeCell ref="C83:H83"/>
    <mergeCell ref="A85:B85"/>
    <mergeCell ref="C85:H85"/>
    <mergeCell ref="A86:B86"/>
    <mergeCell ref="E86:F86"/>
    <mergeCell ref="G86:H86"/>
    <mergeCell ref="A87:B87"/>
    <mergeCell ref="E87:F96"/>
    <mergeCell ref="G87:H96"/>
    <mergeCell ref="A88:B88"/>
    <mergeCell ref="A89:B89"/>
    <mergeCell ref="A90:B90"/>
    <mergeCell ref="A91:B91"/>
    <mergeCell ref="A92:B92"/>
    <mergeCell ref="A93:B93"/>
    <mergeCell ref="A94:B94"/>
    <mergeCell ref="A95:B95"/>
    <mergeCell ref="A96:B96"/>
    <mergeCell ref="B371:H371"/>
    <mergeCell ref="B369:H369"/>
    <mergeCell ref="B365:H365"/>
    <mergeCell ref="A343:B343"/>
    <mergeCell ref="A341:B341"/>
    <mergeCell ref="A342:B342"/>
    <mergeCell ref="A345:B345"/>
    <mergeCell ref="C168:D168"/>
    <mergeCell ref="E168:F168"/>
    <mergeCell ref="G168:H168"/>
    <mergeCell ref="A161:A163"/>
    <mergeCell ref="A164:A166"/>
    <mergeCell ref="C169:D169"/>
    <mergeCell ref="E169:F169"/>
    <mergeCell ref="G169:H169"/>
    <mergeCell ref="A167:A169"/>
    <mergeCell ref="G165:H165"/>
    <mergeCell ref="C166:D166"/>
    <mergeCell ref="E166:F166"/>
    <mergeCell ref="G166:H166"/>
    <mergeCell ref="C167:D167"/>
    <mergeCell ref="E167:F167"/>
  </mergeCells>
  <hyperlinks>
    <hyperlink ref="C38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6" manualBreakCount="6">
    <brk id="68" max="16383" man="1"/>
    <brk id="96" max="16383" man="1"/>
    <brk id="361" max="7" man="1"/>
    <brk id="386" max="16383" man="1"/>
    <brk id="428" max="16383" man="1"/>
    <brk id="472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77734375" defaultRowHeight="14.4" x14ac:dyDescent="0.3"/>
  <cols>
    <col min="1" max="1" width="8.77734375" style="1"/>
    <col min="2" max="2" width="22.218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7773437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194" t="s">
        <v>111</v>
      </c>
      <c r="C3" s="194"/>
      <c r="D3" s="194"/>
      <c r="E3" s="194"/>
      <c r="F3" s="194"/>
      <c r="G3" s="194"/>
      <c r="H3" s="194"/>
    </row>
    <row r="4" spans="1:9" x14ac:dyDescent="0.3">
      <c r="A4" s="2"/>
      <c r="B4" s="3" t="s">
        <v>112</v>
      </c>
      <c r="C4" s="3" t="s">
        <v>113</v>
      </c>
      <c r="D4" s="3" t="s">
        <v>71</v>
      </c>
      <c r="E4" s="3" t="s">
        <v>114</v>
      </c>
      <c r="F4" s="3" t="s">
        <v>120</v>
      </c>
      <c r="G4" s="3" t="s">
        <v>121</v>
      </c>
      <c r="H4" s="3" t="s">
        <v>115</v>
      </c>
    </row>
    <row r="5" spans="1:9" ht="15" customHeight="1" x14ac:dyDescent="0.3">
      <c r="A5" s="2"/>
      <c r="B5" s="5" t="s">
        <v>116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116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116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116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116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117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117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118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119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pranitam503@gmail.com</cp:lastModifiedBy>
  <cp:lastPrinted>2025-08-13T12:54:56Z</cp:lastPrinted>
  <dcterms:created xsi:type="dcterms:W3CDTF">2019-07-16T09:29:46Z</dcterms:created>
  <dcterms:modified xsi:type="dcterms:W3CDTF">2025-08-13T12:58:34Z</dcterms:modified>
</cp:coreProperties>
</file>