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DC9BBC68-3C4E-468C-B751-10DAFF688BE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80" i="1" s="1"/>
  <c r="C79" i="1" l="1"/>
  <c r="K131" i="1"/>
  <c r="L131" i="1" s="1"/>
  <c r="K150" i="1"/>
  <c r="D171" i="1"/>
  <c r="F171" i="1" s="1"/>
  <c r="D170" i="1"/>
  <c r="F170" i="1" s="1"/>
  <c r="A170" i="1"/>
  <c r="A171" i="1" s="1"/>
  <c r="G169" i="1"/>
  <c r="D169" i="1"/>
  <c r="F169" i="1" s="1"/>
  <c r="D175" i="1"/>
  <c r="D174" i="1"/>
  <c r="D167" i="1"/>
  <c r="F167" i="1" s="1"/>
  <c r="D166" i="1"/>
  <c r="F166" i="1" s="1"/>
  <c r="A166" i="1"/>
  <c r="A167" i="1" s="1"/>
  <c r="G165" i="1"/>
  <c r="D165" i="1"/>
  <c r="F165" i="1" s="1"/>
  <c r="D159" i="1"/>
  <c r="D158" i="1"/>
  <c r="D163" i="1"/>
  <c r="D162" i="1"/>
  <c r="D161" i="1"/>
  <c r="D155" i="1"/>
  <c r="F155" i="1" s="1"/>
  <c r="D154" i="1"/>
  <c r="F154" i="1" s="1"/>
  <c r="A154" i="1"/>
  <c r="A155" i="1" s="1"/>
  <c r="G153" i="1"/>
  <c r="D153" i="1"/>
  <c r="F153" i="1" s="1"/>
  <c r="D151" i="1"/>
  <c r="D150" i="1"/>
  <c r="D149" i="1"/>
  <c r="D147" i="1"/>
  <c r="F147" i="1" s="1"/>
  <c r="D146" i="1"/>
  <c r="F146" i="1" s="1"/>
  <c r="A146" i="1"/>
  <c r="A147" i="1" s="1"/>
  <c r="J145" i="1"/>
  <c r="G145" i="1"/>
  <c r="D145" i="1"/>
  <c r="F145" i="1" s="1"/>
  <c r="D143" i="1"/>
  <c r="D142" i="1"/>
  <c r="D141" i="1"/>
  <c r="F141" i="1" s="1"/>
  <c r="J141" i="1"/>
  <c r="F143" i="1"/>
  <c r="F142" i="1"/>
  <c r="A142" i="1"/>
  <c r="A143" i="1" s="1"/>
  <c r="G141" i="1"/>
  <c r="D135" i="1"/>
  <c r="F135" i="1" s="1"/>
  <c r="G134" i="1"/>
  <c r="J135" i="1"/>
  <c r="D130" i="1"/>
  <c r="C115" i="1" s="1"/>
  <c r="D131" i="1"/>
  <c r="C116" i="1" s="1"/>
  <c r="D132" i="1"/>
  <c r="E44" i="1"/>
  <c r="E42" i="1" s="1"/>
  <c r="E43" i="1" s="1"/>
  <c r="C120" i="1" l="1"/>
  <c r="E116" i="1"/>
  <c r="C117" i="1"/>
  <c r="E115" i="1"/>
  <c r="E120" i="1"/>
  <c r="J42" i="1"/>
  <c r="J43" i="1" s="1"/>
  <c r="E117" i="1" l="1"/>
  <c r="D180" i="1"/>
  <c r="F180" i="1" s="1"/>
  <c r="D179" i="1"/>
  <c r="F179" i="1" s="1"/>
  <c r="F174" i="1"/>
  <c r="F163" i="1"/>
  <c r="F162" i="1"/>
  <c r="F161" i="1"/>
  <c r="F159" i="1"/>
  <c r="F158" i="1"/>
  <c r="F151" i="1"/>
  <c r="F149" i="1"/>
  <c r="J128" i="1"/>
  <c r="J179" i="1"/>
  <c r="A180" i="1"/>
  <c r="G179" i="1"/>
  <c r="F175" i="1"/>
  <c r="A174" i="1"/>
  <c r="A175" i="1" s="1"/>
  <c r="G173" i="1"/>
  <c r="A162" i="1"/>
  <c r="A163" i="1" s="1"/>
  <c r="G161" i="1"/>
  <c r="A158" i="1"/>
  <c r="A159" i="1" s="1"/>
  <c r="J157" i="1"/>
  <c r="G157" i="1"/>
  <c r="F150" i="1"/>
  <c r="J150" i="1" s="1"/>
  <c r="A150" i="1"/>
  <c r="A151" i="1" s="1"/>
  <c r="G149" i="1"/>
  <c r="G120" i="1" l="1"/>
  <c r="C121" i="1"/>
  <c r="C123" i="1" s="1"/>
  <c r="G121" i="1"/>
  <c r="E121" i="1"/>
  <c r="E122" i="1"/>
  <c r="E123" i="1" s="1"/>
  <c r="C14" i="1"/>
  <c r="G122" i="1" l="1"/>
  <c r="E29" i="1" l="1"/>
  <c r="F183" i="1" l="1"/>
  <c r="F184" i="1"/>
  <c r="F185" i="1"/>
  <c r="F182" i="1"/>
  <c r="A183" i="1"/>
  <c r="A184" i="1" s="1"/>
  <c r="A185" i="1" s="1"/>
  <c r="G182" i="1"/>
  <c r="G183" i="1" s="1"/>
  <c r="G184" i="1" s="1"/>
  <c r="G185" i="1" s="1"/>
  <c r="F112" i="1" l="1"/>
  <c r="F131" i="1" l="1"/>
  <c r="F132" i="1"/>
  <c r="J132" i="1" s="1"/>
  <c r="F130" i="1"/>
  <c r="G115" i="1" l="1"/>
  <c r="J130" i="1"/>
  <c r="G116" i="1"/>
  <c r="G117" i="1" s="1"/>
  <c r="G123" i="1" s="1"/>
  <c r="J131" i="1"/>
  <c r="B213" i="1"/>
  <c r="A199" i="1"/>
  <c r="A193" i="1"/>
  <c r="A205" i="1"/>
  <c r="F209" i="1" l="1"/>
  <c r="F208" i="1"/>
  <c r="F207" i="1"/>
  <c r="F206" i="1"/>
  <c r="F205" i="1"/>
  <c r="F203" i="1"/>
  <c r="F202" i="1"/>
  <c r="F201" i="1"/>
  <c r="F200" i="1"/>
  <c r="F199" i="1"/>
  <c r="F197" i="1"/>
  <c r="F196" i="1"/>
  <c r="F195" i="1"/>
  <c r="F194" i="1"/>
  <c r="F193" i="1"/>
  <c r="F191" i="1"/>
  <c r="F190" i="1"/>
  <c r="F188" i="1"/>
  <c r="F187" i="1"/>
  <c r="F189" i="1"/>
  <c r="A200" i="1"/>
  <c r="A194" i="1"/>
  <c r="A206" i="1"/>
  <c r="B214" i="1" l="1"/>
  <c r="A207" i="1"/>
  <c r="A201" i="1"/>
  <c r="A19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9" i="1"/>
  <c r="G205" i="1"/>
  <c r="G206" i="1" s="1"/>
  <c r="G207" i="1" s="1"/>
  <c r="G208" i="1" s="1"/>
  <c r="G209" i="1" s="1"/>
  <c r="G199" i="1"/>
  <c r="G200" i="1" s="1"/>
  <c r="G201" i="1" s="1"/>
  <c r="G202" i="1" s="1"/>
  <c r="G203" i="1" s="1"/>
  <c r="G193" i="1"/>
  <c r="G194" i="1" s="1"/>
  <c r="G195" i="1" s="1"/>
  <c r="G196" i="1" s="1"/>
  <c r="G197" i="1" s="1"/>
  <c r="G187" i="1"/>
  <c r="G188" i="1" s="1"/>
  <c r="G189" i="1" s="1"/>
  <c r="G190" i="1" s="1"/>
  <c r="G191" i="1" s="1"/>
  <c r="A187" i="1"/>
  <c r="A188" i="1" s="1"/>
  <c r="A189" i="1" s="1"/>
  <c r="A190" i="1" s="1"/>
  <c r="A191" i="1" s="1"/>
  <c r="A131" i="1"/>
  <c r="A132" i="1" s="1"/>
  <c r="G130" i="1"/>
  <c r="C85" i="1"/>
  <c r="B86" i="1" s="1"/>
  <c r="C71" i="1"/>
  <c r="B72" i="1" s="1"/>
  <c r="D59" i="1"/>
  <c r="G49" i="1"/>
  <c r="C49" i="1"/>
  <c r="C50" i="1" s="1"/>
  <c r="E26" i="1"/>
  <c r="E24" i="1"/>
  <c r="E7" i="1"/>
  <c r="E3" i="1"/>
  <c r="A208" i="1"/>
  <c r="A202" i="1"/>
  <c r="H72" i="1"/>
  <c r="A196" i="1"/>
  <c r="D65" i="1" l="1"/>
  <c r="D84" i="1"/>
  <c r="D82" i="1"/>
  <c r="D81" i="1"/>
  <c r="D80" i="1"/>
  <c r="D78" i="1"/>
  <c r="J71" i="1"/>
  <c r="D83" i="1"/>
  <c r="D79" i="1"/>
  <c r="J75" i="1"/>
  <c r="J76" i="1"/>
  <c r="C75" i="1" s="1"/>
  <c r="J74" i="1"/>
  <c r="J77" i="1"/>
  <c r="H86" i="1"/>
  <c r="A197" i="1"/>
  <c r="A209" i="1"/>
  <c r="A203" i="1"/>
  <c r="D93" i="1" l="1"/>
  <c r="J90" i="1"/>
  <c r="J91" i="1"/>
  <c r="J92" i="1" s="1"/>
  <c r="D94" i="1"/>
  <c r="J88" i="1"/>
  <c r="J85" i="1"/>
  <c r="J87" i="1" s="1"/>
  <c r="D95" i="1"/>
  <c r="D92" i="1"/>
  <c r="J89" i="1"/>
  <c r="D96" i="1"/>
  <c r="D97" i="1"/>
  <c r="D98" i="1"/>
  <c r="J78" i="1"/>
  <c r="J83" i="1" s="1"/>
  <c r="J97" i="1"/>
  <c r="J93" i="1"/>
  <c r="J94" i="1" s="1"/>
  <c r="J95" i="1" s="1"/>
  <c r="J96" i="1" s="1"/>
  <c r="J79" i="1"/>
  <c r="J80" i="1" s="1"/>
  <c r="J81" i="1" s="1"/>
  <c r="J82" i="1" s="1"/>
  <c r="D91" i="1"/>
  <c r="D77" i="1"/>
  <c r="J73" i="1"/>
  <c r="D75" i="1"/>
  <c r="D89" i="1"/>
  <c r="J84" i="1" l="1"/>
  <c r="G75" i="1" s="1"/>
  <c r="D69" i="1" s="1"/>
  <c r="D70" i="1" s="1"/>
  <c r="J98" i="1"/>
  <c r="J86" i="1" s="1"/>
  <c r="J72" i="1" l="1"/>
  <c r="D76" i="1"/>
  <c r="I72" i="1" s="1"/>
  <c r="I73" i="1" s="1"/>
  <c r="E75" i="1"/>
  <c r="F70" i="1"/>
  <c r="E89" i="1"/>
  <c r="G89" i="1"/>
  <c r="D90" i="1"/>
  <c r="I86" i="1" s="1"/>
  <c r="I87" i="1" s="1"/>
  <c r="I71" i="1" l="1"/>
  <c r="C73" i="1" s="1"/>
  <c r="I85" i="1"/>
  <c r="C87" i="1" s="1"/>
</calcChain>
</file>

<file path=xl/sharedStrings.xml><?xml version="1.0" encoding="utf-8"?>
<sst xmlns="http://schemas.openxmlformats.org/spreadsheetml/2006/main" count="372" uniqueCount="269">
  <si>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</si>
  <si>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</si>
  <si>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</si>
  <si>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</si>
  <si>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</si>
  <si>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</si>
  <si>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</si>
  <si>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</si>
  <si>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</si>
  <si>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</si>
  <si>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</si>
  <si>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</si>
  <si>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</si>
  <si>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</si>
  <si>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</si>
  <si>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</si>
  <si>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</si>
  <si>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</si>
  <si>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</si>
  <si>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</si>
  <si>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</si>
  <si>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</si>
  <si>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</si>
  <si>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</si>
  <si>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</si>
  <si>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</si>
  <si>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</si>
  <si>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</si>
  <si>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</si>
  <si>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</si>
  <si>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</si>
  <si>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</si>
  <si>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</si>
  <si>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</si>
  <si>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</si>
  <si>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</si>
  <si>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</si>
  <si>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</si>
  <si>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</si>
  <si>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</si>
  <si>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</si>
  <si>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</si>
  <si>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</si>
  <si>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</si>
  <si>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</si>
  <si>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</si>
  <si>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</si>
  <si>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</si>
  <si>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</si>
  <si>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</si>
  <si>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</si>
  <si>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</si>
  <si>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</si>
  <si>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</si>
  <si>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</si>
  <si>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</si>
  <si>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</si>
  <si>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</si>
  <si>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</si>
  <si>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</si>
  <si>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</si>
  <si>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</si>
  <si>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</si>
  <si>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</si>
  <si>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</si>
  <si>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</si>
  <si>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</si>
  <si>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</si>
  <si>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</si>
  <si>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</si>
  <si>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</si>
  <si>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</si>
  <si>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</si>
  <si>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</si>
  <si>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</si>
  <si>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</si>
  <si>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</si>
  <si>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</si>
  <si>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</si>
  <si>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</si>
  <si>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</si>
  <si>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</si>
  <si>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</si>
  <si>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</si>
  <si>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</si>
  <si>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</si>
  <si>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</si>
  <si>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</si>
  <si>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</si>
  <si>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</si>
  <si>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</si>
  <si>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</si>
  <si>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</si>
  <si>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</si>
  <si>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</si>
  <si>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</si>
  <si>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</si>
  <si>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</si>
  <si>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</si>
  <si>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</si>
  <si>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</si>
  <si>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</si>
  <si>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</si>
  <si>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</si>
  <si>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</si>
  <si>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</si>
  <si>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</si>
  <si>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</si>
  <si>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</si>
  <si>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</si>
  <si>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</si>
  <si>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</si>
  <si>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</si>
  <si>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</si>
  <si>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</si>
  <si>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</si>
  <si>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</si>
  <si>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</si>
  <si>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</si>
  <si>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</si>
  <si>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</si>
  <si>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</si>
  <si>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</si>
  <si>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</si>
  <si>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</si>
  <si>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</si>
  <si>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</si>
  <si>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</si>
  <si>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</si>
  <si>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</si>
  <si>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</si>
  <si>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</si>
  <si>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</si>
  <si>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</si>
  <si>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</si>
  <si>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</si>
  <si>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</si>
  <si>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</si>
  <si>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</si>
  <si>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</si>
  <si>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</si>
  <si>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</si>
  <si>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</si>
  <si>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</si>
  <si>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</si>
  <si>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</si>
  <si>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</si>
  <si>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</si>
  <si>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</si>
  <si>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</si>
  <si>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</si>
  <si>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</si>
  <si>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</si>
  <si>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</si>
  <si>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</si>
  <si>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</si>
  <si>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</si>
  <si>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</si>
  <si>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</si>
  <si>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</si>
  <si>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</si>
  <si>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</si>
  <si>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</si>
  <si>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</si>
  <si>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</si>
  <si>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</si>
  <si>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</si>
  <si>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</si>
  <si>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</si>
  <si>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</si>
  <si>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</si>
  <si>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</si>
  <si>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</si>
  <si>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</si>
  <si>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</si>
  <si>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</si>
  <si>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</si>
  <si>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</si>
  <si>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</si>
  <si>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</si>
  <si>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</si>
  <si>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</si>
  <si>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P51800048097</t>
  </si>
  <si>
    <t>Shreejee Buildcon</t>
  </si>
  <si>
    <t>CTS No</t>
  </si>
  <si>
    <t>909 &amp; 910-A &amp; Redevlopement of " Anand Deep Chs Ltd " &amp; " Shanti Niketan Chs Ltd"</t>
  </si>
  <si>
    <t>Mulund</t>
  </si>
  <si>
    <t>Mumbai</t>
  </si>
  <si>
    <t>Kurla</t>
  </si>
  <si>
    <t>Dr.Rajendra Prasad Road</t>
  </si>
  <si>
    <t>Rajyog Residency</t>
  </si>
  <si>
    <t>The New Anand Deep Chs Ltd</t>
  </si>
  <si>
    <t>Vardhaman Nagar</t>
  </si>
  <si>
    <t>1.1KM from Mulund Railway Station</t>
  </si>
  <si>
    <t>Umiya Mahal</t>
  </si>
  <si>
    <t>2 Buildings</t>
  </si>
  <si>
    <t>https://goo.gl/maps/1QLUAFbNikQG5qne7</t>
  </si>
  <si>
    <t>Slum Rehabilitation Authority</t>
  </si>
  <si>
    <t xml:space="preserve">As per RERA - 30/09/2026 </t>
  </si>
  <si>
    <t>Sale Building No.1 (Wing A)</t>
  </si>
  <si>
    <t>Shop</t>
  </si>
  <si>
    <t>Ground Floor For Commercial, Parking &amp; Meter Room</t>
  </si>
  <si>
    <t>7th Floor (Part Refuge Area)</t>
  </si>
  <si>
    <t>Refuge Area</t>
  </si>
  <si>
    <t>14th Floor (Part Refuge Area)</t>
  </si>
  <si>
    <t>We considered Gross carpet area = Net carpet</t>
  </si>
  <si>
    <t>Ground Floor For Parking, Meter Room &amp; Pump Room</t>
  </si>
  <si>
    <t>1st &amp; 2nd Floor For Residential</t>
  </si>
  <si>
    <t>Children's Play Area, Power Backup, Club House, Gymnasium, Swimming Pool, 24x7 Security, Landscaping &amp; Tree Planting, Receiving Station, Water Conservation, Rain water Harvesting, Closed Car Parking, Fire Sprinklers</t>
  </si>
  <si>
    <t>Flats - 64, Shops - 3</t>
  </si>
  <si>
    <t>Kothari Estates</t>
  </si>
  <si>
    <t>We have received a Layout plan, Floor plan &amp;  Approved CC (upto Plinth Level) of Sale Building No.1 &amp; 2 (Wing A &amp; B).
Provided plans does not include the Plan number.
Please provide an Approved amended plan letter &amp; Revised CC of Sale Building No.1 &amp; 2 (Wing A &amp; B)</t>
  </si>
  <si>
    <t>T/PVT/0120/20220208</t>
  </si>
  <si>
    <t>SRA/ENG/T/PVT/0120/20220208</t>
  </si>
  <si>
    <t>Sale Building No.2 = This C.C is granted for work up to Plinth Level.</t>
  </si>
  <si>
    <t>Approved plan &amp; CC</t>
  </si>
  <si>
    <t>1st Floor For Part Residential &amp; Commercial</t>
  </si>
  <si>
    <t>Duplex Shop with Ground Floor</t>
  </si>
  <si>
    <t>Restaurant</t>
  </si>
  <si>
    <t>3rd Floor</t>
  </si>
  <si>
    <t>4th, 6th &amp; 8th Floor</t>
  </si>
  <si>
    <t>5th &amp; 9th Floor</t>
  </si>
  <si>
    <t>11th, 13th, 15th, 17th, 19th &amp; 21st Floor</t>
  </si>
  <si>
    <t>10th Floor</t>
  </si>
  <si>
    <t xml:space="preserve">Sale Building No.1 </t>
  </si>
  <si>
    <t>12th, 16th, 18th &amp; 20th Floor</t>
  </si>
  <si>
    <t>Other Plot</t>
  </si>
  <si>
    <t xml:space="preserve">We have updated revised approved floor plan for Sale Building No.1 (on 28/08/2024).
</t>
  </si>
  <si>
    <t>19.178436,72.948431</t>
  </si>
  <si>
    <t xml:space="preserve">Check for Fire NOC
</t>
  </si>
  <si>
    <t xml:space="preserve"> Restaurant
Duplex with 1st Floor</t>
  </si>
  <si>
    <t>Sale Building No.1 = Gr + 1st to 21st Floor</t>
  </si>
  <si>
    <t>Sale Building No.2 = Gr + 1st to 21st Floor</t>
  </si>
  <si>
    <t>Approved Floor plan No. Sale Building No. 1</t>
  </si>
  <si>
    <t>Sale Building No.1
Shop</t>
  </si>
  <si>
    <t>Sale Building No.1
 Restaurant</t>
  </si>
  <si>
    <t>Ms.Khushi 83694490781</t>
  </si>
  <si>
    <t>Mulund West</t>
  </si>
  <si>
    <t>Approved Floor plan No. Sale Building No. 2</t>
  </si>
  <si>
    <t>Sale Building No.1 = Gr + 1st to 21st Floor
Sale Building No.2 = Gr + 1st to 2nd Floor</t>
  </si>
  <si>
    <t>Sale Building No.2</t>
  </si>
  <si>
    <t>Flats - 62, Shops - 2,  Restaurant -2</t>
  </si>
  <si>
    <t>Sale Building No.1</t>
  </si>
  <si>
    <t>1 Building</t>
  </si>
  <si>
    <t xml:space="preserve">We have done APF for Sale Building No. 1 only as per the request of bank officer on the mail.
</t>
  </si>
  <si>
    <t xml:space="preserve">Fire NOC No
Valid Up to: </t>
  </si>
  <si>
    <t>Sale Building No.1 (A Wing)
Sale Building No.2</t>
  </si>
  <si>
    <t>Sale Building No.1 (A Wing) = Gr + 1st to 21st Floor Total Height of 69.75 mtrs.</t>
  </si>
  <si>
    <t>FB/HR/R-VI/161</t>
  </si>
  <si>
    <t xml:space="preserve">We have updated revised CC for Sale Building No.1 (on 30/08/2024).
</t>
  </si>
  <si>
    <t>This C.C is further extended to carry out entire work upto 7th upper floors as per approved plans sanctioned on 19/05/2022.</t>
  </si>
  <si>
    <t>26000 to 30000</t>
  </si>
  <si>
    <t>shailesh</t>
  </si>
  <si>
    <t>verbal</t>
  </si>
  <si>
    <t>26001 to 30000</t>
  </si>
  <si>
    <t>26002 to 30000</t>
  </si>
  <si>
    <t>26003 to 30000</t>
  </si>
  <si>
    <t>26004 to 30000</t>
  </si>
  <si>
    <t>26005 to 30000</t>
  </si>
  <si>
    <t>26006 to 30000</t>
  </si>
  <si>
    <t>26007 to 30000</t>
  </si>
  <si>
    <t>26008 to 30000</t>
  </si>
  <si>
    <t>26009 to 30000</t>
  </si>
  <si>
    <t>30000 to 34000</t>
  </si>
  <si>
    <t xml:space="preserve">Recommended Rates/Other Charges of the Property (Shops) have been revised on 10/09/2024.
</t>
  </si>
  <si>
    <t>Nainesh Tambe</t>
  </si>
  <si>
    <t>Please provide revised CC.</t>
  </si>
  <si>
    <t>Pranita Mhatre</t>
  </si>
  <si>
    <t>Construction work is in process at the time of Visit. (Labour Found)
Internal photographs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</si>
</sst>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24" fillId="2" borderId="15" xfId="0" applyFont="1" applyFill="1" applyBorder="1"/>
    <xf numFmtId="0" fontId="25" fillId="0" borderId="9" xfId="0" applyFont="1" applyBorder="1"/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9" fontId="6" fillId="0" borderId="8" xfId="1" applyNumberFormat="1" applyFont="1" applyBorder="1" applyAlignment="1" applyProtection="1">
      <alignment horizontal="center" vertical="center" wrapText="1"/>
      <protection locked="0"/>
    </xf>
    <xf numFmtId="169" fontId="6" fillId="0" borderId="21" xfId="1" applyNumberFormat="1" applyFont="1" applyBorder="1" applyAlignment="1" applyProtection="1">
      <alignment horizontal="center" vertical="center" wrapText="1"/>
      <protection locked="0"/>
    </xf>
    <xf numFmtId="169" fontId="6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27" fillId="0" borderId="21" xfId="0" applyNumberFormat="1" applyFont="1" applyBorder="1" applyAlignment="1" applyProtection="1">
      <alignment vertical="top" wrapText="1"/>
      <protection locked="0"/>
    </xf>
    <xf numFmtId="1" fontId="27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8</xdr:row>
      <xdr:rowOff>152400</xdr:rowOff>
    </xdr:from>
    <xdr:to>
      <xdr:col>13</xdr:col>
      <xdr:colOff>389088</xdr:colOff>
      <xdr:row>18</xdr:row>
      <xdr:rowOff>53373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725" y="2143125"/>
          <a:ext cx="4571429" cy="2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190506</xdr:colOff>
      <xdr:row>282</xdr:row>
      <xdr:rowOff>51954</xdr:rowOff>
    </xdr:from>
    <xdr:to>
      <xdr:col>7</xdr:col>
      <xdr:colOff>621483</xdr:colOff>
      <xdr:row>296</xdr:row>
      <xdr:rowOff>94475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6" y="50222727"/>
          <a:ext cx="6120000" cy="28307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205970</xdr:colOff>
      <xdr:row>297</xdr:row>
      <xdr:rowOff>33222</xdr:rowOff>
    </xdr:from>
    <xdr:to>
      <xdr:col>5</xdr:col>
      <xdr:colOff>606020</xdr:colOff>
      <xdr:row>317</xdr:row>
      <xdr:rowOff>174365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4606" y="53191381"/>
          <a:ext cx="2971800" cy="4124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329045</xdr:colOff>
      <xdr:row>283</xdr:row>
      <xdr:rowOff>51954</xdr:rowOff>
    </xdr:from>
    <xdr:to>
      <xdr:col>4</xdr:col>
      <xdr:colOff>60614</xdr:colOff>
      <xdr:row>292</xdr:row>
      <xdr:rowOff>51954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9045" y="50421886"/>
          <a:ext cx="3082637" cy="179243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770659</xdr:colOff>
      <xdr:row>284</xdr:row>
      <xdr:rowOff>31172</xdr:rowOff>
    </xdr:from>
    <xdr:to>
      <xdr:col>7</xdr:col>
      <xdr:colOff>510886</xdr:colOff>
      <xdr:row>292</xdr:row>
      <xdr:rowOff>69272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21727" y="50600263"/>
          <a:ext cx="2078182" cy="1631373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190498</xdr:colOff>
      <xdr:row>321</xdr:row>
      <xdr:rowOff>51954</xdr:rowOff>
    </xdr:from>
    <xdr:to>
      <xdr:col>7</xdr:col>
      <xdr:colOff>621475</xdr:colOff>
      <xdr:row>333</xdr:row>
      <xdr:rowOff>88238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8" y="57989931"/>
          <a:ext cx="6120000" cy="24261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190498</xdr:colOff>
      <xdr:row>334</xdr:row>
      <xdr:rowOff>85317</xdr:rowOff>
    </xdr:from>
    <xdr:to>
      <xdr:col>7</xdr:col>
      <xdr:colOff>621475</xdr:colOff>
      <xdr:row>355</xdr:row>
      <xdr:rowOff>10176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498" y="60612362"/>
          <a:ext cx="6120000" cy="4107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640772</xdr:colOff>
      <xdr:row>343</xdr:row>
      <xdr:rowOff>77932</xdr:rowOff>
    </xdr:from>
    <xdr:to>
      <xdr:col>4</xdr:col>
      <xdr:colOff>43295</xdr:colOff>
      <xdr:row>347</xdr:row>
      <xdr:rowOff>173182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47999" y="45988432"/>
          <a:ext cx="346364" cy="89188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10</xdr:col>
      <xdr:colOff>294409</xdr:colOff>
      <xdr:row>39</xdr:row>
      <xdr:rowOff>17319</xdr:rowOff>
    </xdr:from>
    <xdr:to>
      <xdr:col>14</xdr:col>
      <xdr:colOff>273194</xdr:colOff>
      <xdr:row>61</xdr:row>
      <xdr:rowOff>28941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37023" y="9195955"/>
          <a:ext cx="3096057" cy="4686954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238</xdr:row>
      <xdr:rowOff>0</xdr:rowOff>
    </xdr:from>
    <xdr:to>
      <xdr:col>9</xdr:col>
      <xdr:colOff>329136</xdr:colOff>
      <xdr:row>239</xdr:row>
      <xdr:rowOff>177291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845300" y="40119300"/>
          <a:ext cx="1548336" cy="37414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</a:t>
          </a:r>
        </a:p>
      </xdr:txBody>
    </xdr:sp>
    <xdr:clientData/>
  </xdr:twoCellAnchor>
  <xdr:twoCellAnchor>
    <xdr:from>
      <xdr:col>8</xdr:col>
      <xdr:colOff>709930</xdr:colOff>
      <xdr:row>238</xdr:row>
      <xdr:rowOff>55880</xdr:rowOff>
    </xdr:from>
    <xdr:to>
      <xdr:col>16</xdr:col>
      <xdr:colOff>58781</xdr:colOff>
      <xdr:row>279</xdr:row>
      <xdr:rowOff>17780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446010" y="40106600"/>
          <a:ext cx="6008731" cy="8077200"/>
          <a:chOff x="336550" y="40379650"/>
          <a:chExt cx="6101441" cy="8026400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4876" y="46744648"/>
            <a:ext cx="1624519" cy="16614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3804" y="44462149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9706" y="403796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403796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5948" y="44462149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4876" y="44462149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502920</xdr:colOff>
      <xdr:row>239</xdr:row>
      <xdr:rowOff>167640</xdr:rowOff>
    </xdr:from>
    <xdr:to>
      <xdr:col>7</xdr:col>
      <xdr:colOff>358140</xdr:colOff>
      <xdr:row>278</xdr:row>
      <xdr:rowOff>83820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BA00778-BBEF-816D-830C-596EFB80387C}"/>
            </a:ext>
          </a:extLst>
        </xdr:cNvPr>
        <xdr:cNvGrpSpPr/>
      </xdr:nvGrpSpPr>
      <xdr:grpSpPr>
        <a:xfrm>
          <a:off x="502920" y="40416480"/>
          <a:ext cx="5737860" cy="7635240"/>
          <a:chOff x="879799" y="84022"/>
          <a:chExt cx="5170864" cy="6816651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53311046-7817-9133-439F-D010BB4BF2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13884" y="474067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545732ED-39B1-1393-93D3-CC403BB99D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9799" y="84022"/>
            <a:ext cx="3393960" cy="45126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ADC501E6-A1C5-5745-D456-5817F18C95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26144" y="241200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61B6703E-5A25-D005-9311-071C47E631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26144" y="108041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9AE021D9-5D3F-4F76-6EAA-C65781B73D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6296" y="474067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QLUAFbNikQG5qne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20"/>
  <sheetViews>
    <sheetView tabSelected="1" view="pageBreakPreview" topLeftCell="A213" zoomScaleNormal="100" zoomScaleSheetLayoutView="100" workbookViewId="0">
      <selection activeCell="I227" sqref="I227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7" width="11.7773437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1.777343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8" ht="46.5" customHeight="1" x14ac:dyDescent="0.3">
      <c r="A1" s="172" t="s">
        <v>176</v>
      </c>
      <c r="B1" s="172"/>
      <c r="C1" s="172"/>
      <c r="D1" s="172"/>
      <c r="E1" s="172"/>
      <c r="F1" s="172"/>
      <c r="G1" s="172"/>
      <c r="H1" s="172"/>
    </row>
    <row r="2" spans="1:8" ht="16.5" customHeight="1" x14ac:dyDescent="0.3">
      <c r="A2" s="173" t="s">
        <v>0</v>
      </c>
      <c r="B2" s="173"/>
      <c r="C2" s="173"/>
      <c r="D2" s="173"/>
      <c r="E2" s="173"/>
      <c r="F2" s="173"/>
      <c r="G2" s="173"/>
      <c r="H2" s="173"/>
    </row>
    <row r="3" spans="1:8" x14ac:dyDescent="0.3">
      <c r="A3" s="121" t="s">
        <v>1</v>
      </c>
      <c r="B3" s="121"/>
      <c r="C3" s="121"/>
      <c r="D3" s="121"/>
      <c r="E3" s="121" t="str">
        <f ca="1">TEXT(TODAY(),"DD/MM/YYYY")</f>
        <v>15/08/2025</v>
      </c>
      <c r="F3" s="121"/>
      <c r="G3" s="121"/>
      <c r="H3" s="121"/>
    </row>
    <row r="4" spans="1:8" ht="15" customHeight="1" x14ac:dyDescent="0.3">
      <c r="A4" s="121" t="s">
        <v>2</v>
      </c>
      <c r="B4" s="121"/>
      <c r="C4" s="121"/>
      <c r="D4" s="121"/>
      <c r="E4" s="121" t="s">
        <v>181</v>
      </c>
      <c r="F4" s="121"/>
      <c r="G4" s="121"/>
      <c r="H4" s="121"/>
    </row>
    <row r="5" spans="1:8" x14ac:dyDescent="0.3">
      <c r="A5" s="121" t="s">
        <v>3</v>
      </c>
      <c r="B5" s="121"/>
      <c r="C5" s="121"/>
      <c r="D5" s="121"/>
      <c r="E5" s="174">
        <v>45882</v>
      </c>
      <c r="F5" s="121"/>
      <c r="G5" s="121"/>
      <c r="H5" s="121"/>
    </row>
    <row r="6" spans="1:8" ht="16.5" customHeight="1" x14ac:dyDescent="0.3">
      <c r="A6" s="121" t="s">
        <v>4</v>
      </c>
      <c r="B6" s="121"/>
      <c r="C6" s="121"/>
      <c r="D6" s="121"/>
      <c r="E6" s="121" t="s">
        <v>183</v>
      </c>
      <c r="F6" s="121"/>
      <c r="G6" s="121"/>
      <c r="H6" s="121"/>
    </row>
    <row r="7" spans="1:8" ht="15" customHeight="1" x14ac:dyDescent="0.3">
      <c r="A7" s="121" t="s">
        <v>5</v>
      </c>
      <c r="B7" s="121"/>
      <c r="C7" s="121"/>
      <c r="D7" s="121"/>
      <c r="E7" s="121" t="str">
        <f>E6</f>
        <v>Shreejee Buildcon</v>
      </c>
      <c r="F7" s="121"/>
      <c r="G7" s="121"/>
      <c r="H7" s="121"/>
    </row>
    <row r="8" spans="1:8" x14ac:dyDescent="0.3">
      <c r="A8" s="121" t="s">
        <v>6</v>
      </c>
      <c r="B8" s="121"/>
      <c r="C8" s="121"/>
      <c r="D8" s="121"/>
      <c r="E8" s="122" t="s">
        <v>191</v>
      </c>
      <c r="F8" s="122"/>
      <c r="G8" s="122"/>
      <c r="H8" s="122"/>
    </row>
    <row r="9" spans="1:8" x14ac:dyDescent="0.3">
      <c r="A9" s="121" t="s">
        <v>179</v>
      </c>
      <c r="B9" s="121"/>
      <c r="C9" s="121"/>
      <c r="D9" s="121"/>
      <c r="E9" s="121">
        <v>9324265368</v>
      </c>
      <c r="F9" s="121"/>
      <c r="G9" s="121"/>
      <c r="H9" s="121"/>
    </row>
    <row r="10" spans="1:8" hidden="1" x14ac:dyDescent="0.3">
      <c r="A10" s="121" t="s">
        <v>180</v>
      </c>
      <c r="B10" s="121"/>
      <c r="C10" s="121"/>
      <c r="D10" s="121"/>
      <c r="E10" s="121" t="s">
        <v>236</v>
      </c>
      <c r="F10" s="121"/>
      <c r="G10" s="121"/>
      <c r="H10" s="121"/>
    </row>
    <row r="11" spans="1:8" ht="17.25" customHeight="1" x14ac:dyDescent="0.3">
      <c r="A11" s="121" t="s">
        <v>7</v>
      </c>
      <c r="B11" s="121"/>
      <c r="C11" s="121"/>
      <c r="D11" s="121"/>
      <c r="E11" s="131" t="s">
        <v>246</v>
      </c>
      <c r="F11" s="121"/>
      <c r="G11" s="121"/>
      <c r="H11" s="121"/>
    </row>
    <row r="12" spans="1:8" x14ac:dyDescent="0.3">
      <c r="A12" s="89" t="s">
        <v>8</v>
      </c>
      <c r="B12" s="89"/>
      <c r="C12" s="89"/>
      <c r="D12" s="89"/>
      <c r="E12" s="131" t="s">
        <v>215</v>
      </c>
      <c r="F12" s="131"/>
      <c r="G12" s="131"/>
      <c r="H12" s="131"/>
    </row>
    <row r="13" spans="1:8" x14ac:dyDescent="0.3">
      <c r="A13" s="121" t="s">
        <v>9</v>
      </c>
      <c r="B13" s="121"/>
      <c r="C13" s="121"/>
      <c r="D13" s="121"/>
      <c r="E13" s="131" t="s">
        <v>182</v>
      </c>
      <c r="F13" s="121"/>
      <c r="G13" s="121"/>
      <c r="H13" s="121"/>
    </row>
    <row r="14" spans="1:8" ht="62.25" customHeight="1" x14ac:dyDescent="0.3">
      <c r="A14" s="131" t="s">
        <v>10</v>
      </c>
      <c r="B14" s="131"/>
      <c r="C14" s="16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The New Anand Deep Chs Ltd, CTS No.909 &amp; 910-A &amp; Redevlopement of " Anand Deep Chs Ltd " &amp; " Shanti Niketan Chs Ltd", near Rajyog Residency, Dr.Rajendra Prasad Road, Vardhaman Nagar, Mulund, Mulund West, Kurla, Mumbai - 400080.</v>
      </c>
      <c r="D14" s="169"/>
      <c r="E14" s="169"/>
      <c r="F14" s="169"/>
      <c r="G14" s="169"/>
      <c r="H14" s="170"/>
    </row>
    <row r="15" spans="1:8" ht="31.5" customHeight="1" x14ac:dyDescent="0.3">
      <c r="A15" s="131" t="s">
        <v>184</v>
      </c>
      <c r="B15" s="131"/>
      <c r="C15" s="131" t="s">
        <v>185</v>
      </c>
      <c r="D15" s="131"/>
      <c r="E15" s="131"/>
      <c r="F15" s="131"/>
      <c r="G15" s="131"/>
      <c r="H15" s="131"/>
    </row>
    <row r="16" spans="1:8" ht="15.75" customHeight="1" x14ac:dyDescent="0.3">
      <c r="A16" s="131" t="s">
        <v>174</v>
      </c>
      <c r="B16" s="131"/>
      <c r="C16" s="131" t="s">
        <v>192</v>
      </c>
      <c r="D16" s="131"/>
      <c r="E16" s="131"/>
      <c r="F16" s="131"/>
      <c r="G16" s="131"/>
      <c r="H16" s="131"/>
    </row>
    <row r="17" spans="1:8" ht="15.75" customHeight="1" x14ac:dyDescent="0.3">
      <c r="A17" s="125" t="s">
        <v>11</v>
      </c>
      <c r="B17" s="125"/>
      <c r="C17" s="121" t="s">
        <v>189</v>
      </c>
      <c r="D17" s="121"/>
      <c r="E17" s="125" t="s">
        <v>74</v>
      </c>
      <c r="F17" s="125"/>
      <c r="G17" s="131" t="s">
        <v>186</v>
      </c>
      <c r="H17" s="131"/>
    </row>
    <row r="18" spans="1:8" x14ac:dyDescent="0.3">
      <c r="A18" s="89" t="s">
        <v>13</v>
      </c>
      <c r="B18" s="89"/>
      <c r="C18" s="131" t="s">
        <v>237</v>
      </c>
      <c r="D18" s="131"/>
      <c r="E18" s="125" t="s">
        <v>12</v>
      </c>
      <c r="F18" s="125"/>
      <c r="G18" s="171" t="s">
        <v>187</v>
      </c>
      <c r="H18" s="171"/>
    </row>
    <row r="19" spans="1:8" x14ac:dyDescent="0.3">
      <c r="A19" s="89" t="s">
        <v>75</v>
      </c>
      <c r="B19" s="89"/>
      <c r="C19" s="131" t="s">
        <v>188</v>
      </c>
      <c r="D19" s="131"/>
      <c r="E19" s="125" t="s">
        <v>14</v>
      </c>
      <c r="F19" s="125"/>
      <c r="G19" s="131">
        <v>400080</v>
      </c>
      <c r="H19" s="131"/>
    </row>
    <row r="20" spans="1:8" ht="32.25" customHeight="1" x14ac:dyDescent="0.3">
      <c r="A20" s="89" t="s">
        <v>128</v>
      </c>
      <c r="B20" s="89"/>
      <c r="C20" s="131" t="s">
        <v>190</v>
      </c>
      <c r="D20" s="131"/>
      <c r="E20" s="125" t="s">
        <v>15</v>
      </c>
      <c r="F20" s="125"/>
      <c r="G20" s="131" t="s">
        <v>193</v>
      </c>
      <c r="H20" s="131"/>
    </row>
    <row r="21" spans="1:8" ht="15" customHeight="1" x14ac:dyDescent="0.3">
      <c r="A21" s="125" t="s">
        <v>78</v>
      </c>
      <c r="B21" s="125"/>
      <c r="C21" s="125"/>
      <c r="D21" s="125"/>
      <c r="E21" s="121" t="s">
        <v>16</v>
      </c>
      <c r="F21" s="121"/>
      <c r="G21" s="121"/>
      <c r="H21" s="121"/>
    </row>
    <row r="22" spans="1:8" ht="18.75" customHeight="1" x14ac:dyDescent="0.3">
      <c r="A22" s="125"/>
      <c r="B22" s="125"/>
      <c r="C22" s="125"/>
      <c r="D22" s="125"/>
      <c r="E22" s="121"/>
      <c r="F22" s="121"/>
      <c r="G22" s="121"/>
      <c r="H22" s="121"/>
    </row>
    <row r="23" spans="1:8" ht="15" customHeight="1" x14ac:dyDescent="0.3">
      <c r="A23" s="125" t="s">
        <v>17</v>
      </c>
      <c r="B23" s="125"/>
      <c r="C23" s="125"/>
      <c r="D23" s="125"/>
      <c r="E23" s="131" t="s">
        <v>18</v>
      </c>
      <c r="F23" s="131"/>
      <c r="G23" s="131"/>
      <c r="H23" s="131"/>
    </row>
    <row r="24" spans="1:8" ht="15" customHeight="1" x14ac:dyDescent="0.3">
      <c r="A24" s="89" t="s">
        <v>19</v>
      </c>
      <c r="B24" s="89"/>
      <c r="C24" s="89"/>
      <c r="D24" s="89"/>
      <c r="E24" s="131" t="str">
        <f>IF(AND(G18="Mumbai"),"Upper Class","Middle Class")</f>
        <v>Upper Class</v>
      </c>
      <c r="F24" s="131"/>
      <c r="G24" s="131"/>
      <c r="H24" s="131"/>
    </row>
    <row r="25" spans="1:8" x14ac:dyDescent="0.3">
      <c r="A25" s="89" t="s">
        <v>20</v>
      </c>
      <c r="B25" s="89"/>
      <c r="C25" s="89"/>
      <c r="D25" s="89"/>
      <c r="E25" s="131" t="s">
        <v>21</v>
      </c>
      <c r="F25" s="131"/>
      <c r="G25" s="131"/>
      <c r="H25" s="131"/>
    </row>
    <row r="26" spans="1:8" ht="15.75" customHeight="1" x14ac:dyDescent="0.3">
      <c r="A26" s="89" t="s">
        <v>22</v>
      </c>
      <c r="B26" s="89"/>
      <c r="C26" s="89"/>
      <c r="D26" s="89"/>
      <c r="E26" s="131" t="str">
        <f>IF(AND(G18="Mumbai"),"Developed","Developing")</f>
        <v>Developed</v>
      </c>
      <c r="F26" s="131"/>
      <c r="G26" s="131"/>
      <c r="H26" s="131"/>
    </row>
    <row r="27" spans="1:8" x14ac:dyDescent="0.3">
      <c r="A27" s="89" t="s">
        <v>23</v>
      </c>
      <c r="B27" s="89"/>
      <c r="C27" s="89"/>
      <c r="D27" s="89"/>
      <c r="E27" s="131" t="s">
        <v>24</v>
      </c>
      <c r="F27" s="131"/>
      <c r="G27" s="131"/>
      <c r="H27" s="131"/>
    </row>
    <row r="28" spans="1:8" ht="15.75" customHeight="1" x14ac:dyDescent="0.3">
      <c r="A28" s="89" t="s">
        <v>83</v>
      </c>
      <c r="B28" s="89"/>
      <c r="C28" s="89"/>
      <c r="D28" s="89"/>
      <c r="E28" s="131" t="s">
        <v>84</v>
      </c>
      <c r="F28" s="131"/>
      <c r="G28" s="131"/>
      <c r="H28" s="131"/>
    </row>
    <row r="29" spans="1:8" ht="15" customHeight="1" x14ac:dyDescent="0.3">
      <c r="A29" s="89" t="s">
        <v>33</v>
      </c>
      <c r="B29" s="89"/>
      <c r="C29" s="89"/>
      <c r="D29" s="89"/>
      <c r="E29" s="131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29" s="131"/>
      <c r="G29" s="131"/>
      <c r="H29" s="131"/>
    </row>
    <row r="30" spans="1:8" ht="15.75" customHeight="1" x14ac:dyDescent="0.3">
      <c r="A30" s="89" t="s">
        <v>95</v>
      </c>
      <c r="B30" s="89"/>
      <c r="C30" s="89"/>
      <c r="D30" s="89"/>
      <c r="E30" s="131" t="s">
        <v>34</v>
      </c>
      <c r="F30" s="131"/>
      <c r="G30" s="131"/>
      <c r="H30" s="131"/>
    </row>
    <row r="31" spans="1:8" s="22" customFormat="1" x14ac:dyDescent="0.3">
      <c r="A31" s="167" t="s">
        <v>96</v>
      </c>
      <c r="B31" s="167"/>
      <c r="C31" s="166" t="s">
        <v>29</v>
      </c>
      <c r="D31" s="166"/>
      <c r="E31" s="166"/>
      <c r="F31" s="166" t="s">
        <v>31</v>
      </c>
      <c r="G31" s="166"/>
      <c r="H31" s="166"/>
    </row>
    <row r="32" spans="1:8" s="22" customFormat="1" x14ac:dyDescent="0.3">
      <c r="A32" s="165" t="s">
        <v>25</v>
      </c>
      <c r="B32" s="165" t="s">
        <v>30</v>
      </c>
      <c r="C32" s="163" t="s">
        <v>226</v>
      </c>
      <c r="D32" s="163"/>
      <c r="E32" s="163"/>
      <c r="F32" s="163" t="s">
        <v>194</v>
      </c>
      <c r="G32" s="163"/>
      <c r="H32" s="163"/>
    </row>
    <row r="33" spans="1:13" x14ac:dyDescent="0.3">
      <c r="A33" s="165" t="s">
        <v>26</v>
      </c>
      <c r="B33" s="165" t="s">
        <v>30</v>
      </c>
      <c r="C33" s="163" t="s">
        <v>226</v>
      </c>
      <c r="D33" s="163"/>
      <c r="E33" s="163"/>
      <c r="F33" s="163" t="s">
        <v>190</v>
      </c>
      <c r="G33" s="163"/>
      <c r="H33" s="163"/>
    </row>
    <row r="34" spans="1:13" s="22" customFormat="1" x14ac:dyDescent="0.3">
      <c r="A34" s="165" t="s">
        <v>28</v>
      </c>
      <c r="B34" s="165" t="s">
        <v>30</v>
      </c>
      <c r="C34" s="163" t="s">
        <v>11</v>
      </c>
      <c r="D34" s="163"/>
      <c r="E34" s="163"/>
      <c r="F34" s="163" t="s">
        <v>189</v>
      </c>
      <c r="G34" s="163"/>
      <c r="H34" s="163"/>
    </row>
    <row r="35" spans="1:13" x14ac:dyDescent="0.3">
      <c r="A35" s="165" t="s">
        <v>27</v>
      </c>
      <c r="B35" s="165" t="s">
        <v>30</v>
      </c>
      <c r="C35" s="163" t="s">
        <v>11</v>
      </c>
      <c r="D35" s="163"/>
      <c r="E35" s="163"/>
      <c r="F35" s="163" t="s">
        <v>210</v>
      </c>
      <c r="G35" s="163"/>
      <c r="H35" s="163"/>
    </row>
    <row r="36" spans="1:13" x14ac:dyDescent="0.3">
      <c r="A36" s="89" t="s">
        <v>32</v>
      </c>
      <c r="B36" s="89"/>
      <c r="C36" s="89"/>
      <c r="D36" s="89"/>
      <c r="E36" s="89"/>
      <c r="F36" s="89"/>
      <c r="G36" s="89"/>
      <c r="H36" s="89"/>
    </row>
    <row r="37" spans="1:13" ht="15.75" customHeight="1" x14ac:dyDescent="0.3">
      <c r="A37" s="156" t="s">
        <v>177</v>
      </c>
      <c r="B37" s="156"/>
      <c r="C37" s="89" t="s">
        <v>228</v>
      </c>
      <c r="D37" s="89"/>
      <c r="E37" s="89"/>
      <c r="F37" s="89"/>
      <c r="G37" s="89"/>
      <c r="H37" s="89"/>
    </row>
    <row r="38" spans="1:13" x14ac:dyDescent="0.3">
      <c r="A38" s="156" t="s">
        <v>173</v>
      </c>
      <c r="B38" s="156"/>
      <c r="C38" s="164" t="s">
        <v>196</v>
      </c>
      <c r="D38" s="131"/>
      <c r="E38" s="131"/>
      <c r="F38" s="131"/>
      <c r="G38" s="131"/>
      <c r="H38" s="131"/>
    </row>
    <row r="39" spans="1:13" x14ac:dyDescent="0.3">
      <c r="A39" s="156" t="s">
        <v>35</v>
      </c>
      <c r="B39" s="156"/>
      <c r="C39" s="156"/>
      <c r="D39" s="156"/>
      <c r="E39" s="156"/>
      <c r="F39" s="156"/>
      <c r="G39" s="156"/>
      <c r="H39" s="156"/>
    </row>
    <row r="40" spans="1:13" x14ac:dyDescent="0.3">
      <c r="A40" s="89" t="s">
        <v>36</v>
      </c>
      <c r="B40" s="89"/>
      <c r="C40" s="89"/>
      <c r="D40" s="89"/>
      <c r="E40" s="120">
        <v>1377.41</v>
      </c>
      <c r="F40" s="120"/>
      <c r="G40" s="120"/>
      <c r="H40" s="120"/>
      <c r="J40" s="120">
        <v>1377.41</v>
      </c>
      <c r="K40" s="120"/>
      <c r="L40" s="120"/>
      <c r="M40" s="120"/>
    </row>
    <row r="41" spans="1:13" x14ac:dyDescent="0.3">
      <c r="A41" s="89" t="s">
        <v>37</v>
      </c>
      <c r="B41" s="89"/>
      <c r="C41" s="89"/>
      <c r="D41" s="89"/>
      <c r="E41" s="182">
        <v>4</v>
      </c>
      <c r="F41" s="182"/>
      <c r="G41" s="182"/>
      <c r="H41" s="182"/>
      <c r="J41" s="182">
        <v>4</v>
      </c>
      <c r="K41" s="182"/>
      <c r="L41" s="182"/>
      <c r="M41" s="182"/>
    </row>
    <row r="42" spans="1:13" x14ac:dyDescent="0.3">
      <c r="A42" s="89" t="s">
        <v>38</v>
      </c>
      <c r="B42" s="89"/>
      <c r="C42" s="89"/>
      <c r="D42" s="89"/>
      <c r="E42" s="182">
        <f>E44/E40-E41</f>
        <v>1.4128908603828929</v>
      </c>
      <c r="F42" s="182"/>
      <c r="G42" s="182"/>
      <c r="H42" s="182"/>
      <c r="J42" s="182">
        <f>J44/J40-J41</f>
        <v>3.615481229263473E-3</v>
      </c>
      <c r="K42" s="182"/>
      <c r="L42" s="182"/>
      <c r="M42" s="182"/>
    </row>
    <row r="43" spans="1:13" x14ac:dyDescent="0.3">
      <c r="A43" s="89" t="s">
        <v>39</v>
      </c>
      <c r="B43" s="89"/>
      <c r="C43" s="89"/>
      <c r="D43" s="89"/>
      <c r="E43" s="182">
        <f>E41+E42</f>
        <v>5.4128908603828929</v>
      </c>
      <c r="F43" s="182"/>
      <c r="G43" s="182"/>
      <c r="H43" s="182"/>
      <c r="J43" s="182">
        <f>J41+J42</f>
        <v>4.0036154812292635</v>
      </c>
      <c r="K43" s="182"/>
      <c r="L43" s="182"/>
      <c r="M43" s="182"/>
    </row>
    <row r="44" spans="1:13" x14ac:dyDescent="0.3">
      <c r="A44" s="89" t="s">
        <v>94</v>
      </c>
      <c r="B44" s="89"/>
      <c r="C44" s="89"/>
      <c r="D44" s="89"/>
      <c r="E44" s="182">
        <f>7455.77</f>
        <v>7455.77</v>
      </c>
      <c r="F44" s="182"/>
      <c r="G44" s="182"/>
      <c r="H44" s="182"/>
      <c r="J44" s="183">
        <v>5514.62</v>
      </c>
      <c r="K44" s="183"/>
      <c r="L44" s="183"/>
      <c r="M44" s="183"/>
    </row>
    <row r="45" spans="1:13" x14ac:dyDescent="0.3">
      <c r="A45" s="121" t="s">
        <v>40</v>
      </c>
      <c r="B45" s="121"/>
      <c r="C45" s="121"/>
      <c r="D45" s="121"/>
      <c r="E45" s="121" t="s">
        <v>243</v>
      </c>
      <c r="F45" s="121"/>
      <c r="G45" s="121"/>
      <c r="H45" s="121"/>
      <c r="J45" s="21" t="s">
        <v>195</v>
      </c>
    </row>
    <row r="46" spans="1:13" x14ac:dyDescent="0.3">
      <c r="A46" s="156" t="s">
        <v>41</v>
      </c>
      <c r="B46" s="156"/>
      <c r="C46" s="156"/>
      <c r="D46" s="156"/>
      <c r="E46" s="156"/>
      <c r="F46" s="156"/>
      <c r="G46" s="156"/>
      <c r="H46" s="156"/>
    </row>
    <row r="47" spans="1:13" ht="33.75" customHeight="1" x14ac:dyDescent="0.3">
      <c r="A47" s="136" t="s">
        <v>160</v>
      </c>
      <c r="B47" s="138"/>
      <c r="C47" s="160" t="s">
        <v>197</v>
      </c>
      <c r="D47" s="161"/>
      <c r="E47" s="161"/>
      <c r="F47" s="161"/>
      <c r="G47" s="161"/>
      <c r="H47" s="162"/>
    </row>
    <row r="48" spans="1:13" ht="30" customHeight="1" x14ac:dyDescent="0.3">
      <c r="A48" s="136" t="s">
        <v>42</v>
      </c>
      <c r="B48" s="138"/>
      <c r="C48" s="136" t="s">
        <v>213</v>
      </c>
      <c r="D48" s="137"/>
      <c r="E48" s="138"/>
      <c r="F48" s="18" t="s">
        <v>43</v>
      </c>
      <c r="G48" s="154">
        <v>45506</v>
      </c>
      <c r="H48" s="138"/>
    </row>
    <row r="49" spans="1:14" ht="36" customHeight="1" x14ac:dyDescent="0.3">
      <c r="A49" s="136" t="s">
        <v>233</v>
      </c>
      <c r="B49" s="138"/>
      <c r="C49" s="136" t="str">
        <f>C48</f>
        <v>SRA/ENG/T/PVT/0120/20220208</v>
      </c>
      <c r="D49" s="137"/>
      <c r="E49" s="138"/>
      <c r="F49" s="18" t="s">
        <v>43</v>
      </c>
      <c r="G49" s="154">
        <f>G48</f>
        <v>45506</v>
      </c>
      <c r="H49" s="155"/>
    </row>
    <row r="50" spans="1:14" ht="36" hidden="1" customHeight="1" x14ac:dyDescent="0.3">
      <c r="A50" s="136" t="s">
        <v>238</v>
      </c>
      <c r="B50" s="138"/>
      <c r="C50" s="136" t="str">
        <f>C49</f>
        <v>SRA/ENG/T/PVT/0120/20220208</v>
      </c>
      <c r="D50" s="137"/>
      <c r="E50" s="138"/>
      <c r="F50" s="18" t="s">
        <v>43</v>
      </c>
      <c r="G50" s="154">
        <v>44816</v>
      </c>
      <c r="H50" s="155"/>
    </row>
    <row r="51" spans="1:14" s="23" customFormat="1" ht="15.75" customHeight="1" x14ac:dyDescent="0.3">
      <c r="A51" s="143" t="s">
        <v>164</v>
      </c>
      <c r="B51" s="144"/>
      <c r="C51" s="136" t="s">
        <v>212</v>
      </c>
      <c r="D51" s="137"/>
      <c r="E51" s="138"/>
      <c r="F51" s="18" t="s">
        <v>43</v>
      </c>
      <c r="G51" s="154">
        <v>45322</v>
      </c>
      <c r="H51" s="155"/>
    </row>
    <row r="52" spans="1:14" s="23" customFormat="1" ht="33" customHeight="1" x14ac:dyDescent="0.3">
      <c r="A52" s="145"/>
      <c r="B52" s="146"/>
      <c r="C52" s="136" t="s">
        <v>250</v>
      </c>
      <c r="D52" s="137"/>
      <c r="E52" s="137"/>
      <c r="F52" s="137"/>
      <c r="G52" s="137"/>
      <c r="H52" s="138"/>
    </row>
    <row r="53" spans="1:14" s="23" customFormat="1" ht="15.75" hidden="1" customHeight="1" x14ac:dyDescent="0.3">
      <c r="A53" s="143" t="s">
        <v>164</v>
      </c>
      <c r="B53" s="144"/>
      <c r="C53" s="136" t="s">
        <v>213</v>
      </c>
      <c r="D53" s="137"/>
      <c r="E53" s="138"/>
      <c r="F53" s="18" t="s">
        <v>43</v>
      </c>
      <c r="G53" s="154">
        <v>44830</v>
      </c>
      <c r="H53" s="155"/>
    </row>
    <row r="54" spans="1:14" s="23" customFormat="1" ht="18.75" hidden="1" customHeight="1" x14ac:dyDescent="0.3">
      <c r="A54" s="145"/>
      <c r="B54" s="146"/>
      <c r="C54" s="136" t="s">
        <v>214</v>
      </c>
      <c r="D54" s="137"/>
      <c r="E54" s="137"/>
      <c r="F54" s="137"/>
      <c r="G54" s="137"/>
      <c r="H54" s="138"/>
    </row>
    <row r="55" spans="1:14" s="23" customFormat="1" ht="15.75" customHeight="1" x14ac:dyDescent="0.3">
      <c r="A55" s="143" t="s">
        <v>245</v>
      </c>
      <c r="B55" s="144"/>
      <c r="C55" s="136" t="s">
        <v>248</v>
      </c>
      <c r="D55" s="137"/>
      <c r="E55" s="138"/>
      <c r="F55" s="18" t="s">
        <v>43</v>
      </c>
      <c r="G55" s="154">
        <v>44546</v>
      </c>
      <c r="H55" s="155"/>
    </row>
    <row r="56" spans="1:14" s="23" customFormat="1" x14ac:dyDescent="0.3">
      <c r="A56" s="145"/>
      <c r="B56" s="146"/>
      <c r="C56" s="136" t="s">
        <v>247</v>
      </c>
      <c r="D56" s="137"/>
      <c r="E56" s="137"/>
      <c r="F56" s="137"/>
      <c r="G56" s="137"/>
      <c r="H56" s="138"/>
    </row>
    <row r="57" spans="1:14" x14ac:dyDescent="0.3">
      <c r="A57" s="139" t="s">
        <v>44</v>
      </c>
      <c r="B57" s="140"/>
      <c r="C57" s="139" t="s">
        <v>108</v>
      </c>
      <c r="D57" s="141"/>
      <c r="E57" s="140"/>
      <c r="F57" s="46" t="s">
        <v>43</v>
      </c>
      <c r="G57" s="190" t="s">
        <v>30</v>
      </c>
      <c r="H57" s="191"/>
    </row>
    <row r="58" spans="1:14" x14ac:dyDescent="0.3">
      <c r="A58" s="142" t="s">
        <v>46</v>
      </c>
      <c r="B58" s="142"/>
      <c r="C58" s="142"/>
      <c r="D58" s="142"/>
      <c r="E58" s="142"/>
      <c r="F58" s="142"/>
      <c r="G58" s="142"/>
      <c r="H58" s="142"/>
    </row>
    <row r="59" spans="1:14" x14ac:dyDescent="0.3">
      <c r="A59" s="125" t="s">
        <v>93</v>
      </c>
      <c r="B59" s="125"/>
      <c r="C59" s="125"/>
      <c r="D59" s="89">
        <f>E44</f>
        <v>7455.77</v>
      </c>
      <c r="E59" s="89"/>
      <c r="F59" s="89"/>
      <c r="G59" s="89"/>
      <c r="H59" s="89"/>
    </row>
    <row r="60" spans="1:14" x14ac:dyDescent="0.3">
      <c r="A60" s="131" t="s">
        <v>47</v>
      </c>
      <c r="B60" s="121"/>
      <c r="C60" s="121"/>
      <c r="D60" s="121" t="s">
        <v>241</v>
      </c>
      <c r="E60" s="121"/>
      <c r="F60" s="121"/>
      <c r="G60" s="121"/>
      <c r="H60" s="121"/>
      <c r="I60" s="24"/>
      <c r="J60" s="121" t="s">
        <v>209</v>
      </c>
      <c r="K60" s="121"/>
      <c r="L60" s="121"/>
      <c r="M60" s="121"/>
      <c r="N60" s="121"/>
    </row>
    <row r="61" spans="1:14" ht="15.75" customHeight="1" x14ac:dyDescent="0.3">
      <c r="A61" s="147" t="s">
        <v>48</v>
      </c>
      <c r="B61" s="148"/>
      <c r="C61" s="159"/>
      <c r="D61" s="157" t="s">
        <v>239</v>
      </c>
      <c r="E61" s="158"/>
      <c r="F61" s="158"/>
      <c r="G61" s="158"/>
      <c r="H61" s="158"/>
    </row>
    <row r="62" spans="1:14" ht="15.75" customHeight="1" x14ac:dyDescent="0.3">
      <c r="A62" s="147" t="s">
        <v>91</v>
      </c>
      <c r="B62" s="148"/>
      <c r="C62" s="148"/>
      <c r="D62" s="151" t="s">
        <v>231</v>
      </c>
      <c r="E62" s="152"/>
      <c r="F62" s="152"/>
      <c r="G62" s="152"/>
      <c r="H62" s="153"/>
    </row>
    <row r="63" spans="1:14" ht="15.75" hidden="1" customHeight="1" x14ac:dyDescent="0.3">
      <c r="A63" s="149"/>
      <c r="B63" s="150"/>
      <c r="C63" s="150"/>
      <c r="D63" s="133" t="s">
        <v>232</v>
      </c>
      <c r="E63" s="134"/>
      <c r="F63" s="134"/>
      <c r="G63" s="134"/>
      <c r="H63" s="135"/>
    </row>
    <row r="64" spans="1:14" ht="15.75" customHeight="1" x14ac:dyDescent="0.3">
      <c r="A64" s="89" t="s">
        <v>45</v>
      </c>
      <c r="B64" s="89"/>
      <c r="C64" s="89"/>
      <c r="D64" s="125" t="s">
        <v>198</v>
      </c>
      <c r="E64" s="125"/>
      <c r="F64" s="125"/>
      <c r="G64" s="125"/>
      <c r="H64" s="125"/>
      <c r="J64" s="25"/>
      <c r="K64" s="24"/>
      <c r="N64" s="24"/>
    </row>
    <row r="65" spans="1:14" ht="15.75" customHeight="1" x14ac:dyDescent="0.3">
      <c r="A65" s="89" t="s">
        <v>89</v>
      </c>
      <c r="B65" s="89"/>
      <c r="C65" s="89"/>
      <c r="D65" s="189" t="str">
        <f>(IF(G57="NA","60 Years After Completion",IF(G57&lt;&gt;"NA",""&amp;60-ROUNDDOWN((E3-G57)/360,0)&amp;" Years"," ")))</f>
        <v>60 Years After Completion</v>
      </c>
      <c r="E65" s="189"/>
      <c r="F65" s="189"/>
      <c r="G65" s="189"/>
      <c r="H65" s="189"/>
      <c r="N65" s="24"/>
    </row>
    <row r="66" spans="1:14" ht="15.75" customHeight="1" x14ac:dyDescent="0.3">
      <c r="A66" s="89" t="s">
        <v>90</v>
      </c>
      <c r="B66" s="89"/>
      <c r="C66" s="89"/>
      <c r="D66" s="125" t="s">
        <v>24</v>
      </c>
      <c r="E66" s="125"/>
      <c r="F66" s="125"/>
      <c r="G66" s="125"/>
      <c r="H66" s="125"/>
      <c r="J66" s="26"/>
      <c r="K66" s="26"/>
    </row>
    <row r="67" spans="1:14" ht="65.25" customHeight="1" x14ac:dyDescent="0.3">
      <c r="A67" s="89" t="s">
        <v>76</v>
      </c>
      <c r="B67" s="89"/>
      <c r="C67" s="89"/>
      <c r="D67" s="131" t="s">
        <v>208</v>
      </c>
      <c r="E67" s="125"/>
      <c r="F67" s="125"/>
      <c r="G67" s="125"/>
      <c r="H67" s="125"/>
    </row>
    <row r="68" spans="1:14" x14ac:dyDescent="0.3">
      <c r="A68" s="125" t="s">
        <v>156</v>
      </c>
      <c r="B68" s="125"/>
      <c r="C68" s="125"/>
      <c r="D68" s="125" t="s">
        <v>30</v>
      </c>
      <c r="E68" s="125"/>
      <c r="F68" s="125"/>
      <c r="G68" s="125"/>
      <c r="H68" s="125"/>
      <c r="I68" s="27"/>
      <c r="J68" s="27"/>
      <c r="K68" s="27"/>
      <c r="L68" s="27"/>
      <c r="M68" s="27"/>
      <c r="N68" s="27"/>
    </row>
    <row r="69" spans="1:14" ht="15.75" customHeight="1" x14ac:dyDescent="0.3">
      <c r="A69" s="89" t="s">
        <v>88</v>
      </c>
      <c r="B69" s="89"/>
      <c r="C69" s="89"/>
      <c r="D69" s="131" t="str">
        <f ca="1">(IF(G75&gt;95%,"Nothing",IF(G75&gt;0%,"Cement, Aggregate, Steel, etc",IF(G75=0%,"Work not yet Started"))))</f>
        <v>Cement, Aggregate, Steel, etc</v>
      </c>
      <c r="E69" s="131"/>
      <c r="F69" s="131"/>
      <c r="G69" s="131"/>
      <c r="H69" s="131"/>
      <c r="J69" s="26"/>
    </row>
    <row r="70" spans="1:14" ht="33.75" customHeight="1" thickBot="1" x14ac:dyDescent="0.35">
      <c r="A70" s="125" t="s">
        <v>121</v>
      </c>
      <c r="B70" s="125"/>
      <c r="C70" s="125"/>
      <c r="D70" s="131" t="str">
        <f ca="1">(IF(D69="Nothing","Yes",IF(D69="Cement, Aggregate, Steel, etc","Under Construction",IF(D69="Work not yet Started","Work not yet Started"))))</f>
        <v>Under Construction</v>
      </c>
      <c r="E70" s="131"/>
      <c r="F70" s="131" t="str">
        <f ca="1">(IF(D69="Nothing","Yes",IF(D69="Cement, Aggregate, Steel, etc","Under Construction",IF(D69="Work not yet Started","Work not yet Started"))))</f>
        <v>Under Construction</v>
      </c>
      <c r="G70" s="131"/>
      <c r="H70" s="131"/>
    </row>
    <row r="71" spans="1:14" ht="15.75" customHeight="1" x14ac:dyDescent="0.3">
      <c r="A71" s="123" t="s">
        <v>146</v>
      </c>
      <c r="B71" s="123"/>
      <c r="C71" s="124" t="str">
        <f>D62</f>
        <v>Sale Building No.1 = Gr + 1st to 21st Floor</v>
      </c>
      <c r="D71" s="124"/>
      <c r="E71" s="124"/>
      <c r="F71" s="124"/>
      <c r="G71" s="124"/>
      <c r="H71" s="124"/>
      <c r="I71" s="58" t="str">
        <f ca="1">IF(D84=100%,"All work Completed. Possession granted to the Building.",IF(D83=100%,"All work Completed, Waiting for OC",I72&amp;""&amp;I73&amp;""&amp;J72&amp;""&amp;J71&amp;" "&amp;J73))</f>
        <v>Excavation, Plinth Completed, RCC upto 20 Slab, Brickwork upto 19 Floor, Internal Plaster upto 14.25 Floor, External Plaster upto 13.3 Floor Completed</v>
      </c>
      <c r="J71" s="49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RCC upto 20 Slab, Brickwork upto 19 Floor, Internal Plaster upto 14.25 Floor, External Plaster upto 13.3 Floor</v>
      </c>
    </row>
    <row r="72" spans="1:14" x14ac:dyDescent="0.3">
      <c r="A72" s="52" t="s">
        <v>148</v>
      </c>
      <c r="B72" s="52">
        <f>IF(AND(ISNUMBER(SEARCH("1B",C71))),1,IF(AND(ISNUMBER(SEARCH("2B",C71))),2,IF(AND(ISNUMBER(SEARCH("3B",C71))),3,IF(AND(ISNUMBER(SEARCH("4B",C71))),4,IF(ISNUMBER(SEARCH("5B",C71)),5,0)))))</f>
        <v>0</v>
      </c>
      <c r="C72" s="52" t="s">
        <v>73</v>
      </c>
      <c r="D72" s="52">
        <v>1</v>
      </c>
      <c r="E72" s="52" t="s">
        <v>72</v>
      </c>
      <c r="F72" s="52">
        <v>0</v>
      </c>
      <c r="G72" s="52" t="s">
        <v>82</v>
      </c>
      <c r="H72" s="52">
        <f ca="1">--TRIM(RIGHT(SUBSTITUTE(LEFT(C71,_xlfn.AGGREGATE(16,6,FIND({0,1,2,3,4,5,6,7,8,9},C71,ROW(INDIRECT("1:"&amp;LEN(C71)))),1))," ",REPT(" ",LEN(C71))),LEN(C71)))</f>
        <v>21</v>
      </c>
      <c r="I72" s="59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</v>
      </c>
      <c r="J72" s="51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1.5" customHeight="1" x14ac:dyDescent="0.3">
      <c r="A73" s="122" t="s">
        <v>92</v>
      </c>
      <c r="B73" s="122"/>
      <c r="C73" s="124" t="str">
        <f ca="1">I71</f>
        <v>Excavation, Plinth Completed, RCC upto 20 Slab, Brickwork upto 19 Floor, Internal Plaster upto 14.25 Floor, External Plaster upto 13.3 Floor Completed</v>
      </c>
      <c r="D73" s="124"/>
      <c r="E73" s="124"/>
      <c r="F73" s="124"/>
      <c r="G73" s="124"/>
      <c r="H73" s="124"/>
      <c r="I73" s="59" t="str">
        <f ca="1">IF(I72&lt;&gt;""," Completed","")</f>
        <v xml:space="preserve"> Completed</v>
      </c>
      <c r="J73" s="51" t="str">
        <f ca="1">IF(J71&lt;&gt;"","Completed","")</f>
        <v>Completed</v>
      </c>
    </row>
    <row r="74" spans="1:14" ht="15.75" customHeight="1" x14ac:dyDescent="0.3">
      <c r="A74" s="86" t="s">
        <v>49</v>
      </c>
      <c r="B74" s="87"/>
      <c r="C74" s="44" t="s">
        <v>145</v>
      </c>
      <c r="D74" s="44" t="s">
        <v>85</v>
      </c>
      <c r="E74" s="87" t="s">
        <v>87</v>
      </c>
      <c r="F74" s="87"/>
      <c r="G74" s="87" t="s">
        <v>86</v>
      </c>
      <c r="H74" s="132"/>
      <c r="I74" s="14" t="s">
        <v>147</v>
      </c>
      <c r="J74" s="28">
        <f ca="1">H72*25%</f>
        <v>5.25</v>
      </c>
    </row>
    <row r="75" spans="1:14" x14ac:dyDescent="0.3">
      <c r="A75" s="86" t="s">
        <v>134</v>
      </c>
      <c r="B75" s="87"/>
      <c r="C75" s="44">
        <f ca="1">J76</f>
        <v>21</v>
      </c>
      <c r="D75" s="19">
        <f ca="1">((100/H72)*C75)/100</f>
        <v>1</v>
      </c>
      <c r="E75" s="80">
        <f ca="1">(((C76/H72*10)+(40/(D72+F72+H72)*C77)+(7.5/(H72)*C78)+(7.5/(H72)*C79)+(10/H72*C80)+(10/H72*C81)+(5/H72*C82)+(5/H72*C83)+(5/H72*C84))/100)</f>
        <v>0.64571969696969689</v>
      </c>
      <c r="F75" s="126"/>
      <c r="G75" s="80">
        <f ca="1">((((C75/H72)*20)+((C76/H72)*25)+(30/(H72+F72+D72)*C77)+(5/H72*C78)+(5/H72*C79)+(5/H72*C80)+(5/H72*C81)+(0/H72*C82)+(0/H72*C83)+(5/H72*C84))/100)</f>
        <v>0.833560606060606</v>
      </c>
      <c r="H75" s="81"/>
      <c r="I75" s="14" t="s">
        <v>103</v>
      </c>
      <c r="J75" s="29">
        <f ca="1">H72*50%</f>
        <v>10.5</v>
      </c>
    </row>
    <row r="76" spans="1:14" x14ac:dyDescent="0.3">
      <c r="A76" s="86" t="s">
        <v>50</v>
      </c>
      <c r="B76" s="87"/>
      <c r="C76" s="53">
        <v>21</v>
      </c>
      <c r="D76" s="19">
        <f ca="1">((100/H72)*C76)/100</f>
        <v>1</v>
      </c>
      <c r="E76" s="82"/>
      <c r="F76" s="127"/>
      <c r="G76" s="82"/>
      <c r="H76" s="83"/>
      <c r="I76" s="14" t="s">
        <v>104</v>
      </c>
      <c r="J76" s="29">
        <f ca="1">H72</f>
        <v>21</v>
      </c>
    </row>
    <row r="77" spans="1:14" ht="15.75" customHeight="1" x14ac:dyDescent="0.3">
      <c r="A77" s="86" t="s">
        <v>135</v>
      </c>
      <c r="B77" s="87"/>
      <c r="C77" s="44">
        <v>20</v>
      </c>
      <c r="D77" s="19">
        <f ca="1">((100/(D72+F72+H72))*C77)/100</f>
        <v>0.90909090909090917</v>
      </c>
      <c r="E77" s="82"/>
      <c r="F77" s="127"/>
      <c r="G77" s="82"/>
      <c r="H77" s="83"/>
      <c r="I77" s="14" t="s">
        <v>105</v>
      </c>
      <c r="J77" s="30">
        <f ca="1">(IF(B72&gt;1,(H72/(B72+2)),H72/4))</f>
        <v>5.25</v>
      </c>
    </row>
    <row r="78" spans="1:14" ht="15.75" customHeight="1" x14ac:dyDescent="0.3">
      <c r="A78" s="86" t="s">
        <v>142</v>
      </c>
      <c r="B78" s="87" t="s">
        <v>136</v>
      </c>
      <c r="C78" s="44">
        <f>C77-1</f>
        <v>19</v>
      </c>
      <c r="D78" s="19">
        <f ca="1">((100/H72)*C78)/100</f>
        <v>0.90476190476190477</v>
      </c>
      <c r="E78" s="82"/>
      <c r="F78" s="127"/>
      <c r="G78" s="82"/>
      <c r="H78" s="83"/>
      <c r="I78" s="14" t="s">
        <v>106</v>
      </c>
      <c r="J78" s="30">
        <f ca="1">(IF(B72&gt;1,(H72/(B72+2)+J77),H72/4+J77))</f>
        <v>10.5</v>
      </c>
    </row>
    <row r="79" spans="1:14" ht="15.75" customHeight="1" x14ac:dyDescent="0.3">
      <c r="A79" s="86" t="s">
        <v>143</v>
      </c>
      <c r="B79" s="87" t="s">
        <v>136</v>
      </c>
      <c r="C79" s="53">
        <f>C78*0.75</f>
        <v>14.25</v>
      </c>
      <c r="D79" s="19">
        <f ca="1">((100/H72)*C79)/100</f>
        <v>0.6785714285714286</v>
      </c>
      <c r="E79" s="82"/>
      <c r="F79" s="127"/>
      <c r="G79" s="82"/>
      <c r="H79" s="83"/>
      <c r="I79" s="14" t="s">
        <v>154</v>
      </c>
      <c r="J79" s="30">
        <f>(IF(B72&gt;1,(H72/(B72+2)+J78),0))</f>
        <v>0</v>
      </c>
    </row>
    <row r="80" spans="1:14" ht="15" customHeight="1" x14ac:dyDescent="0.3">
      <c r="A80" s="86" t="s">
        <v>141</v>
      </c>
      <c r="B80" s="87" t="s">
        <v>138</v>
      </c>
      <c r="C80" s="53">
        <f>C78*0.7</f>
        <v>13.299999999999999</v>
      </c>
      <c r="D80" s="19">
        <f ca="1">((100/(H72))*C80)/100</f>
        <v>0.6333333333333333</v>
      </c>
      <c r="E80" s="82"/>
      <c r="F80" s="127"/>
      <c r="G80" s="82"/>
      <c r="H80" s="83"/>
      <c r="I80" s="14" t="s">
        <v>149</v>
      </c>
      <c r="J80" s="30">
        <f>(IF(B72&gt;2,(H72/(B72+2)+J79),0))</f>
        <v>0</v>
      </c>
    </row>
    <row r="81" spans="1:10" ht="15.75" customHeight="1" x14ac:dyDescent="0.3">
      <c r="A81" s="86" t="s">
        <v>137</v>
      </c>
      <c r="B81" s="87" t="s">
        <v>137</v>
      </c>
      <c r="C81" s="44">
        <v>0</v>
      </c>
      <c r="D81" s="19">
        <f ca="1">((100/H72)*C81)/100</f>
        <v>0</v>
      </c>
      <c r="E81" s="82"/>
      <c r="F81" s="127"/>
      <c r="G81" s="82"/>
      <c r="H81" s="83"/>
      <c r="I81" s="14" t="s">
        <v>150</v>
      </c>
      <c r="J81" s="31">
        <f>(IF(B72&gt;3,(H72/(B72+2)+J80),0))</f>
        <v>0</v>
      </c>
    </row>
    <row r="82" spans="1:10" ht="15.75" customHeight="1" x14ac:dyDescent="0.3">
      <c r="A82" s="86" t="s">
        <v>144</v>
      </c>
      <c r="B82" s="87"/>
      <c r="C82" s="44">
        <v>0</v>
      </c>
      <c r="D82" s="19">
        <f ca="1">((100/H72)*C82)/100</f>
        <v>0</v>
      </c>
      <c r="E82" s="82"/>
      <c r="F82" s="127"/>
      <c r="G82" s="82"/>
      <c r="H82" s="83"/>
      <c r="I82" s="14" t="s">
        <v>151</v>
      </c>
      <c r="J82" s="30">
        <f>(IF(B72&gt;4,(H72/(B72+2)+J81),0))</f>
        <v>0</v>
      </c>
    </row>
    <row r="83" spans="1:10" ht="15.75" customHeight="1" x14ac:dyDescent="0.3">
      <c r="A83" s="86" t="s">
        <v>139</v>
      </c>
      <c r="B83" s="87" t="s">
        <v>139</v>
      </c>
      <c r="C83" s="44">
        <v>0</v>
      </c>
      <c r="D83" s="19">
        <f ca="1">((100/(H72))*C83)/100</f>
        <v>0</v>
      </c>
      <c r="E83" s="82"/>
      <c r="F83" s="127"/>
      <c r="G83" s="82"/>
      <c r="H83" s="83"/>
      <c r="I83" s="14" t="s">
        <v>155</v>
      </c>
      <c r="J83" s="30">
        <f ca="1">(IF(B72=1,(H72/(B72+3)+J78),IF(B72=0,(H72/4+J78),IF(B72&gt;1,0))))</f>
        <v>15.75</v>
      </c>
    </row>
    <row r="84" spans="1:10" ht="16.2" thickBot="1" x14ac:dyDescent="0.35">
      <c r="A84" s="129" t="s">
        <v>140</v>
      </c>
      <c r="B84" s="130"/>
      <c r="C84" s="45">
        <v>0</v>
      </c>
      <c r="D84" s="20">
        <f ca="1">((100/(H72))*C84)/100</f>
        <v>0</v>
      </c>
      <c r="E84" s="84"/>
      <c r="F84" s="128"/>
      <c r="G84" s="84"/>
      <c r="H84" s="85"/>
      <c r="I84" s="15" t="s">
        <v>107</v>
      </c>
      <c r="J84" s="32">
        <f ca="1">(IF(B72&gt;1.5,(H72/(B72+2)+J78+MAX(0,J79-J78)+MAX(0,J80-J79)+MAX(0,J81-J80)+MAX(0,J82-J81)+MAX(0,J83-J82)),IF(B72=1,(H72/(B72+3)+J83),IF(B72=0,H72/4+J83))))</f>
        <v>21</v>
      </c>
    </row>
    <row r="85" spans="1:10" ht="15.75" hidden="1" customHeight="1" x14ac:dyDescent="0.3">
      <c r="A85" s="184" t="s">
        <v>146</v>
      </c>
      <c r="B85" s="185"/>
      <c r="C85" s="186" t="str">
        <f>D63</f>
        <v>Sale Building No.2 = Gr + 1st to 21st Floor</v>
      </c>
      <c r="D85" s="187"/>
      <c r="E85" s="187"/>
      <c r="F85" s="187"/>
      <c r="G85" s="187"/>
      <c r="H85" s="188"/>
      <c r="I85" s="48" t="str">
        <f ca="1">IF(D98=100%,"All work Completed. Possession granted to the Building.",IF(D97=100%,"All work Completed, Waiting for OC",I86&amp;""&amp;I87&amp;""&amp;J86&amp;""&amp;J85&amp;" "&amp;J87))</f>
        <v xml:space="preserve">Excavation, Plinth Completed </v>
      </c>
      <c r="J85" s="49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/>
      </c>
    </row>
    <row r="86" spans="1:10" hidden="1" x14ac:dyDescent="0.3">
      <c r="A86" s="16" t="s">
        <v>148</v>
      </c>
      <c r="B86" s="52">
        <f>IF(AND(ISNUMBER(SEARCH("1B",C85))),1,IF(AND(ISNUMBER(SEARCH("2B",C85))),2,IF(AND(ISNUMBER(SEARCH("3B",C85))),3,IF(AND(ISNUMBER(SEARCH("4B",C85))),4,IF(ISNUMBER(SEARCH("5B",C85)),5,0)))))</f>
        <v>0</v>
      </c>
      <c r="C86" s="52" t="s">
        <v>73</v>
      </c>
      <c r="D86" s="52">
        <v>1</v>
      </c>
      <c r="E86" s="52" t="s">
        <v>72</v>
      </c>
      <c r="F86" s="52">
        <v>0</v>
      </c>
      <c r="G86" s="52" t="s">
        <v>82</v>
      </c>
      <c r="H86" s="17">
        <f ca="1">--TRIM(RIGHT(SUBSTITUTE(LEFT(C85,_xlfn.AGGREGATE(16,6,FIND({0,1,2,3,4,5,6,7,8,9},C85,ROW(INDIRECT("1:"&amp;LEN(C85)))),1))," ",REPT(" ",LEN(C85))),LEN(C85)))</f>
        <v>21</v>
      </c>
      <c r="I86" s="50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51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16.5" hidden="1" customHeight="1" x14ac:dyDescent="0.3">
      <c r="A87" s="192" t="s">
        <v>92</v>
      </c>
      <c r="B87" s="122"/>
      <c r="C87" s="124" t="str">
        <f ca="1">(IF($G$57="NA",I85,"All work Completed. OC Received."))</f>
        <v xml:space="preserve">Excavation, Plinth Completed </v>
      </c>
      <c r="D87" s="124"/>
      <c r="E87" s="124"/>
      <c r="F87" s="124"/>
      <c r="G87" s="124"/>
      <c r="H87" s="193"/>
      <c r="I87" s="50" t="str">
        <f ca="1">IF(I86&lt;&gt;""," Completed","")</f>
        <v xml:space="preserve"> Completed</v>
      </c>
      <c r="J87" s="51" t="str">
        <f ca="1">IF(J85&lt;&gt;"","Completed","")</f>
        <v/>
      </c>
    </row>
    <row r="88" spans="1:10" ht="15.75" hidden="1" customHeight="1" x14ac:dyDescent="0.3">
      <c r="A88" s="86" t="s">
        <v>49</v>
      </c>
      <c r="B88" s="87"/>
      <c r="C88" s="44" t="s">
        <v>145</v>
      </c>
      <c r="D88" s="44" t="s">
        <v>85</v>
      </c>
      <c r="E88" s="87" t="s">
        <v>87</v>
      </c>
      <c r="F88" s="87"/>
      <c r="G88" s="87" t="s">
        <v>86</v>
      </c>
      <c r="H88" s="132"/>
      <c r="I88" s="14" t="s">
        <v>147</v>
      </c>
      <c r="J88" s="28">
        <f ca="1">H86*25%</f>
        <v>5.25</v>
      </c>
    </row>
    <row r="89" spans="1:10" hidden="1" x14ac:dyDescent="0.3">
      <c r="A89" s="86" t="s">
        <v>134</v>
      </c>
      <c r="B89" s="87"/>
      <c r="C89" s="44">
        <v>21</v>
      </c>
      <c r="D89" s="19">
        <f ca="1">((100/H86)*C89)/100</f>
        <v>1</v>
      </c>
      <c r="E89" s="80">
        <f ca="1">(((C90/H86*10)+(40/(D86+F86+H86)*C91)+(7.5/(H86)*C92)+(7.5/(H86)*C93)+(10/H86*C94)+(10/H86*C95)+(5/H86*C96)+(5/H86*C97)+(5/H86*C98))/100)</f>
        <v>0.1</v>
      </c>
      <c r="F89" s="126"/>
      <c r="G89" s="80">
        <f ca="1">((((C89/H86)*20)+((C90/H86)*25)+(30/(H86+F86+D86)*C91)+(5/H86*C92)+(5/H86*C93)+(5/H86*C94)+(5/H86*C95)+(0/H86*C96)+(0/H86*C97)+(5/H86*C98))/100)</f>
        <v>0.45</v>
      </c>
      <c r="H89" s="81"/>
      <c r="I89" s="14" t="s">
        <v>103</v>
      </c>
      <c r="J89" s="29">
        <f ca="1">H86*50%</f>
        <v>10.5</v>
      </c>
    </row>
    <row r="90" spans="1:10" hidden="1" x14ac:dyDescent="0.3">
      <c r="A90" s="86" t="s">
        <v>50</v>
      </c>
      <c r="B90" s="87"/>
      <c r="C90" s="53">
        <v>21</v>
      </c>
      <c r="D90" s="19">
        <f ca="1">((100/H86)*C90)/100</f>
        <v>1</v>
      </c>
      <c r="E90" s="82"/>
      <c r="F90" s="127"/>
      <c r="G90" s="82"/>
      <c r="H90" s="83"/>
      <c r="I90" s="14" t="s">
        <v>104</v>
      </c>
      <c r="J90" s="29">
        <f ca="1">H86</f>
        <v>21</v>
      </c>
    </row>
    <row r="91" spans="1:10" ht="15.75" hidden="1" customHeight="1" x14ac:dyDescent="0.3">
      <c r="A91" s="86" t="s">
        <v>135</v>
      </c>
      <c r="B91" s="87"/>
      <c r="C91" s="44">
        <v>0</v>
      </c>
      <c r="D91" s="19">
        <f ca="1">((100/(D86+F86+H86))*C91)/100</f>
        <v>0</v>
      </c>
      <c r="E91" s="82"/>
      <c r="F91" s="127"/>
      <c r="G91" s="82"/>
      <c r="H91" s="83"/>
      <c r="I91" s="14" t="s">
        <v>105</v>
      </c>
      <c r="J91" s="30">
        <f ca="1">(IF(B86&gt;1,(H86/(B86+2)),H86/4))</f>
        <v>5.25</v>
      </c>
    </row>
    <row r="92" spans="1:10" ht="15.75" hidden="1" customHeight="1" x14ac:dyDescent="0.3">
      <c r="A92" s="86" t="s">
        <v>142</v>
      </c>
      <c r="B92" s="87" t="s">
        <v>136</v>
      </c>
      <c r="C92" s="44">
        <v>0</v>
      </c>
      <c r="D92" s="19">
        <f ca="1">((100/H86)*C92)/100</f>
        <v>0</v>
      </c>
      <c r="E92" s="82"/>
      <c r="F92" s="127"/>
      <c r="G92" s="82"/>
      <c r="H92" s="83"/>
      <c r="I92" s="14" t="s">
        <v>106</v>
      </c>
      <c r="J92" s="30">
        <f ca="1">(IF(B86&gt;1,(H86/(B86+2)+J91),H86/4+J91))</f>
        <v>10.5</v>
      </c>
    </row>
    <row r="93" spans="1:10" ht="15.75" hidden="1" customHeight="1" x14ac:dyDescent="0.3">
      <c r="A93" s="86" t="s">
        <v>143</v>
      </c>
      <c r="B93" s="87" t="s">
        <v>136</v>
      </c>
      <c r="C93" s="44">
        <v>0</v>
      </c>
      <c r="D93" s="19">
        <f ca="1">((100/H86)*C93)/100</f>
        <v>0</v>
      </c>
      <c r="E93" s="82"/>
      <c r="F93" s="127"/>
      <c r="G93" s="82"/>
      <c r="H93" s="83"/>
      <c r="I93" s="14" t="s">
        <v>154</v>
      </c>
      <c r="J93" s="30">
        <f>(IF(B86&gt;1,(H86/(B86+2)+J92),0))</f>
        <v>0</v>
      </c>
    </row>
    <row r="94" spans="1:10" ht="15" hidden="1" customHeight="1" x14ac:dyDescent="0.3">
      <c r="A94" s="86" t="s">
        <v>141</v>
      </c>
      <c r="B94" s="87" t="s">
        <v>138</v>
      </c>
      <c r="C94" s="44">
        <v>0</v>
      </c>
      <c r="D94" s="19">
        <f ca="1">((100/(H86))*C94)/100</f>
        <v>0</v>
      </c>
      <c r="E94" s="82"/>
      <c r="F94" s="127"/>
      <c r="G94" s="82"/>
      <c r="H94" s="83"/>
      <c r="I94" s="14" t="s">
        <v>149</v>
      </c>
      <c r="J94" s="30">
        <f>(IF(B86&gt;2,(H86/(B86+2)+J93),0))</f>
        <v>0</v>
      </c>
    </row>
    <row r="95" spans="1:10" ht="15.75" hidden="1" customHeight="1" x14ac:dyDescent="0.3">
      <c r="A95" s="86" t="s">
        <v>137</v>
      </c>
      <c r="B95" s="87" t="s">
        <v>137</v>
      </c>
      <c r="C95" s="44">
        <v>0</v>
      </c>
      <c r="D95" s="19">
        <f ca="1">((100/H86)*C95)/100</f>
        <v>0</v>
      </c>
      <c r="E95" s="82"/>
      <c r="F95" s="127"/>
      <c r="G95" s="82"/>
      <c r="H95" s="83"/>
      <c r="I95" s="14" t="s">
        <v>150</v>
      </c>
      <c r="J95" s="31">
        <f>(IF(B86&gt;3,(H86/(B86+2)+J94),0))</f>
        <v>0</v>
      </c>
    </row>
    <row r="96" spans="1:10" ht="15.75" hidden="1" customHeight="1" x14ac:dyDescent="0.3">
      <c r="A96" s="86" t="s">
        <v>144</v>
      </c>
      <c r="B96" s="87"/>
      <c r="C96" s="44">
        <v>0</v>
      </c>
      <c r="D96" s="19">
        <f ca="1">((100/H86)*C96)/100</f>
        <v>0</v>
      </c>
      <c r="E96" s="82"/>
      <c r="F96" s="127"/>
      <c r="G96" s="82"/>
      <c r="H96" s="83"/>
      <c r="I96" s="14" t="s">
        <v>151</v>
      </c>
      <c r="J96" s="30">
        <f>(IF(B86&gt;4,(H86/(B86+2)+J95),0))</f>
        <v>0</v>
      </c>
    </row>
    <row r="97" spans="1:13" ht="15.75" hidden="1" customHeight="1" x14ac:dyDescent="0.3">
      <c r="A97" s="86" t="s">
        <v>139</v>
      </c>
      <c r="B97" s="87" t="s">
        <v>139</v>
      </c>
      <c r="C97" s="44">
        <v>0</v>
      </c>
      <c r="D97" s="19">
        <f ca="1">((100/(H86))*C97)/100</f>
        <v>0</v>
      </c>
      <c r="E97" s="82"/>
      <c r="F97" s="127"/>
      <c r="G97" s="82"/>
      <c r="H97" s="83"/>
      <c r="I97" s="14" t="s">
        <v>155</v>
      </c>
      <c r="J97" s="30">
        <f ca="1">(IF(B86=1,(H86/(B86+3)+J92),IF(B86=0,(H86/4+J92),IF(B86&gt;1,0))))</f>
        <v>15.75</v>
      </c>
    </row>
    <row r="98" spans="1:13" ht="16.2" hidden="1" thickBot="1" x14ac:dyDescent="0.35">
      <c r="A98" s="129" t="s">
        <v>140</v>
      </c>
      <c r="B98" s="130"/>
      <c r="C98" s="45">
        <v>0</v>
      </c>
      <c r="D98" s="20">
        <f ca="1">((100/(H86))*C98)/100</f>
        <v>0</v>
      </c>
      <c r="E98" s="84"/>
      <c r="F98" s="128"/>
      <c r="G98" s="84"/>
      <c r="H98" s="85"/>
      <c r="I98" s="15" t="s">
        <v>107</v>
      </c>
      <c r="J98" s="32">
        <f ca="1">(IF(B86&gt;1.5,(H86/(B86+2)+J92+MAX(0,J93-J92)+MAX(0,J94-J93)+MAX(0,J95-J94)+MAX(0,J96-J95)+MAX(0,J97-J96)),IF(B86=1,(H86/(B86+3)+J97),IF(B86=0,H86/4+J97))))</f>
        <v>21</v>
      </c>
    </row>
    <row r="99" spans="1:13" x14ac:dyDescent="0.3">
      <c r="A99" s="194" t="s">
        <v>166</v>
      </c>
      <c r="B99" s="194"/>
      <c r="C99" s="194"/>
      <c r="D99" s="194"/>
      <c r="E99" s="194"/>
      <c r="F99" s="113" t="s">
        <v>171</v>
      </c>
      <c r="G99" s="113"/>
      <c r="H99" s="113"/>
    </row>
    <row r="100" spans="1:13" x14ac:dyDescent="0.3">
      <c r="A100" s="89" t="s">
        <v>169</v>
      </c>
      <c r="B100" s="89"/>
      <c r="C100" s="89"/>
      <c r="D100" s="89"/>
      <c r="E100" s="89"/>
      <c r="F100" s="88">
        <v>18200</v>
      </c>
      <c r="G100" s="88"/>
      <c r="H100" s="88"/>
    </row>
    <row r="101" spans="1:13" x14ac:dyDescent="0.3">
      <c r="A101" s="89" t="s">
        <v>168</v>
      </c>
      <c r="B101" s="89"/>
      <c r="C101" s="89"/>
      <c r="D101" s="89"/>
      <c r="E101" s="89"/>
      <c r="F101" s="88">
        <v>34000</v>
      </c>
      <c r="G101" s="88"/>
      <c r="H101" s="88"/>
      <c r="J101" s="56" t="s">
        <v>251</v>
      </c>
      <c r="K101" s="57">
        <v>45538</v>
      </c>
      <c r="L101" s="56" t="s">
        <v>252</v>
      </c>
      <c r="M101" s="56" t="s">
        <v>253</v>
      </c>
    </row>
    <row r="102" spans="1:13" hidden="1" x14ac:dyDescent="0.3">
      <c r="A102" s="89" t="s">
        <v>170</v>
      </c>
      <c r="B102" s="89"/>
      <c r="C102" s="89"/>
      <c r="D102" s="89"/>
      <c r="E102" s="89"/>
      <c r="F102" s="88"/>
      <c r="G102" s="88"/>
      <c r="H102" s="88"/>
      <c r="J102" s="56" t="s">
        <v>254</v>
      </c>
      <c r="L102" s="56" t="s">
        <v>252</v>
      </c>
    </row>
    <row r="103" spans="1:13" s="33" customFormat="1" hidden="1" x14ac:dyDescent="0.3">
      <c r="A103" s="89" t="s">
        <v>167</v>
      </c>
      <c r="B103" s="89"/>
      <c r="C103" s="89"/>
      <c r="D103" s="89"/>
      <c r="E103" s="89"/>
      <c r="F103" s="88"/>
      <c r="G103" s="88"/>
      <c r="H103" s="88"/>
      <c r="J103" s="56" t="s">
        <v>255</v>
      </c>
      <c r="L103" s="56" t="s">
        <v>252</v>
      </c>
    </row>
    <row r="104" spans="1:13" s="33" customFormat="1" hidden="1" x14ac:dyDescent="0.3">
      <c r="A104" s="89" t="s">
        <v>97</v>
      </c>
      <c r="B104" s="89"/>
      <c r="C104" s="89"/>
      <c r="D104" s="89"/>
      <c r="E104" s="89"/>
      <c r="F104" s="88"/>
      <c r="G104" s="88"/>
      <c r="H104" s="88"/>
      <c r="J104" s="56" t="s">
        <v>256</v>
      </c>
      <c r="L104" s="56" t="s">
        <v>252</v>
      </c>
    </row>
    <row r="105" spans="1:13" s="33" customFormat="1" hidden="1" x14ac:dyDescent="0.3">
      <c r="A105" s="89" t="s">
        <v>98</v>
      </c>
      <c r="B105" s="89"/>
      <c r="C105" s="89"/>
      <c r="D105" s="89"/>
      <c r="E105" s="89"/>
      <c r="F105" s="88"/>
      <c r="G105" s="88"/>
      <c r="H105" s="88"/>
      <c r="J105" s="56" t="s">
        <v>257</v>
      </c>
      <c r="L105" s="56" t="s">
        <v>252</v>
      </c>
    </row>
    <row r="106" spans="1:13" s="33" customFormat="1" hidden="1" x14ac:dyDescent="0.3">
      <c r="A106" s="89" t="s">
        <v>172</v>
      </c>
      <c r="B106" s="89"/>
      <c r="C106" s="89"/>
      <c r="D106" s="89"/>
      <c r="E106" s="89"/>
      <c r="F106" s="88"/>
      <c r="G106" s="88"/>
      <c r="H106" s="88"/>
      <c r="J106" s="56" t="s">
        <v>258</v>
      </c>
      <c r="L106" s="56" t="s">
        <v>252</v>
      </c>
    </row>
    <row r="107" spans="1:13" s="33" customFormat="1" hidden="1" x14ac:dyDescent="0.3">
      <c r="A107" s="89" t="s">
        <v>99</v>
      </c>
      <c r="B107" s="89"/>
      <c r="C107" s="89"/>
      <c r="D107" s="89"/>
      <c r="E107" s="89"/>
      <c r="F107" s="88"/>
      <c r="G107" s="88"/>
      <c r="H107" s="88"/>
      <c r="J107" s="56" t="s">
        <v>259</v>
      </c>
      <c r="L107" s="56" t="s">
        <v>252</v>
      </c>
    </row>
    <row r="108" spans="1:13" s="33" customFormat="1" hidden="1" x14ac:dyDescent="0.3">
      <c r="A108" s="89" t="s">
        <v>100</v>
      </c>
      <c r="B108" s="89"/>
      <c r="C108" s="89"/>
      <c r="D108" s="89"/>
      <c r="E108" s="89"/>
      <c r="F108" s="88"/>
      <c r="G108" s="88"/>
      <c r="H108" s="88"/>
      <c r="J108" s="56" t="s">
        <v>260</v>
      </c>
      <c r="L108" s="56" t="s">
        <v>252</v>
      </c>
    </row>
    <row r="109" spans="1:13" s="33" customFormat="1" hidden="1" x14ac:dyDescent="0.3">
      <c r="A109" s="89" t="s">
        <v>101</v>
      </c>
      <c r="B109" s="89"/>
      <c r="C109" s="89"/>
      <c r="D109" s="89"/>
      <c r="E109" s="89"/>
      <c r="F109" s="88"/>
      <c r="G109" s="88"/>
      <c r="H109" s="88"/>
      <c r="J109" s="56" t="s">
        <v>261</v>
      </c>
      <c r="L109" s="56" t="s">
        <v>252</v>
      </c>
    </row>
    <row r="110" spans="1:13" s="33" customFormat="1" hidden="1" x14ac:dyDescent="0.3">
      <c r="A110" s="89" t="s">
        <v>102</v>
      </c>
      <c r="B110" s="89"/>
      <c r="C110" s="89"/>
      <c r="D110" s="89"/>
      <c r="E110" s="89"/>
      <c r="F110" s="88"/>
      <c r="G110" s="88"/>
      <c r="H110" s="88"/>
      <c r="J110" s="56" t="s">
        <v>262</v>
      </c>
      <c r="L110" s="56" t="s">
        <v>252</v>
      </c>
    </row>
    <row r="111" spans="1:13" x14ac:dyDescent="0.3">
      <c r="A111" s="89" t="s">
        <v>51</v>
      </c>
      <c r="B111" s="89"/>
      <c r="C111" s="89"/>
      <c r="D111" s="89"/>
      <c r="E111" s="89"/>
      <c r="F111" s="88">
        <v>800000</v>
      </c>
      <c r="G111" s="88"/>
      <c r="H111" s="88"/>
      <c r="J111" s="56" t="s">
        <v>263</v>
      </c>
      <c r="K111" s="25">
        <v>45545</v>
      </c>
      <c r="L111" s="56" t="s">
        <v>252</v>
      </c>
      <c r="M111" s="21" t="s">
        <v>253</v>
      </c>
    </row>
    <row r="112" spans="1:13" s="34" customFormat="1" x14ac:dyDescent="0.3">
      <c r="A112" s="156" t="s">
        <v>52</v>
      </c>
      <c r="B112" s="156"/>
      <c r="C112" s="156"/>
      <c r="D112" s="156"/>
      <c r="E112" s="156"/>
      <c r="F112" s="88">
        <f>F100*0.8</f>
        <v>14560</v>
      </c>
      <c r="G112" s="88"/>
      <c r="H112" s="88"/>
    </row>
    <row r="113" spans="1:10" s="35" customFormat="1" ht="15.75" customHeight="1" x14ac:dyDescent="0.3">
      <c r="A113" s="98" t="s">
        <v>77</v>
      </c>
      <c r="B113" s="98"/>
      <c r="C113" s="98"/>
      <c r="D113" s="98"/>
      <c r="E113" s="98"/>
      <c r="F113" s="98"/>
      <c r="G113" s="98"/>
      <c r="H113" s="98"/>
    </row>
    <row r="114" spans="1:10" s="35" customFormat="1" ht="15.75" customHeight="1" x14ac:dyDescent="0.3">
      <c r="A114" s="102" t="s">
        <v>53</v>
      </c>
      <c r="B114" s="102"/>
      <c r="C114" s="100" t="s">
        <v>80</v>
      </c>
      <c r="D114" s="100"/>
      <c r="E114" s="101" t="s">
        <v>54</v>
      </c>
      <c r="F114" s="101"/>
      <c r="G114" s="102" t="s">
        <v>55</v>
      </c>
      <c r="H114" s="102"/>
    </row>
    <row r="115" spans="1:10" s="35" customFormat="1" ht="31.5" customHeight="1" x14ac:dyDescent="0.3">
      <c r="A115" s="110" t="s">
        <v>234</v>
      </c>
      <c r="B115" s="110"/>
      <c r="C115" s="195">
        <f>COUNT(D130,D135)</f>
        <v>2</v>
      </c>
      <c r="D115" s="111"/>
      <c r="E115" s="106">
        <f t="shared" ref="E115" si="0">SUM(D130,D135)</f>
        <v>3376.3438799999994</v>
      </c>
      <c r="F115" s="107"/>
      <c r="G115" s="106">
        <f>SUM(F130,F135)</f>
        <v>4994.6682239999991</v>
      </c>
      <c r="H115" s="107"/>
    </row>
    <row r="116" spans="1:10" s="35" customFormat="1" ht="31.5" customHeight="1" x14ac:dyDescent="0.3">
      <c r="A116" s="110" t="s">
        <v>235</v>
      </c>
      <c r="B116" s="110"/>
      <c r="C116" s="195">
        <f>COUNT(D131:D132)</f>
        <v>2</v>
      </c>
      <c r="D116" s="111"/>
      <c r="E116" s="106">
        <f>SUM(D131:D142)</f>
        <v>3292.1586360000001</v>
      </c>
      <c r="F116" s="107"/>
      <c r="G116" s="106">
        <f>SUM(F131:F142)</f>
        <v>4789.0581281999994</v>
      </c>
      <c r="H116" s="107"/>
    </row>
    <row r="117" spans="1:10" s="35" customFormat="1" x14ac:dyDescent="0.3">
      <c r="A117" s="98" t="s">
        <v>159</v>
      </c>
      <c r="B117" s="98"/>
      <c r="C117" s="99">
        <f>SUM(C115:D116)</f>
        <v>4</v>
      </c>
      <c r="D117" s="100"/>
      <c r="E117" s="112">
        <f>SUM(E115:F116)</f>
        <v>6668.5025159999996</v>
      </c>
      <c r="F117" s="101"/>
      <c r="G117" s="102">
        <f>SUM(G115:H116)</f>
        <v>9783.7263521999994</v>
      </c>
      <c r="H117" s="102"/>
    </row>
    <row r="118" spans="1:10" s="35" customFormat="1" x14ac:dyDescent="0.3">
      <c r="A118" s="98" t="s">
        <v>71</v>
      </c>
      <c r="B118" s="98"/>
      <c r="C118" s="98"/>
      <c r="D118" s="98"/>
      <c r="E118" s="98"/>
      <c r="F118" s="98"/>
      <c r="G118" s="98"/>
      <c r="H118" s="98"/>
    </row>
    <row r="119" spans="1:10" s="35" customFormat="1" ht="15.75" customHeight="1" x14ac:dyDescent="0.3">
      <c r="A119" s="102" t="s">
        <v>53</v>
      </c>
      <c r="B119" s="102"/>
      <c r="C119" s="100" t="s">
        <v>80</v>
      </c>
      <c r="D119" s="100"/>
      <c r="E119" s="101" t="s">
        <v>54</v>
      </c>
      <c r="F119" s="101"/>
      <c r="G119" s="102" t="s">
        <v>55</v>
      </c>
      <c r="H119" s="102"/>
    </row>
    <row r="120" spans="1:10" s="35" customFormat="1" x14ac:dyDescent="0.3">
      <c r="A120" s="110" t="s">
        <v>224</v>
      </c>
      <c r="B120" s="110"/>
      <c r="C120" s="111">
        <f>COUNT(D141:D143,D145:D147)+COUNT(D149:D151)*3+COUNT(D153:D155)*2+COUNT(D158:D159)+COUNT(D161:D163)+COUNT(D165:D167)*6+COUNT(D169:D171)*4+COUNT(D174:D175)</f>
        <v>58</v>
      </c>
      <c r="D120" s="111"/>
      <c r="E120" s="106">
        <f t="shared" ref="E120:G120" si="1">SUM(D141:D143,D145:D147)+SUM(D149:D151)*3+SUM(D153:D155)*2+SUM(D158:D159)+SUM(D161:D163)+SUM(D165:D167)*6+SUM(D169:D171)*4+SUM(D174:D175)</f>
        <v>49043.48576399999</v>
      </c>
      <c r="F120" s="106"/>
      <c r="G120" s="106">
        <f t="shared" si="1"/>
        <v>71113.054357799992</v>
      </c>
      <c r="H120" s="106"/>
    </row>
    <row r="121" spans="1:10" s="35" customFormat="1" hidden="1" x14ac:dyDescent="0.3">
      <c r="A121" s="110" t="s">
        <v>240</v>
      </c>
      <c r="B121" s="110"/>
      <c r="C121" s="111">
        <f>COUNT(D179:D180)*2</f>
        <v>4</v>
      </c>
      <c r="D121" s="111"/>
      <c r="E121" s="106">
        <f>SUM(D179:D180)*2</f>
        <v>2141.3901599999999</v>
      </c>
      <c r="F121" s="106"/>
      <c r="G121" s="106">
        <f>SUM(F179:F180)*2</f>
        <v>3105.0157319999998</v>
      </c>
      <c r="H121" s="106"/>
    </row>
    <row r="122" spans="1:10" s="35" customFormat="1" ht="16.2" thickBot="1" x14ac:dyDescent="0.35">
      <c r="A122" s="118" t="s">
        <v>159</v>
      </c>
      <c r="B122" s="118"/>
      <c r="C122" s="198">
        <v>58</v>
      </c>
      <c r="D122" s="198"/>
      <c r="E122" s="119">
        <f>SUM(E120)</f>
        <v>49043.48576399999</v>
      </c>
      <c r="F122" s="119"/>
      <c r="G122" s="97">
        <f>SUM(G120)</f>
        <v>71113.054357799992</v>
      </c>
      <c r="H122" s="97"/>
    </row>
    <row r="123" spans="1:10" s="35" customFormat="1" ht="16.2" thickBot="1" x14ac:dyDescent="0.35">
      <c r="A123" s="114" t="s">
        <v>178</v>
      </c>
      <c r="B123" s="115"/>
      <c r="C123" s="116">
        <f>C117+C122</f>
        <v>62</v>
      </c>
      <c r="D123" s="117"/>
      <c r="E123" s="199">
        <f>E117+E122</f>
        <v>55711.98827999999</v>
      </c>
      <c r="F123" s="199"/>
      <c r="G123" s="196">
        <f>G117+G122</f>
        <v>80896.780709999992</v>
      </c>
      <c r="H123" s="197"/>
    </row>
    <row r="124" spans="1:10" s="34" customFormat="1" x14ac:dyDescent="0.3">
      <c r="A124" s="113" t="s">
        <v>56</v>
      </c>
      <c r="B124" s="113"/>
      <c r="C124" s="113"/>
      <c r="D124" s="113"/>
      <c r="E124" s="113"/>
      <c r="F124" s="113"/>
      <c r="G124" s="113"/>
      <c r="H124" s="113"/>
    </row>
    <row r="125" spans="1:10" x14ac:dyDescent="0.3">
      <c r="A125" s="173" t="s">
        <v>57</v>
      </c>
      <c r="B125" s="173"/>
      <c r="C125" s="173"/>
      <c r="D125" s="173"/>
      <c r="E125" s="173"/>
      <c r="F125" s="173"/>
      <c r="G125" s="173"/>
      <c r="H125" s="173"/>
    </row>
    <row r="126" spans="1:10" ht="47.25" customHeight="1" x14ac:dyDescent="0.3">
      <c r="A126" s="90" t="s">
        <v>125</v>
      </c>
      <c r="B126" s="90" t="s">
        <v>124</v>
      </c>
      <c r="C126" s="90" t="s">
        <v>58</v>
      </c>
      <c r="D126" s="90" t="s">
        <v>59</v>
      </c>
      <c r="E126" s="93" t="s">
        <v>165</v>
      </c>
      <c r="F126" s="43" t="s">
        <v>157</v>
      </c>
      <c r="G126" s="71" t="s">
        <v>61</v>
      </c>
      <c r="H126" s="95"/>
    </row>
    <row r="127" spans="1:10" s="37" customFormat="1" x14ac:dyDescent="0.3">
      <c r="A127" s="91"/>
      <c r="B127" s="91"/>
      <c r="C127" s="91"/>
      <c r="D127" s="91"/>
      <c r="E127" s="94"/>
      <c r="F127" s="13">
        <v>0.5</v>
      </c>
      <c r="G127" s="72"/>
      <c r="H127" s="96"/>
    </row>
    <row r="128" spans="1:10" s="37" customFormat="1" x14ac:dyDescent="0.3">
      <c r="A128" s="92" t="s">
        <v>199</v>
      </c>
      <c r="B128" s="92"/>
      <c r="C128" s="92"/>
      <c r="D128" s="92"/>
      <c r="E128" s="92"/>
      <c r="F128" s="92"/>
      <c r="G128" s="92"/>
      <c r="H128" s="92"/>
      <c r="J128" s="55">
        <f>10.764</f>
        <v>10.763999999999999</v>
      </c>
    </row>
    <row r="129" spans="1:14" s="37" customFormat="1" x14ac:dyDescent="0.3">
      <c r="A129" s="92" t="s">
        <v>201</v>
      </c>
      <c r="B129" s="92"/>
      <c r="C129" s="92"/>
      <c r="D129" s="92"/>
      <c r="E129" s="92"/>
      <c r="F129" s="92"/>
      <c r="G129" s="92"/>
      <c r="H129" s="92"/>
      <c r="J129" s="36"/>
    </row>
    <row r="130" spans="1:14" s="37" customFormat="1" ht="63.75" customHeight="1" x14ac:dyDescent="0.3">
      <c r="A130" s="76">
        <v>1</v>
      </c>
      <c r="B130" s="76"/>
      <c r="C130" s="42" t="s">
        <v>230</v>
      </c>
      <c r="D130" s="55">
        <f>(92.53+91.36)*(10.764)</f>
        <v>1979.3919599999997</v>
      </c>
      <c r="E130" s="42">
        <v>0</v>
      </c>
      <c r="F130" s="42">
        <f>(D130+E130)*(($F$127)+1)</f>
        <v>2969.0879399999994</v>
      </c>
      <c r="G130" s="76" t="str">
        <f>A129</f>
        <v>Ground Floor For Commercial, Parking &amp; Meter Room</v>
      </c>
      <c r="H130" s="76"/>
      <c r="I130" s="36"/>
      <c r="J130" s="37">
        <f>26000*F130</f>
        <v>77196286.439999983</v>
      </c>
      <c r="L130" s="63"/>
      <c r="M130" s="63"/>
      <c r="N130" s="36"/>
    </row>
    <row r="131" spans="1:14" s="37" customFormat="1" ht="15.75" customHeight="1" x14ac:dyDescent="0.3">
      <c r="A131" s="76">
        <f t="shared" ref="A131:A132" si="2">A130+1</f>
        <v>2</v>
      </c>
      <c r="B131" s="76"/>
      <c r="C131" s="42" t="s">
        <v>200</v>
      </c>
      <c r="D131" s="55">
        <f>(10.45)*(10.764)</f>
        <v>112.48379999999999</v>
      </c>
      <c r="E131" s="42">
        <v>0</v>
      </c>
      <c r="F131" s="42">
        <f t="shared" ref="F131:F132" si="3">(D131+E131)*(($F$127)+1)</f>
        <v>168.72569999999999</v>
      </c>
      <c r="G131" s="76"/>
      <c r="H131" s="76"/>
      <c r="I131" s="36"/>
      <c r="J131" s="37">
        <f>6000000/F131</f>
        <v>35560.676292941738</v>
      </c>
      <c r="K131" s="37">
        <f>130*1.5</f>
        <v>195</v>
      </c>
      <c r="L131" s="63">
        <f>6000000/K131</f>
        <v>30769.23076923077</v>
      </c>
      <c r="M131" s="63"/>
      <c r="N131" s="36"/>
    </row>
    <row r="132" spans="1:14" s="37" customFormat="1" ht="15.75" customHeight="1" x14ac:dyDescent="0.3">
      <c r="A132" s="76">
        <f t="shared" si="2"/>
        <v>3</v>
      </c>
      <c r="B132" s="76"/>
      <c r="C132" s="42" t="s">
        <v>200</v>
      </c>
      <c r="D132" s="55">
        <f>(17.38)*(10.764)</f>
        <v>187.07831999999999</v>
      </c>
      <c r="E132" s="42">
        <v>0</v>
      </c>
      <c r="F132" s="42">
        <f t="shared" si="3"/>
        <v>280.61748</v>
      </c>
      <c r="G132" s="76"/>
      <c r="H132" s="76"/>
      <c r="I132" s="36"/>
      <c r="J132" s="37">
        <f>7000000/F132</f>
        <v>24944.989171736557</v>
      </c>
      <c r="L132" s="63"/>
      <c r="M132" s="63"/>
      <c r="N132" s="36"/>
    </row>
    <row r="133" spans="1:14" s="37" customFormat="1" x14ac:dyDescent="0.3">
      <c r="A133" s="92" t="s">
        <v>216</v>
      </c>
      <c r="B133" s="92"/>
      <c r="C133" s="92"/>
      <c r="D133" s="92"/>
      <c r="E133" s="92"/>
      <c r="F133" s="92"/>
      <c r="G133" s="92"/>
      <c r="H133" s="92"/>
      <c r="J133" s="36"/>
    </row>
    <row r="134" spans="1:14" s="37" customFormat="1" ht="15.75" customHeight="1" x14ac:dyDescent="0.3">
      <c r="A134" s="68">
        <v>1</v>
      </c>
      <c r="B134" s="70"/>
      <c r="C134" s="103" t="s">
        <v>217</v>
      </c>
      <c r="D134" s="104"/>
      <c r="E134" s="104"/>
      <c r="F134" s="105"/>
      <c r="G134" s="64" t="str">
        <f>A133</f>
        <v>1st Floor For Part Residential &amp; Commercial</v>
      </c>
      <c r="H134" s="65"/>
      <c r="I134" s="36"/>
      <c r="L134" s="63"/>
      <c r="M134" s="63"/>
      <c r="N134" s="36"/>
    </row>
    <row r="135" spans="1:14" s="37" customFormat="1" ht="15.75" customHeight="1" x14ac:dyDescent="0.3">
      <c r="A135" s="68">
        <v>2</v>
      </c>
      <c r="B135" s="70"/>
      <c r="C135" s="54" t="s">
        <v>218</v>
      </c>
      <c r="D135" s="55">
        <f>(129.78)*(10.764)</f>
        <v>1396.95192</v>
      </c>
      <c r="E135" s="42">
        <v>0</v>
      </c>
      <c r="F135" s="42">
        <f>D135*(($F$138)+1)+(IF(E135&lt;101,E135,IF(E135&lt;201,E135/2,IF(E135&lt;=301,E135/3,E135/4))))</f>
        <v>2025.5802839999999</v>
      </c>
      <c r="G135" s="66"/>
      <c r="H135" s="67"/>
      <c r="I135" s="36"/>
      <c r="J135" s="37">
        <f>3.05*5.25+3.05*3.7+1.85*1.4+2.15*2.75+3.05*3.8+2*1.3+1.3*1.3+1.45*0.9+0.9*2.35</f>
        <v>55.099999999999994</v>
      </c>
      <c r="L135" s="63"/>
      <c r="M135" s="63"/>
      <c r="N135" s="36"/>
    </row>
    <row r="136" spans="1:14" s="37" customFormat="1" x14ac:dyDescent="0.3">
      <c r="A136" s="68"/>
      <c r="B136" s="69"/>
      <c r="C136" s="69"/>
      <c r="D136" s="69"/>
      <c r="E136" s="69"/>
      <c r="F136" s="69"/>
      <c r="G136" s="69"/>
      <c r="H136" s="70"/>
      <c r="I136" s="36"/>
      <c r="N136" s="36"/>
    </row>
    <row r="137" spans="1:14" ht="47.25" customHeight="1" x14ac:dyDescent="0.3">
      <c r="A137" s="71" t="s">
        <v>126</v>
      </c>
      <c r="B137" s="71" t="s">
        <v>127</v>
      </c>
      <c r="C137" s="90" t="s">
        <v>58</v>
      </c>
      <c r="D137" s="90" t="s">
        <v>59</v>
      </c>
      <c r="E137" s="93" t="s">
        <v>60</v>
      </c>
      <c r="F137" s="43" t="s">
        <v>157</v>
      </c>
      <c r="G137" s="71" t="s">
        <v>61</v>
      </c>
      <c r="H137" s="95"/>
      <c r="I137" s="36"/>
    </row>
    <row r="138" spans="1:14" s="37" customFormat="1" x14ac:dyDescent="0.3">
      <c r="A138" s="72"/>
      <c r="B138" s="72"/>
      <c r="C138" s="91"/>
      <c r="D138" s="91"/>
      <c r="E138" s="94"/>
      <c r="F138" s="13">
        <v>0.45</v>
      </c>
      <c r="G138" s="72"/>
      <c r="H138" s="96"/>
      <c r="I138" s="36"/>
    </row>
    <row r="139" spans="1:14" s="37" customFormat="1" x14ac:dyDescent="0.3">
      <c r="A139" s="73" t="s">
        <v>242</v>
      </c>
      <c r="B139" s="74"/>
      <c r="C139" s="74"/>
      <c r="D139" s="74"/>
      <c r="E139" s="74"/>
      <c r="F139" s="74"/>
      <c r="G139" s="74"/>
      <c r="H139" s="75"/>
      <c r="J139" s="36"/>
    </row>
    <row r="140" spans="1:14" s="37" customFormat="1" x14ac:dyDescent="0.3">
      <c r="A140" s="73" t="s">
        <v>123</v>
      </c>
      <c r="B140" s="74"/>
      <c r="C140" s="74"/>
      <c r="D140" s="74"/>
      <c r="E140" s="74"/>
      <c r="F140" s="74"/>
      <c r="G140" s="74"/>
      <c r="H140" s="75"/>
      <c r="J140" s="36"/>
    </row>
    <row r="141" spans="1:14" s="37" customFormat="1" ht="15.75" customHeight="1" x14ac:dyDescent="0.3">
      <c r="A141" s="68">
        <v>1</v>
      </c>
      <c r="B141" s="70"/>
      <c r="C141" s="54">
        <v>3</v>
      </c>
      <c r="D141" s="55">
        <f>(89.51)*(10.764)</f>
        <v>963.48563999999999</v>
      </c>
      <c r="E141" s="42">
        <v>0</v>
      </c>
      <c r="F141" s="42">
        <f>D141*(($F$138)+1)+(IF(E141&lt;101,E141,IF(E141&lt;201,E141/2,IF(E141&lt;=301,E141/3,E141/4))))</f>
        <v>1397.0541779999999</v>
      </c>
      <c r="G141" s="64" t="str">
        <f>A140</f>
        <v>2nd Floor</v>
      </c>
      <c r="H141" s="65"/>
      <c r="I141" s="36"/>
      <c r="J141" s="37">
        <f>4.3*5.25+3*4.05+3.6*3.45+3.6*3.4+2.5*3.05+1.4*1.5+1.4*2.4+1.45*2.2+1.55*1.1+1.4*2.02+1.55*1.1+4.7*0.9</f>
        <v>86.127999999999986</v>
      </c>
      <c r="L141" s="63"/>
      <c r="M141" s="63"/>
      <c r="N141" s="36"/>
    </row>
    <row r="142" spans="1:14" s="37" customFormat="1" ht="15.75" customHeight="1" x14ac:dyDescent="0.3">
      <c r="A142" s="68">
        <f t="shared" ref="A142:A143" si="4">A141+1</f>
        <v>2</v>
      </c>
      <c r="B142" s="70"/>
      <c r="C142" s="54">
        <v>2</v>
      </c>
      <c r="D142" s="55">
        <f>(58.729)*(10.764)</f>
        <v>632.15895599999999</v>
      </c>
      <c r="E142" s="42">
        <v>0</v>
      </c>
      <c r="F142" s="42">
        <f>D142*(($F$138)+1)+(IF(E142&lt;101,E142,IF(E142&lt;201,E142/2,IF(E142&lt;=301,E142/3,E142/4))))</f>
        <v>916.63048619999995</v>
      </c>
      <c r="G142" s="108"/>
      <c r="H142" s="109"/>
      <c r="I142" s="36"/>
      <c r="L142" s="63"/>
      <c r="M142" s="63"/>
      <c r="N142" s="36"/>
    </row>
    <row r="143" spans="1:14" s="37" customFormat="1" ht="15.75" customHeight="1" x14ac:dyDescent="0.3">
      <c r="A143" s="68">
        <f t="shared" si="4"/>
        <v>3</v>
      </c>
      <c r="B143" s="70"/>
      <c r="C143" s="54">
        <v>3</v>
      </c>
      <c r="D143" s="55">
        <f>(84.42)*(10.764)</f>
        <v>908.69687999999996</v>
      </c>
      <c r="E143" s="42">
        <v>0</v>
      </c>
      <c r="F143" s="42">
        <f>D143*(($F$138)+1)+(IF(E143&lt;101,E143,IF(E143&lt;201,E143/2,IF(E143&lt;=301,E143/3,E143/4))))</f>
        <v>1317.6104759999998</v>
      </c>
      <c r="G143" s="66"/>
      <c r="H143" s="67"/>
      <c r="I143" s="36"/>
      <c r="L143" s="63"/>
      <c r="M143" s="63"/>
      <c r="N143" s="36"/>
    </row>
    <row r="144" spans="1:14" s="37" customFormat="1" x14ac:dyDescent="0.3">
      <c r="A144" s="73" t="s">
        <v>219</v>
      </c>
      <c r="B144" s="74"/>
      <c r="C144" s="74"/>
      <c r="D144" s="74"/>
      <c r="E144" s="74"/>
      <c r="F144" s="74"/>
      <c r="G144" s="74"/>
      <c r="H144" s="75"/>
      <c r="J144" s="36"/>
    </row>
    <row r="145" spans="1:14" s="37" customFormat="1" ht="15.75" customHeight="1" x14ac:dyDescent="0.3">
      <c r="A145" s="68">
        <v>1</v>
      </c>
      <c r="B145" s="70"/>
      <c r="C145" s="54">
        <v>3</v>
      </c>
      <c r="D145" s="55">
        <f>(89.51)*(10.764)</f>
        <v>963.48563999999999</v>
      </c>
      <c r="E145" s="42">
        <v>0</v>
      </c>
      <c r="F145" s="42">
        <f>D145*(($F$138)+1)+(IF(E145&lt;101,E145,IF(E145&lt;201,E145/2,IF(E145&lt;=301,E145/3,E145/4))))</f>
        <v>1397.0541779999999</v>
      </c>
      <c r="G145" s="64" t="str">
        <f>A144</f>
        <v>3rd Floor</v>
      </c>
      <c r="H145" s="65"/>
      <c r="I145" s="36"/>
      <c r="J145" s="37">
        <f>4.3*5.25+3*4.05+3.6*3.45+3.6*3.4+2.5*3.05+1.4*1.5+1.4*2.4+1.45*2.2+1.55*1.1+1.4*2.02+1.55*1.1+4.7*0.9</f>
        <v>86.127999999999986</v>
      </c>
      <c r="L145" s="63"/>
      <c r="M145" s="63"/>
      <c r="N145" s="36"/>
    </row>
    <row r="146" spans="1:14" s="37" customFormat="1" ht="15.75" customHeight="1" x14ac:dyDescent="0.3">
      <c r="A146" s="68">
        <f t="shared" ref="A146:A147" si="5">A145+1</f>
        <v>2</v>
      </c>
      <c r="B146" s="70"/>
      <c r="C146" s="54">
        <v>2</v>
      </c>
      <c r="D146" s="55">
        <f>(58.729)*(10.764)</f>
        <v>632.15895599999999</v>
      </c>
      <c r="E146" s="42">
        <v>0</v>
      </c>
      <c r="F146" s="42">
        <f>D146*(($F$138)+1)+(IF(E146&lt;101,E146,IF(E146&lt;201,E146/2,IF(E146&lt;=301,E146/3,E146/4))))</f>
        <v>916.63048619999995</v>
      </c>
      <c r="G146" s="108"/>
      <c r="H146" s="109"/>
      <c r="I146" s="36"/>
      <c r="L146" s="63"/>
      <c r="M146" s="63"/>
      <c r="N146" s="36"/>
    </row>
    <row r="147" spans="1:14" s="37" customFormat="1" ht="15.75" customHeight="1" x14ac:dyDescent="0.3">
      <c r="A147" s="68">
        <f t="shared" si="5"/>
        <v>3</v>
      </c>
      <c r="B147" s="70"/>
      <c r="C147" s="54">
        <v>3</v>
      </c>
      <c r="D147" s="55">
        <f>(84.42)*(10.764)</f>
        <v>908.69687999999996</v>
      </c>
      <c r="E147" s="42">
        <v>0</v>
      </c>
      <c r="F147" s="42">
        <f>D147*(($F$138)+1)+(IF(E147&lt;101,E147,IF(E147&lt;201,E147/2,IF(E147&lt;=301,E147/3,E147/4))))</f>
        <v>1317.6104759999998</v>
      </c>
      <c r="G147" s="66"/>
      <c r="H147" s="67"/>
      <c r="I147" s="36"/>
      <c r="L147" s="63"/>
      <c r="M147" s="63"/>
      <c r="N147" s="36"/>
    </row>
    <row r="148" spans="1:14" s="37" customFormat="1" x14ac:dyDescent="0.3">
      <c r="A148" s="73" t="s">
        <v>220</v>
      </c>
      <c r="B148" s="74"/>
      <c r="C148" s="74"/>
      <c r="D148" s="74"/>
      <c r="E148" s="74"/>
      <c r="F148" s="74"/>
      <c r="G148" s="74"/>
      <c r="H148" s="75"/>
      <c r="J148" s="36"/>
    </row>
    <row r="149" spans="1:14" s="37" customFormat="1" ht="15.75" customHeight="1" x14ac:dyDescent="0.3">
      <c r="A149" s="68">
        <v>1</v>
      </c>
      <c r="B149" s="70"/>
      <c r="C149" s="54">
        <v>3</v>
      </c>
      <c r="D149" s="55">
        <f>(89.51)*(10.764)</f>
        <v>963.48563999999999</v>
      </c>
      <c r="E149" s="42">
        <v>0</v>
      </c>
      <c r="F149" s="42">
        <f>D149*(($F$138)+1)+(IF(E149&lt;101,E149,IF(E149&lt;201,E149/2,IF(E149&lt;=301,E149/3,E149/4))))</f>
        <v>1397.0541779999999</v>
      </c>
      <c r="G149" s="64" t="str">
        <f>A148</f>
        <v>4th, 6th &amp; 8th Floor</v>
      </c>
      <c r="H149" s="65"/>
      <c r="I149" s="36"/>
      <c r="L149" s="63"/>
      <c r="M149" s="63"/>
      <c r="N149" s="36"/>
    </row>
    <row r="150" spans="1:14" s="37" customFormat="1" ht="15.75" customHeight="1" x14ac:dyDescent="0.3">
      <c r="A150" s="68">
        <f t="shared" ref="A150:A151" si="6">A149+1</f>
        <v>2</v>
      </c>
      <c r="B150" s="70"/>
      <c r="C150" s="54">
        <v>2</v>
      </c>
      <c r="D150" s="55">
        <f>(58.729)*(10.764)</f>
        <v>632.15895599999999</v>
      </c>
      <c r="E150" s="42">
        <v>0</v>
      </c>
      <c r="F150" s="42">
        <f>D150*(($F$138)+1)+(IF(E150&lt;101,E150,IF(E150&lt;201,E150/2,IF(E150&lt;=301,E150/3,E150/4))))</f>
        <v>916.63048619999995</v>
      </c>
      <c r="G150" s="108"/>
      <c r="H150" s="109"/>
      <c r="I150" s="36"/>
      <c r="J150" s="37">
        <f>17300000/F150</f>
        <v>18873.472201125664</v>
      </c>
      <c r="K150" s="37">
        <f>27000/1.5</f>
        <v>18000</v>
      </c>
      <c r="L150" s="63"/>
      <c r="M150" s="63"/>
      <c r="N150" s="36"/>
    </row>
    <row r="151" spans="1:14" s="37" customFormat="1" ht="15.75" customHeight="1" x14ac:dyDescent="0.3">
      <c r="A151" s="68">
        <f t="shared" si="6"/>
        <v>3</v>
      </c>
      <c r="B151" s="70"/>
      <c r="C151" s="54">
        <v>3</v>
      </c>
      <c r="D151" s="55">
        <f>(84.42)*(10.764)</f>
        <v>908.69687999999996</v>
      </c>
      <c r="E151" s="42">
        <v>0</v>
      </c>
      <c r="F151" s="42">
        <f>D151*(($F$138)+1)+(IF(E151&lt;101,E151,IF(E151&lt;201,E151/2,IF(E151&lt;=301,E151/3,E151/4))))</f>
        <v>1317.6104759999998</v>
      </c>
      <c r="G151" s="66"/>
      <c r="H151" s="67"/>
      <c r="I151" s="36"/>
      <c r="L151" s="63"/>
      <c r="M151" s="63"/>
      <c r="N151" s="36"/>
    </row>
    <row r="152" spans="1:14" s="37" customFormat="1" x14ac:dyDescent="0.3">
      <c r="A152" s="73" t="s">
        <v>221</v>
      </c>
      <c r="B152" s="74"/>
      <c r="C152" s="74"/>
      <c r="D152" s="74"/>
      <c r="E152" s="74"/>
      <c r="F152" s="74"/>
      <c r="G152" s="74"/>
      <c r="H152" s="75"/>
      <c r="J152" s="36"/>
    </row>
    <row r="153" spans="1:14" s="37" customFormat="1" ht="15.75" customHeight="1" x14ac:dyDescent="0.3">
      <c r="A153" s="68">
        <v>1</v>
      </c>
      <c r="B153" s="70"/>
      <c r="C153" s="54">
        <v>3</v>
      </c>
      <c r="D153" s="55">
        <f>(89.51)*(10.764)</f>
        <v>963.48563999999999</v>
      </c>
      <c r="E153" s="42">
        <v>0</v>
      </c>
      <c r="F153" s="42">
        <f>D153*(($F$138)+1)+(IF(E153&lt;101,E153,IF(E153&lt;201,E153/2,IF(E153&lt;=301,E153/3,E153/4))))</f>
        <v>1397.0541779999999</v>
      </c>
      <c r="G153" s="64" t="str">
        <f>A152</f>
        <v>5th &amp; 9th Floor</v>
      </c>
      <c r="H153" s="65"/>
      <c r="I153" s="36"/>
      <c r="L153" s="63"/>
      <c r="M153" s="63"/>
      <c r="N153" s="36"/>
    </row>
    <row r="154" spans="1:14" s="37" customFormat="1" ht="15.75" customHeight="1" x14ac:dyDescent="0.3">
      <c r="A154" s="68">
        <f t="shared" ref="A154:A155" si="7">A153+1</f>
        <v>2</v>
      </c>
      <c r="B154" s="70"/>
      <c r="C154" s="54">
        <v>2</v>
      </c>
      <c r="D154" s="55">
        <f>(58.729)*(10.764)</f>
        <v>632.15895599999999</v>
      </c>
      <c r="E154" s="42">
        <v>0</v>
      </c>
      <c r="F154" s="42">
        <f>D154*(($F$138)+1)+(IF(E154&lt;101,E154,IF(E154&lt;201,E154/2,IF(E154&lt;=301,E154/3,E154/4))))</f>
        <v>916.63048619999995</v>
      </c>
      <c r="G154" s="108"/>
      <c r="H154" s="109"/>
      <c r="I154" s="36"/>
      <c r="L154" s="63"/>
      <c r="M154" s="63"/>
      <c r="N154" s="36"/>
    </row>
    <row r="155" spans="1:14" s="37" customFormat="1" ht="15.75" customHeight="1" x14ac:dyDescent="0.3">
      <c r="A155" s="68">
        <f t="shared" si="7"/>
        <v>3</v>
      </c>
      <c r="B155" s="70"/>
      <c r="C155" s="54">
        <v>3</v>
      </c>
      <c r="D155" s="55">
        <f>(84.42)*(10.764)</f>
        <v>908.69687999999996</v>
      </c>
      <c r="E155" s="42">
        <v>0</v>
      </c>
      <c r="F155" s="42">
        <f>D155*(($F$138)+1)+(IF(E155&lt;101,E155,IF(E155&lt;201,E155/2,IF(E155&lt;=301,E155/3,E155/4))))</f>
        <v>1317.6104759999998</v>
      </c>
      <c r="G155" s="66"/>
      <c r="H155" s="67"/>
      <c r="I155" s="36"/>
      <c r="L155" s="63"/>
      <c r="M155" s="63"/>
      <c r="N155" s="36"/>
    </row>
    <row r="156" spans="1:14" s="37" customFormat="1" x14ac:dyDescent="0.3">
      <c r="A156" s="73" t="s">
        <v>202</v>
      </c>
      <c r="B156" s="74"/>
      <c r="C156" s="74"/>
      <c r="D156" s="74"/>
      <c r="E156" s="74"/>
      <c r="F156" s="74"/>
      <c r="G156" s="74"/>
      <c r="H156" s="75"/>
      <c r="J156" s="36"/>
    </row>
    <row r="157" spans="1:14" s="37" customFormat="1" ht="15.75" customHeight="1" x14ac:dyDescent="0.3">
      <c r="A157" s="68">
        <v>1</v>
      </c>
      <c r="B157" s="70"/>
      <c r="C157" s="103" t="s">
        <v>203</v>
      </c>
      <c r="D157" s="104"/>
      <c r="E157" s="104"/>
      <c r="F157" s="105"/>
      <c r="G157" s="64" t="str">
        <f>A156</f>
        <v>7th Floor (Part Refuge Area)</v>
      </c>
      <c r="H157" s="65"/>
      <c r="I157" s="36"/>
      <c r="J157" s="37">
        <f>3.05*5.25+3.05*3.7+1.85*1.4+2.15*2.75+3.05*3.8+2*1.3+1.3*1.3+1.45*0.9+0.9*2.35</f>
        <v>55.099999999999994</v>
      </c>
      <c r="L157" s="63"/>
      <c r="M157" s="63"/>
      <c r="N157" s="36"/>
    </row>
    <row r="158" spans="1:14" s="37" customFormat="1" ht="15.75" customHeight="1" x14ac:dyDescent="0.3">
      <c r="A158" s="68">
        <f t="shared" ref="A158:A159" si="8">A157+1</f>
        <v>2</v>
      </c>
      <c r="B158" s="70"/>
      <c r="C158" s="54">
        <v>2</v>
      </c>
      <c r="D158" s="55">
        <f>(58.729)*(10.764)</f>
        <v>632.15895599999999</v>
      </c>
      <c r="E158" s="42">
        <v>0</v>
      </c>
      <c r="F158" s="42">
        <f>D158*(($F$138)+1)+(IF(E158&lt;101,E158,IF(E158&lt;201,E158/2,IF(E158&lt;=301,E158/3,E158/4))))</f>
        <v>916.63048619999995</v>
      </c>
      <c r="G158" s="108"/>
      <c r="H158" s="109"/>
      <c r="I158" s="36"/>
      <c r="L158" s="63"/>
      <c r="M158" s="63"/>
      <c r="N158" s="36"/>
    </row>
    <row r="159" spans="1:14" s="37" customFormat="1" ht="15.75" customHeight="1" x14ac:dyDescent="0.3">
      <c r="A159" s="68">
        <f t="shared" si="8"/>
        <v>3</v>
      </c>
      <c r="B159" s="70"/>
      <c r="C159" s="54">
        <v>3</v>
      </c>
      <c r="D159" s="55">
        <f>(84.42)*(10.764)</f>
        <v>908.69687999999996</v>
      </c>
      <c r="E159" s="42">
        <v>0</v>
      </c>
      <c r="F159" s="42">
        <f>D159*(($F$138)+1)+(IF(E159&lt;101,E159,IF(E159&lt;201,E159/2,IF(E159&lt;=301,E159/3,E159/4))))</f>
        <v>1317.6104759999998</v>
      </c>
      <c r="G159" s="66"/>
      <c r="H159" s="67"/>
      <c r="I159" s="36"/>
      <c r="L159" s="63"/>
      <c r="M159" s="63"/>
      <c r="N159" s="36"/>
    </row>
    <row r="160" spans="1:14" s="37" customFormat="1" x14ac:dyDescent="0.3">
      <c r="A160" s="73" t="s">
        <v>223</v>
      </c>
      <c r="B160" s="74"/>
      <c r="C160" s="74"/>
      <c r="D160" s="74"/>
      <c r="E160" s="74"/>
      <c r="F160" s="74"/>
      <c r="G160" s="74"/>
      <c r="H160" s="75"/>
      <c r="J160" s="36"/>
    </row>
    <row r="161" spans="1:14" s="37" customFormat="1" ht="15.75" customHeight="1" x14ac:dyDescent="0.3">
      <c r="A161" s="68">
        <v>1</v>
      </c>
      <c r="B161" s="70"/>
      <c r="C161" s="54">
        <v>3</v>
      </c>
      <c r="D161" s="55">
        <f>(89.51)*(10.764)</f>
        <v>963.48563999999999</v>
      </c>
      <c r="E161" s="42">
        <v>0</v>
      </c>
      <c r="F161" s="42">
        <f>D161*(($F$138)+1)+(IF(E161&lt;101,E161,IF(E161&lt;201,E161/2,IF(E161&lt;=301,E161/3,E161/4))))</f>
        <v>1397.0541779999999</v>
      </c>
      <c r="G161" s="64" t="str">
        <f>A160</f>
        <v>10th Floor</v>
      </c>
      <c r="H161" s="65"/>
      <c r="I161" s="36"/>
      <c r="L161" s="63"/>
      <c r="M161" s="63"/>
      <c r="N161" s="36"/>
    </row>
    <row r="162" spans="1:14" s="37" customFormat="1" ht="15.75" customHeight="1" x14ac:dyDescent="0.3">
      <c r="A162" s="68">
        <f t="shared" ref="A162:A163" si="9">A161+1</f>
        <v>2</v>
      </c>
      <c r="B162" s="70"/>
      <c r="C162" s="54">
        <v>2</v>
      </c>
      <c r="D162" s="55">
        <f>(58.729)*(10.764)</f>
        <v>632.15895599999999</v>
      </c>
      <c r="E162" s="42">
        <v>0</v>
      </c>
      <c r="F162" s="42">
        <f>D162*(($F$138)+1)+(IF(E162&lt;101,E162,IF(E162&lt;201,E162/2,IF(E162&lt;=301,E162/3,E162/4))))</f>
        <v>916.63048619999995</v>
      </c>
      <c r="G162" s="108"/>
      <c r="H162" s="109"/>
      <c r="I162" s="36"/>
      <c r="L162" s="63"/>
      <c r="M162" s="63"/>
      <c r="N162" s="36"/>
    </row>
    <row r="163" spans="1:14" s="37" customFormat="1" ht="15.75" customHeight="1" x14ac:dyDescent="0.3">
      <c r="A163" s="68">
        <f t="shared" si="9"/>
        <v>3</v>
      </c>
      <c r="B163" s="70"/>
      <c r="C163" s="54">
        <v>3</v>
      </c>
      <c r="D163" s="55">
        <f>(89.94)*(10.764)</f>
        <v>968.11415999999997</v>
      </c>
      <c r="E163" s="42">
        <v>0</v>
      </c>
      <c r="F163" s="42">
        <f>D163*(($F$138)+1)+(IF(E163&lt;101,E163,IF(E163&lt;201,E163/2,IF(E163&lt;=301,E163/3,E163/4))))</f>
        <v>1403.7655319999999</v>
      </c>
      <c r="G163" s="66"/>
      <c r="H163" s="67"/>
      <c r="I163" s="36"/>
      <c r="L163" s="63"/>
      <c r="M163" s="63"/>
      <c r="N163" s="36"/>
    </row>
    <row r="164" spans="1:14" s="37" customFormat="1" x14ac:dyDescent="0.3">
      <c r="A164" s="92" t="s">
        <v>222</v>
      </c>
      <c r="B164" s="92"/>
      <c r="C164" s="92"/>
      <c r="D164" s="92"/>
      <c r="E164" s="92"/>
      <c r="F164" s="92"/>
      <c r="G164" s="92"/>
      <c r="H164" s="92"/>
      <c r="J164" s="36"/>
    </row>
    <row r="165" spans="1:14" s="37" customFormat="1" ht="15.75" customHeight="1" x14ac:dyDescent="0.3">
      <c r="A165" s="76">
        <v>1</v>
      </c>
      <c r="B165" s="76"/>
      <c r="C165" s="54">
        <v>3</v>
      </c>
      <c r="D165" s="55">
        <f>(89.51)*(10.764)</f>
        <v>963.48563999999999</v>
      </c>
      <c r="E165" s="42">
        <v>0</v>
      </c>
      <c r="F165" s="42">
        <f>D165*(($F$138)+1)+(IF(E165&lt;101,E165,IF(E165&lt;201,E165/2,IF(E165&lt;=301,E165/3,E165/4))))</f>
        <v>1397.0541779999999</v>
      </c>
      <c r="G165" s="76" t="str">
        <f>A164</f>
        <v>11th, 13th, 15th, 17th, 19th &amp; 21st Floor</v>
      </c>
      <c r="H165" s="76"/>
      <c r="I165" s="36"/>
      <c r="L165" s="63"/>
      <c r="M165" s="63"/>
      <c r="N165" s="36"/>
    </row>
    <row r="166" spans="1:14" s="37" customFormat="1" ht="15.75" customHeight="1" x14ac:dyDescent="0.3">
      <c r="A166" s="76">
        <f t="shared" ref="A166:A167" si="10">A165+1</f>
        <v>2</v>
      </c>
      <c r="B166" s="76"/>
      <c r="C166" s="54">
        <v>2</v>
      </c>
      <c r="D166" s="55">
        <f>(58.729)*(10.764)</f>
        <v>632.15895599999999</v>
      </c>
      <c r="E166" s="42">
        <v>0</v>
      </c>
      <c r="F166" s="42">
        <f>D166*(($F$138)+1)+(IF(E166&lt;101,E166,IF(E166&lt;201,E166/2,IF(E166&lt;=301,E166/3,E166/4))))</f>
        <v>916.63048619999995</v>
      </c>
      <c r="G166" s="76"/>
      <c r="H166" s="76"/>
      <c r="I166" s="36"/>
      <c r="L166" s="63"/>
      <c r="M166" s="63"/>
      <c r="N166" s="36"/>
    </row>
    <row r="167" spans="1:14" s="37" customFormat="1" ht="15.75" customHeight="1" x14ac:dyDescent="0.3">
      <c r="A167" s="76">
        <f t="shared" si="10"/>
        <v>3</v>
      </c>
      <c r="B167" s="76"/>
      <c r="C167" s="54">
        <v>3</v>
      </c>
      <c r="D167" s="55">
        <f>(89.94)*(10.764)</f>
        <v>968.11415999999997</v>
      </c>
      <c r="E167" s="42">
        <v>0</v>
      </c>
      <c r="F167" s="42">
        <f>D167*(($F$138)+1)+(IF(E167&lt;101,E167,IF(E167&lt;201,E167/2,IF(E167&lt;=301,E167/3,E167/4))))</f>
        <v>1403.7655319999999</v>
      </c>
      <c r="G167" s="76"/>
      <c r="H167" s="76"/>
      <c r="I167" s="36"/>
      <c r="L167" s="63"/>
      <c r="M167" s="63"/>
      <c r="N167" s="36"/>
    </row>
    <row r="168" spans="1:14" s="37" customFormat="1" x14ac:dyDescent="0.3">
      <c r="A168" s="92" t="s">
        <v>225</v>
      </c>
      <c r="B168" s="92"/>
      <c r="C168" s="92"/>
      <c r="D168" s="92"/>
      <c r="E168" s="92"/>
      <c r="F168" s="92"/>
      <c r="G168" s="92"/>
      <c r="H168" s="92"/>
      <c r="J168" s="36"/>
    </row>
    <row r="169" spans="1:14" s="37" customFormat="1" ht="15.75" customHeight="1" x14ac:dyDescent="0.3">
      <c r="A169" s="76">
        <v>1</v>
      </c>
      <c r="B169" s="76"/>
      <c r="C169" s="54">
        <v>3</v>
      </c>
      <c r="D169" s="55">
        <f>(89.51)*(10.764)</f>
        <v>963.48563999999999</v>
      </c>
      <c r="E169" s="42">
        <v>0</v>
      </c>
      <c r="F169" s="42">
        <f>D169*(($F$138)+1)+(IF(E169&lt;101,E169,IF(E169&lt;201,E169/2,IF(E169&lt;=301,E169/3,E169/4))))</f>
        <v>1397.0541779999999</v>
      </c>
      <c r="G169" s="76" t="str">
        <f>A168</f>
        <v>12th, 16th, 18th &amp; 20th Floor</v>
      </c>
      <c r="H169" s="76"/>
      <c r="I169" s="36"/>
      <c r="L169" s="63"/>
      <c r="M169" s="63"/>
      <c r="N169" s="36"/>
    </row>
    <row r="170" spans="1:14" s="37" customFormat="1" ht="15.75" customHeight="1" x14ac:dyDescent="0.3">
      <c r="A170" s="76">
        <f t="shared" ref="A170:A171" si="11">A169+1</f>
        <v>2</v>
      </c>
      <c r="B170" s="76"/>
      <c r="C170" s="54">
        <v>2</v>
      </c>
      <c r="D170" s="55">
        <f>(58.729)*(10.764)</f>
        <v>632.15895599999999</v>
      </c>
      <c r="E170" s="42">
        <v>0</v>
      </c>
      <c r="F170" s="42">
        <f>D170*(($F$138)+1)+(IF(E170&lt;101,E170,IF(E170&lt;201,E170/2,IF(E170&lt;=301,E170/3,E170/4))))</f>
        <v>916.63048619999995</v>
      </c>
      <c r="G170" s="76"/>
      <c r="H170" s="76"/>
      <c r="I170" s="36"/>
      <c r="L170" s="63"/>
      <c r="M170" s="63"/>
      <c r="N170" s="36"/>
    </row>
    <row r="171" spans="1:14" s="37" customFormat="1" ht="15.75" customHeight="1" x14ac:dyDescent="0.3">
      <c r="A171" s="76">
        <f t="shared" si="11"/>
        <v>3</v>
      </c>
      <c r="B171" s="76"/>
      <c r="C171" s="54">
        <v>3</v>
      </c>
      <c r="D171" s="55">
        <f>(89.94)*(10.764)</f>
        <v>968.11415999999997</v>
      </c>
      <c r="E171" s="42">
        <v>0</v>
      </c>
      <c r="F171" s="42">
        <f>D171*(($F$138)+1)+(IF(E171&lt;101,E171,IF(E171&lt;201,E171/2,IF(E171&lt;=301,E171/3,E171/4))))</f>
        <v>1403.7655319999999</v>
      </c>
      <c r="G171" s="76"/>
      <c r="H171" s="76"/>
      <c r="I171" s="36"/>
      <c r="L171" s="63"/>
      <c r="M171" s="63"/>
      <c r="N171" s="36"/>
    </row>
    <row r="172" spans="1:14" s="37" customFormat="1" ht="15.75" customHeight="1" x14ac:dyDescent="0.3">
      <c r="A172" s="92" t="s">
        <v>204</v>
      </c>
      <c r="B172" s="92"/>
      <c r="C172" s="92"/>
      <c r="D172" s="92"/>
      <c r="E172" s="92"/>
      <c r="F172" s="92"/>
      <c r="G172" s="92"/>
      <c r="H172" s="92"/>
      <c r="J172" s="36"/>
    </row>
    <row r="173" spans="1:14" s="37" customFormat="1" ht="15.75" customHeight="1" x14ac:dyDescent="0.3">
      <c r="A173" s="68">
        <v>1</v>
      </c>
      <c r="B173" s="70"/>
      <c r="C173" s="103" t="s">
        <v>203</v>
      </c>
      <c r="D173" s="104"/>
      <c r="E173" s="104"/>
      <c r="F173" s="105"/>
      <c r="G173" s="64" t="str">
        <f>A172</f>
        <v>14th Floor (Part Refuge Area)</v>
      </c>
      <c r="H173" s="65"/>
      <c r="I173" s="36"/>
      <c r="L173" s="63"/>
      <c r="M173" s="63"/>
      <c r="N173" s="36"/>
    </row>
    <row r="174" spans="1:14" s="37" customFormat="1" ht="15.75" customHeight="1" x14ac:dyDescent="0.3">
      <c r="A174" s="68">
        <f t="shared" ref="A174:A175" si="12">A173+1</f>
        <v>2</v>
      </c>
      <c r="B174" s="70"/>
      <c r="C174" s="54">
        <v>3</v>
      </c>
      <c r="D174" s="55">
        <f>(74.58)*(10.764)</f>
        <v>802.77911999999992</v>
      </c>
      <c r="E174" s="42">
        <v>0</v>
      </c>
      <c r="F174" s="42">
        <f>D174*(($F$138)+1)+(IF(E174&lt;101,E174,IF(E174&lt;201,E174/2,IF(E174&lt;=301,E174/3,E174/4))))</f>
        <v>1164.0297239999998</v>
      </c>
      <c r="G174" s="108"/>
      <c r="H174" s="109"/>
      <c r="I174" s="36"/>
      <c r="L174" s="63"/>
      <c r="M174" s="63"/>
      <c r="N174" s="36"/>
    </row>
    <row r="175" spans="1:14" s="37" customFormat="1" ht="15.75" customHeight="1" x14ac:dyDescent="0.3">
      <c r="A175" s="68">
        <f t="shared" si="12"/>
        <v>3</v>
      </c>
      <c r="B175" s="70"/>
      <c r="C175" s="54">
        <v>3</v>
      </c>
      <c r="D175" s="55">
        <f>(89.94)*(10.764)</f>
        <v>968.11415999999997</v>
      </c>
      <c r="E175" s="42">
        <v>0</v>
      </c>
      <c r="F175" s="42">
        <f>D175*(($F$138)+1)+(IF(E175&lt;101,E175,IF(E175&lt;201,E175/2,IF(E175&lt;=301,E175/3,E175/4))))</f>
        <v>1403.7655319999999</v>
      </c>
      <c r="G175" s="66"/>
      <c r="H175" s="67"/>
      <c r="I175" s="36"/>
      <c r="L175" s="63"/>
      <c r="M175" s="63"/>
      <c r="N175" s="36"/>
    </row>
    <row r="176" spans="1:14" s="37" customFormat="1" hidden="1" x14ac:dyDescent="0.3">
      <c r="A176" s="73" t="s">
        <v>240</v>
      </c>
      <c r="B176" s="74"/>
      <c r="C176" s="74"/>
      <c r="D176" s="74"/>
      <c r="E176" s="74"/>
      <c r="F176" s="74"/>
      <c r="G176" s="74"/>
      <c r="H176" s="75"/>
      <c r="J176" s="36"/>
    </row>
    <row r="177" spans="1:14" s="37" customFormat="1" hidden="1" x14ac:dyDescent="0.3">
      <c r="A177" s="73" t="s">
        <v>206</v>
      </c>
      <c r="B177" s="74"/>
      <c r="C177" s="74"/>
      <c r="D177" s="74"/>
      <c r="E177" s="74"/>
      <c r="F177" s="74"/>
      <c r="G177" s="74"/>
      <c r="H177" s="75"/>
      <c r="J177" s="36"/>
    </row>
    <row r="178" spans="1:14" s="37" customFormat="1" hidden="1" x14ac:dyDescent="0.3">
      <c r="A178" s="73" t="s">
        <v>207</v>
      </c>
      <c r="B178" s="74"/>
      <c r="C178" s="74"/>
      <c r="D178" s="74"/>
      <c r="E178" s="74"/>
      <c r="F178" s="74"/>
      <c r="G178" s="74"/>
      <c r="H178" s="75"/>
      <c r="J178" s="36"/>
    </row>
    <row r="179" spans="1:14" s="37" customFormat="1" ht="15.75" hidden="1" customHeight="1" x14ac:dyDescent="0.3">
      <c r="A179" s="68">
        <v>1</v>
      </c>
      <c r="B179" s="70"/>
      <c r="C179" s="54">
        <v>1</v>
      </c>
      <c r="D179" s="55">
        <f>(39.61)*(10.764)</f>
        <v>426.36203999999998</v>
      </c>
      <c r="E179" s="42">
        <v>0</v>
      </c>
      <c r="F179" s="42">
        <f>D179*(($F$138)+1)+(IF(E179&lt;101,E179,IF(E179&lt;201,E179/2,IF(E179&lt;=301,E179/3,E179/4))))</f>
        <v>618.2249579999999</v>
      </c>
      <c r="G179" s="64" t="str">
        <f>A178</f>
        <v>1st &amp; 2nd Floor For Residential</v>
      </c>
      <c r="H179" s="65"/>
      <c r="I179" s="36"/>
      <c r="J179" s="37">
        <f>4.3*3.35+1.3*1.95+2.1*3+1.45*0.9+1.24*2.2+3.05*3.35+1.45*0.9</f>
        <v>38.795499999999997</v>
      </c>
      <c r="L179" s="63"/>
      <c r="M179" s="63"/>
      <c r="N179" s="36"/>
    </row>
    <row r="180" spans="1:14" s="37" customFormat="1" ht="15.75" hidden="1" customHeight="1" x14ac:dyDescent="0.3">
      <c r="A180" s="68">
        <f t="shared" ref="A180" si="13">A179+1</f>
        <v>2</v>
      </c>
      <c r="B180" s="70"/>
      <c r="C180" s="54">
        <v>2</v>
      </c>
      <c r="D180" s="55">
        <f>(59.86)*(10.764)</f>
        <v>644.33303999999998</v>
      </c>
      <c r="E180" s="42">
        <v>0</v>
      </c>
      <c r="F180" s="42">
        <f>D180*(($F$138)+1)+(IF(E180&lt;101,E180,IF(E180&lt;201,E180/2,IF(E180&lt;=301,E180/3,E180/4))))</f>
        <v>934.28290799999991</v>
      </c>
      <c r="G180" s="66"/>
      <c r="H180" s="67"/>
      <c r="I180" s="36"/>
      <c r="L180" s="63"/>
      <c r="M180" s="63"/>
      <c r="N180" s="36"/>
    </row>
    <row r="181" spans="1:14" s="37" customFormat="1" hidden="1" x14ac:dyDescent="0.3">
      <c r="A181" s="73" t="s">
        <v>122</v>
      </c>
      <c r="B181" s="74"/>
      <c r="C181" s="74"/>
      <c r="D181" s="74"/>
      <c r="E181" s="74"/>
      <c r="F181" s="74"/>
      <c r="G181" s="74"/>
      <c r="H181" s="75"/>
      <c r="J181" s="36"/>
    </row>
    <row r="182" spans="1:14" s="37" customFormat="1" hidden="1" x14ac:dyDescent="0.3">
      <c r="A182" s="68">
        <v>1</v>
      </c>
      <c r="B182" s="70"/>
      <c r="C182" s="54"/>
      <c r="D182" s="42"/>
      <c r="E182" s="42">
        <v>0</v>
      </c>
      <c r="F182" s="42">
        <f>D182*(($F$138)+1)+(IF(E182&lt;101,E182,IF(E182&lt;201,E182/2,IF(E182&lt;=301,E182/3,E182/4))))</f>
        <v>0</v>
      </c>
      <c r="G182" s="68" t="str">
        <f>A181</f>
        <v>Ground Floor</v>
      </c>
      <c r="H182" s="70"/>
      <c r="I182" s="36"/>
      <c r="L182" s="63"/>
      <c r="M182" s="63"/>
      <c r="N182" s="36"/>
    </row>
    <row r="183" spans="1:14" s="37" customFormat="1" hidden="1" x14ac:dyDescent="0.3">
      <c r="A183" s="68">
        <f t="shared" ref="A183:A185" si="14">A182+1</f>
        <v>2</v>
      </c>
      <c r="B183" s="70"/>
      <c r="C183" s="54"/>
      <c r="D183" s="42"/>
      <c r="E183" s="42">
        <v>0</v>
      </c>
      <c r="F183" s="42">
        <f>D183*(($F$138)+1)+(IF(E183&lt;101,E183,IF(E183&lt;201,E183/2,IF(E183&lt;=301,E183/3,E183/4))))</f>
        <v>0</v>
      </c>
      <c r="G183" s="68" t="str">
        <f t="shared" ref="G183:G185" si="15">G182</f>
        <v>Ground Floor</v>
      </c>
      <c r="H183" s="70"/>
      <c r="I183" s="36"/>
      <c r="L183" s="63"/>
      <c r="M183" s="63"/>
      <c r="N183" s="36"/>
    </row>
    <row r="184" spans="1:14" s="37" customFormat="1" hidden="1" x14ac:dyDescent="0.3">
      <c r="A184" s="68">
        <f t="shared" si="14"/>
        <v>3</v>
      </c>
      <c r="B184" s="70"/>
      <c r="C184" s="54"/>
      <c r="D184" s="42"/>
      <c r="E184" s="42">
        <v>0</v>
      </c>
      <c r="F184" s="42">
        <f>D184*(($F$138)+1)+(IF(E184&lt;101,E184,IF(E184&lt;201,E184/2,IF(E184&lt;=301,E184/3,E184/4))))</f>
        <v>0</v>
      </c>
      <c r="G184" s="68" t="str">
        <f t="shared" si="15"/>
        <v>Ground Floor</v>
      </c>
      <c r="H184" s="70"/>
      <c r="I184" s="36"/>
      <c r="L184" s="63"/>
      <c r="M184" s="63"/>
      <c r="N184" s="36"/>
    </row>
    <row r="185" spans="1:14" s="37" customFormat="1" hidden="1" x14ac:dyDescent="0.3">
      <c r="A185" s="68">
        <f t="shared" si="14"/>
        <v>4</v>
      </c>
      <c r="B185" s="70"/>
      <c r="C185" s="54"/>
      <c r="D185" s="42"/>
      <c r="E185" s="42">
        <v>0</v>
      </c>
      <c r="F185" s="42">
        <f>D185*(($F$138)+1)+(IF(E185&lt;101,E185,IF(E185&lt;201,E185/2,IF(E185&lt;=301,E185/3,E185/4))))</f>
        <v>0</v>
      </c>
      <c r="G185" s="68" t="str">
        <f t="shared" si="15"/>
        <v>Ground Floor</v>
      </c>
      <c r="H185" s="70"/>
      <c r="I185" s="36"/>
      <c r="L185" s="63"/>
      <c r="M185" s="63"/>
      <c r="N185" s="36"/>
    </row>
    <row r="186" spans="1:14" s="37" customFormat="1" hidden="1" x14ac:dyDescent="0.3">
      <c r="A186" s="92" t="s">
        <v>123</v>
      </c>
      <c r="B186" s="92"/>
      <c r="C186" s="92"/>
      <c r="D186" s="92"/>
      <c r="E186" s="92"/>
      <c r="F186" s="92"/>
      <c r="G186" s="92"/>
      <c r="H186" s="92"/>
      <c r="I186" s="36"/>
      <c r="L186" s="63"/>
      <c r="M186" s="63"/>
    </row>
    <row r="187" spans="1:14" s="37" customFormat="1" hidden="1" x14ac:dyDescent="0.3">
      <c r="A187" s="76">
        <f>LEFT(A186,SUM(LEN(A186)-LEN(SUBSTITUTE(A186,{"0","1","2","3","4","5","6","7","8","9"},""))))*100+1</f>
        <v>201</v>
      </c>
      <c r="B187" s="76"/>
      <c r="C187" s="54"/>
      <c r="D187" s="42"/>
      <c r="E187" s="42">
        <v>0</v>
      </c>
      <c r="F187" s="42">
        <f t="shared" ref="F187:F188" si="16">D187*(($F$138)+1)+(IF(E187&lt;101,E187,IF(E187&lt;201,E187/2,IF(E187&lt;=301,E187/3,E187/4))))</f>
        <v>0</v>
      </c>
      <c r="G187" s="76" t="str">
        <f>A186</f>
        <v>2nd Floor</v>
      </c>
      <c r="H187" s="76"/>
      <c r="I187" s="36"/>
      <c r="N187" s="36"/>
    </row>
    <row r="188" spans="1:14" s="37" customFormat="1" hidden="1" x14ac:dyDescent="0.3">
      <c r="A188" s="76">
        <f>A187+1</f>
        <v>202</v>
      </c>
      <c r="B188" s="76"/>
      <c r="C188" s="54"/>
      <c r="D188" s="42"/>
      <c r="E188" s="42">
        <v>0</v>
      </c>
      <c r="F188" s="42">
        <f t="shared" si="16"/>
        <v>0</v>
      </c>
      <c r="G188" s="76" t="str">
        <f>G187</f>
        <v>2nd Floor</v>
      </c>
      <c r="H188" s="76"/>
      <c r="I188" s="36"/>
      <c r="N188" s="36"/>
    </row>
    <row r="189" spans="1:14" s="37" customFormat="1" hidden="1" x14ac:dyDescent="0.3">
      <c r="A189" s="76">
        <f>A188+1</f>
        <v>203</v>
      </c>
      <c r="B189" s="76"/>
      <c r="C189" s="54"/>
      <c r="D189" s="42"/>
      <c r="E189" s="42">
        <v>0</v>
      </c>
      <c r="F189" s="42">
        <f>D189*(($F$138)+1)+(IF(E189&lt;101,E189,IF(E189&lt;201,E189/2,IF(E189&lt;=301,E189/3,E189/4))))</f>
        <v>0</v>
      </c>
      <c r="G189" s="76" t="str">
        <f>G188</f>
        <v>2nd Floor</v>
      </c>
      <c r="H189" s="76"/>
      <c r="I189" s="36"/>
      <c r="N189" s="36"/>
    </row>
    <row r="190" spans="1:14" s="37" customFormat="1" hidden="1" x14ac:dyDescent="0.3">
      <c r="A190" s="76">
        <f>A189+1</f>
        <v>204</v>
      </c>
      <c r="B190" s="76"/>
      <c r="C190" s="54"/>
      <c r="D190" s="42"/>
      <c r="E190" s="42">
        <v>0</v>
      </c>
      <c r="F190" s="42">
        <f>D190*(($F$138)+1)+(IF(E190&lt;101,E190,IF(E190&lt;201,E190/2,IF(E190&lt;=301,E190/3,E190/4))))</f>
        <v>0</v>
      </c>
      <c r="G190" s="76" t="str">
        <f>G189</f>
        <v>2nd Floor</v>
      </c>
      <c r="H190" s="76"/>
      <c r="I190" s="36"/>
      <c r="N190" s="36"/>
    </row>
    <row r="191" spans="1:14" s="37" customFormat="1" hidden="1" x14ac:dyDescent="0.3">
      <c r="A191" s="76">
        <f>A190+1</f>
        <v>205</v>
      </c>
      <c r="B191" s="76"/>
      <c r="C191" s="54"/>
      <c r="D191" s="42"/>
      <c r="E191" s="42">
        <v>0</v>
      </c>
      <c r="F191" s="42">
        <f>D191*(($F$138)+1)+(IF(E191&lt;101,E191,IF(E191&lt;201,E191/2,IF(E191&lt;=301,E191/3,E191/4))))</f>
        <v>0</v>
      </c>
      <c r="G191" s="76" t="str">
        <f>G190</f>
        <v>2nd Floor</v>
      </c>
      <c r="H191" s="76"/>
      <c r="I191" s="36"/>
      <c r="N191" s="36"/>
    </row>
    <row r="192" spans="1:14" s="37" customFormat="1" ht="15.75" hidden="1" customHeight="1" x14ac:dyDescent="0.3">
      <c r="A192" s="73" t="s">
        <v>158</v>
      </c>
      <c r="B192" s="74"/>
      <c r="C192" s="74"/>
      <c r="D192" s="74"/>
      <c r="E192" s="74"/>
      <c r="F192" s="74"/>
      <c r="G192" s="74"/>
      <c r="H192" s="75"/>
      <c r="I192" s="36"/>
    </row>
    <row r="193" spans="1:9" s="37" customFormat="1" hidden="1" x14ac:dyDescent="0.3">
      <c r="A193" s="68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10^ROW(INDIRECT("1:"&amp;LEN((LEFT(A192,SUM(LEN(A192)-LEN(SUBSTITUTE(A192,{"0","1","2"},""))))))))/10))*100+1&amp;""&amp;" ,..,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",LEN(A192))),LEN(A192)))))))/10))*100+1</f>
        <v>301 ,.., 1501</v>
      </c>
      <c r="B193" s="70"/>
      <c r="C193" s="54"/>
      <c r="D193" s="42"/>
      <c r="E193" s="42">
        <v>0</v>
      </c>
      <c r="F193" s="42">
        <f>D193*(($F$138)+1)+(IF(E193&lt;101,E193,IF(E193&lt;201,E193/2,IF(E193&lt;=301,E193/3,E193/4))))</f>
        <v>0</v>
      </c>
      <c r="G193" s="68" t="str">
        <f>A192</f>
        <v>3rd, 5th, 7th, 9th, 11th, 13th, 15th Floor</v>
      </c>
      <c r="H193" s="70"/>
      <c r="I193" s="36"/>
    </row>
    <row r="194" spans="1:9" s="37" customFormat="1" hidden="1" x14ac:dyDescent="0.3">
      <c r="A194" s="68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,..,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302 ,.., 1502</v>
      </c>
      <c r="B194" s="70"/>
      <c r="C194" s="54"/>
      <c r="D194" s="42"/>
      <c r="E194" s="42">
        <v>0</v>
      </c>
      <c r="F194" s="42">
        <f>D194*(($F$138)+1)+(IF(E194&lt;101,E194,IF(E194&lt;201,E194/2,IF(E194&lt;=301,E194/3,E194/4))))</f>
        <v>0</v>
      </c>
      <c r="G194" s="68" t="str">
        <f>G193</f>
        <v>3rd, 5th, 7th, 9th, 11th, 13th, 15th Floor</v>
      </c>
      <c r="H194" s="70"/>
      <c r="I194" s="36"/>
    </row>
    <row r="195" spans="1:9" s="37" customFormat="1" ht="15.75" hidden="1" customHeight="1" x14ac:dyDescent="0.3">
      <c r="A195" s="68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,..,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303 ,.., 1503</v>
      </c>
      <c r="B195" s="70"/>
      <c r="C195" s="54"/>
      <c r="D195" s="42"/>
      <c r="E195" s="42">
        <v>0</v>
      </c>
      <c r="F195" s="42">
        <f>D195*(($F$138)+1)+(IF(E195&lt;101,E195,IF(E195&lt;201,E195/2,IF(E195&lt;=301,E195/3,E195/4))))</f>
        <v>0</v>
      </c>
      <c r="G195" s="68" t="str">
        <f>G194</f>
        <v>3rd, 5th, 7th, 9th, 11th, 13th, 15th Floor</v>
      </c>
      <c r="H195" s="70"/>
      <c r="I195" s="36"/>
    </row>
    <row r="196" spans="1:9" s="37" customFormat="1" ht="15.75" hidden="1" customHeight="1" x14ac:dyDescent="0.3">
      <c r="A196" s="68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,..,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304 ,.., 1504</v>
      </c>
      <c r="B196" s="70"/>
      <c r="C196" s="54"/>
      <c r="D196" s="42"/>
      <c r="E196" s="42">
        <v>0</v>
      </c>
      <c r="F196" s="42">
        <f>D196*(($F$138)+1)+(IF(E196&lt;101,E196,IF(E196&lt;201,E196/2,IF(E196&lt;=301,E196/3,E196/4))))</f>
        <v>0</v>
      </c>
      <c r="G196" s="68" t="str">
        <f>G195</f>
        <v>3rd, 5th, 7th, 9th, 11th, 13th, 15th Floor</v>
      </c>
      <c r="H196" s="70"/>
      <c r="I196" s="36"/>
    </row>
    <row r="197" spans="1:9" s="37" customFormat="1" ht="15.75" hidden="1" customHeight="1" x14ac:dyDescent="0.3">
      <c r="A197" s="68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,..,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305 ,.., 1505</v>
      </c>
      <c r="B197" s="70"/>
      <c r="C197" s="54"/>
      <c r="D197" s="42"/>
      <c r="E197" s="42">
        <v>0</v>
      </c>
      <c r="F197" s="42">
        <f>D197*(($F$138)+1)+(IF(E197&lt;101,E197,IF(E197&lt;201,E197/2,IF(E197&lt;=301,E197/3,E197/4))))</f>
        <v>0</v>
      </c>
      <c r="G197" s="68" t="str">
        <f>G196</f>
        <v>3rd, 5th, 7th, 9th, 11th, 13th, 15th Floor</v>
      </c>
      <c r="H197" s="70"/>
      <c r="I197" s="36"/>
    </row>
    <row r="198" spans="1:9" s="37" customFormat="1" hidden="1" x14ac:dyDescent="0.3">
      <c r="A198" s="73" t="s">
        <v>152</v>
      </c>
      <c r="B198" s="74"/>
      <c r="C198" s="74"/>
      <c r="D198" s="74"/>
      <c r="E198" s="74"/>
      <c r="F198" s="74"/>
      <c r="G198" s="74"/>
      <c r="H198" s="75"/>
      <c r="I198" s="36"/>
    </row>
    <row r="199" spans="1:9" s="37" customFormat="1" hidden="1" x14ac:dyDescent="0.3">
      <c r="A199" s="68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10^ROW(INDIRECT("1:"&amp;LEN((LEFT(A198,SUM(LEN(A198)-LEN(SUBSTITUTE(A198,{"0","1","2"},""))))))))/10))*100+1&amp;""&amp;" to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",LEN(A198))),LEN(A198)))))))/10))*100+1</f>
        <v>201 to 501</v>
      </c>
      <c r="B199" s="70"/>
      <c r="C199" s="54"/>
      <c r="D199" s="42"/>
      <c r="E199" s="42">
        <v>0</v>
      </c>
      <c r="F199" s="42">
        <f>D199*(($F$138)+1)+(IF(E199&lt;101,E199,IF(E199&lt;201,E199/2,IF(E199&lt;=301,E199/3,E199/4))))</f>
        <v>0</v>
      </c>
      <c r="G199" s="68" t="str">
        <f>A198</f>
        <v>2nd to 5th Floor</v>
      </c>
      <c r="H199" s="70"/>
      <c r="I199" s="36"/>
    </row>
    <row r="200" spans="1:9" s="37" customFormat="1" hidden="1" x14ac:dyDescent="0.3">
      <c r="A200" s="68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to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202 to 502</v>
      </c>
      <c r="B200" s="70"/>
      <c r="C200" s="54"/>
      <c r="D200" s="42"/>
      <c r="E200" s="42">
        <v>0</v>
      </c>
      <c r="F200" s="42">
        <f>D200*(($F$138)+1)+(IF(E200&lt;101,E200,IF(E200&lt;201,E200/2,IF(E200&lt;=301,E200/3,E200/4))))</f>
        <v>0</v>
      </c>
      <c r="G200" s="68" t="str">
        <f>G199</f>
        <v>2nd to 5th Floor</v>
      </c>
      <c r="H200" s="70"/>
      <c r="I200" s="36"/>
    </row>
    <row r="201" spans="1:9" s="37" customFormat="1" hidden="1" x14ac:dyDescent="0.3">
      <c r="A201" s="68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to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203 to 503</v>
      </c>
      <c r="B201" s="70"/>
      <c r="C201" s="54"/>
      <c r="D201" s="42"/>
      <c r="E201" s="42">
        <v>0</v>
      </c>
      <c r="F201" s="42">
        <f>D201*(($F$138)+1)+(IF(E201&lt;101,E201,IF(E201&lt;201,E201/2,IF(E201&lt;=301,E201/3,E201/4))))</f>
        <v>0</v>
      </c>
      <c r="G201" s="68" t="str">
        <f>G200</f>
        <v>2nd to 5th Floor</v>
      </c>
      <c r="H201" s="70"/>
      <c r="I201" s="36"/>
    </row>
    <row r="202" spans="1:9" s="37" customFormat="1" hidden="1" x14ac:dyDescent="0.3">
      <c r="A202" s="68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to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204 to 504</v>
      </c>
      <c r="B202" s="70"/>
      <c r="C202" s="54"/>
      <c r="D202" s="42"/>
      <c r="E202" s="42">
        <v>0</v>
      </c>
      <c r="F202" s="42">
        <f>D202*(($F$138)+1)+(IF(E202&lt;101,E202,IF(E202&lt;201,E202/2,IF(E202&lt;=301,E202/3,E202/4))))</f>
        <v>0</v>
      </c>
      <c r="G202" s="68" t="str">
        <f>G201</f>
        <v>2nd to 5th Floor</v>
      </c>
      <c r="H202" s="70"/>
      <c r="I202" s="36"/>
    </row>
    <row r="203" spans="1:9" s="37" customFormat="1" hidden="1" x14ac:dyDescent="0.3">
      <c r="A203" s="68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to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205 to 505</v>
      </c>
      <c r="B203" s="70"/>
      <c r="C203" s="54"/>
      <c r="D203" s="42"/>
      <c r="E203" s="42">
        <v>0</v>
      </c>
      <c r="F203" s="42">
        <f>D203*(($F$138)+1)+(IF(E203&lt;101,E203,IF(E203&lt;201,E203/2,IF(E203&lt;=301,E203/3,E203/4))))</f>
        <v>0</v>
      </c>
      <c r="G203" s="68" t="str">
        <f>G202</f>
        <v>2nd to 5th Floor</v>
      </c>
      <c r="H203" s="70"/>
      <c r="I203" s="36"/>
    </row>
    <row r="204" spans="1:9" s="37" customFormat="1" hidden="1" x14ac:dyDescent="0.3">
      <c r="A204" s="73" t="s">
        <v>153</v>
      </c>
      <c r="B204" s="74"/>
      <c r="C204" s="74"/>
      <c r="D204" s="74"/>
      <c r="E204" s="74"/>
      <c r="F204" s="74"/>
      <c r="G204" s="74"/>
      <c r="H204" s="75"/>
      <c r="I204" s="36"/>
    </row>
    <row r="205" spans="1:9" s="37" customFormat="1" hidden="1" x14ac:dyDescent="0.3">
      <c r="A205" s="68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10^ROW(INDIRECT("1:"&amp;LEN((LEFT(A204,SUM(LEN(A204)-LEN(SUBSTITUTE(A204,{"0","1","2"},""))))))))/10))*100+1&amp;""&amp;"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",LEN(A204))),LEN(A204)))))))/10))*100+1</f>
        <v>201 &amp; 501</v>
      </c>
      <c r="B205" s="70"/>
      <c r="C205" s="54"/>
      <c r="D205" s="42"/>
      <c r="E205" s="42">
        <v>0</v>
      </c>
      <c r="F205" s="42">
        <f>D205*(($F$138)+1)+(IF(E205&lt;101,E205,IF(E205&lt;201,E205/2,IF(E205&lt;=301,E205/3,E205/4))))</f>
        <v>0</v>
      </c>
      <c r="G205" s="68" t="str">
        <f>A204</f>
        <v>2nd &amp; 5th Floor</v>
      </c>
      <c r="H205" s="70"/>
      <c r="I205" s="36"/>
    </row>
    <row r="206" spans="1:9" s="37" customFormat="1" hidden="1" x14ac:dyDescent="0.3">
      <c r="A206" s="68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202 &amp; 502</v>
      </c>
      <c r="B206" s="70"/>
      <c r="C206" s="54"/>
      <c r="D206" s="42"/>
      <c r="E206" s="42">
        <v>0</v>
      </c>
      <c r="F206" s="42">
        <f>D206*(($F$138)+1)+(IF(E206&lt;101,E206,IF(E206&lt;201,E206/2,IF(E206&lt;=301,E206/3,E206/4))))</f>
        <v>0</v>
      </c>
      <c r="G206" s="68" t="str">
        <f t="shared" ref="G206:G209" si="17">G205</f>
        <v>2nd &amp; 5th Floor</v>
      </c>
      <c r="H206" s="70"/>
      <c r="I206" s="36"/>
    </row>
    <row r="207" spans="1:9" s="37" customFormat="1" hidden="1" x14ac:dyDescent="0.3">
      <c r="A207" s="68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&amp;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203 &amp; 503</v>
      </c>
      <c r="B207" s="70"/>
      <c r="C207" s="54"/>
      <c r="D207" s="42"/>
      <c r="E207" s="42">
        <v>0</v>
      </c>
      <c r="F207" s="42">
        <f>D207*(($F$138)+1)+(IF(E207&lt;101,E207,IF(E207&lt;201,E207/2,IF(E207&lt;=301,E207/3,E207/4))))</f>
        <v>0</v>
      </c>
      <c r="G207" s="68" t="str">
        <f t="shared" si="17"/>
        <v>2nd &amp; 5th Floor</v>
      </c>
      <c r="H207" s="70"/>
      <c r="I207" s="36"/>
    </row>
    <row r="208" spans="1:9" s="37" customFormat="1" hidden="1" x14ac:dyDescent="0.3">
      <c r="A208" s="68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&amp;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204 &amp; 504</v>
      </c>
      <c r="B208" s="70"/>
      <c r="C208" s="54"/>
      <c r="D208" s="42"/>
      <c r="E208" s="42">
        <v>0</v>
      </c>
      <c r="F208" s="42">
        <f>D208*(($F$138)+1)+(IF(E208&lt;101,E208,IF(E208&lt;201,E208/2,IF(E208&lt;=301,E208/3,E208/4))))</f>
        <v>0</v>
      </c>
      <c r="G208" s="68" t="str">
        <f t="shared" si="17"/>
        <v>2nd &amp; 5th Floor</v>
      </c>
      <c r="H208" s="70"/>
      <c r="I208" s="36"/>
    </row>
    <row r="209" spans="1:9" s="37" customFormat="1" hidden="1" x14ac:dyDescent="0.3">
      <c r="A209" s="68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&amp;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205 &amp; 505</v>
      </c>
      <c r="B209" s="70"/>
      <c r="C209" s="54"/>
      <c r="D209" s="42"/>
      <c r="E209" s="42">
        <v>0</v>
      </c>
      <c r="F209" s="42">
        <f>D209*(($F$138)+1)+(IF(E209&lt;101,E209,IF(E209&lt;201,E209/2,IF(E209&lt;=301,E209/3,E209/4))))</f>
        <v>0</v>
      </c>
      <c r="G209" s="68" t="str">
        <f t="shared" si="17"/>
        <v>2nd &amp; 5th Floor</v>
      </c>
      <c r="H209" s="70"/>
      <c r="I209" s="36"/>
    </row>
    <row r="210" spans="1:9" s="35" customFormat="1" x14ac:dyDescent="0.3">
      <c r="A210" s="181" t="s">
        <v>69</v>
      </c>
      <c r="B210" s="181"/>
      <c r="C210" s="181"/>
      <c r="D210" s="181"/>
      <c r="E210" s="181"/>
      <c r="F210" s="181"/>
      <c r="G210" s="181"/>
      <c r="H210" s="181"/>
    </row>
    <row r="211" spans="1:9" s="35" customFormat="1" ht="30" customHeight="1" x14ac:dyDescent="0.3">
      <c r="A211" s="47" t="s">
        <v>162</v>
      </c>
      <c r="B211" s="60" t="s">
        <v>268</v>
      </c>
      <c r="C211" s="61"/>
      <c r="D211" s="61"/>
      <c r="E211" s="61"/>
      <c r="F211" s="61"/>
      <c r="G211" s="61"/>
      <c r="H211" s="62"/>
    </row>
    <row r="212" spans="1:9" s="35" customFormat="1" ht="83.25" hidden="1" customHeight="1" x14ac:dyDescent="0.3">
      <c r="A212" s="47" t="s">
        <v>162</v>
      </c>
      <c r="B212" s="178" t="s">
        <v>211</v>
      </c>
      <c r="C212" s="179"/>
      <c r="D212" s="179"/>
      <c r="E212" s="179"/>
      <c r="F212" s="179"/>
      <c r="G212" s="179"/>
      <c r="H212" s="180"/>
    </row>
    <row r="213" spans="1:9" s="35" customFormat="1" x14ac:dyDescent="0.3">
      <c r="A213" s="47" t="s">
        <v>162</v>
      </c>
      <c r="B213" s="60" t="str">
        <f>(IF(F137="Saleable area Loading :","We have considered Saleable area of Flats as per our Calculation.","We considered Saleable area of Flat as per Builder area Sheet."))</f>
        <v>We have considered Saleable area of Flats as per our Calculation.</v>
      </c>
      <c r="C213" s="61"/>
      <c r="D213" s="61"/>
      <c r="E213" s="61"/>
      <c r="F213" s="61"/>
      <c r="G213" s="61"/>
      <c r="H213" s="62"/>
    </row>
    <row r="214" spans="1:9" s="35" customFormat="1" x14ac:dyDescent="0.3">
      <c r="A214" s="47" t="s">
        <v>162</v>
      </c>
      <c r="B214" s="60" t="str">
        <f>(IF(F126="Saleable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4" s="61"/>
      <c r="D214" s="61"/>
      <c r="E214" s="61"/>
      <c r="F214" s="61"/>
      <c r="G214" s="61"/>
      <c r="H214" s="62"/>
    </row>
    <row r="215" spans="1:9" s="35" customFormat="1" x14ac:dyDescent="0.3">
      <c r="A215" s="47" t="s">
        <v>162</v>
      </c>
      <c r="B215" s="77" t="s">
        <v>129</v>
      </c>
      <c r="C215" s="78"/>
      <c r="D215" s="78"/>
      <c r="E215" s="78"/>
      <c r="F215" s="78"/>
      <c r="G215" s="78"/>
      <c r="H215" s="79"/>
    </row>
    <row r="216" spans="1:9" s="35" customFormat="1" x14ac:dyDescent="0.3">
      <c r="A216" s="47" t="s">
        <v>162</v>
      </c>
      <c r="B216" s="77" t="s">
        <v>205</v>
      </c>
      <c r="C216" s="78"/>
      <c r="D216" s="78"/>
      <c r="E216" s="78"/>
      <c r="F216" s="78"/>
      <c r="G216" s="78"/>
      <c r="H216" s="79"/>
    </row>
    <row r="217" spans="1:9" s="35" customFormat="1" x14ac:dyDescent="0.3">
      <c r="A217" s="47" t="s">
        <v>162</v>
      </c>
      <c r="B217" s="77" t="s">
        <v>161</v>
      </c>
      <c r="C217" s="78"/>
      <c r="D217" s="78"/>
      <c r="E217" s="78"/>
      <c r="F217" s="78"/>
      <c r="G217" s="78"/>
      <c r="H217" s="79"/>
    </row>
    <row r="218" spans="1:9" s="35" customFormat="1" x14ac:dyDescent="0.3">
      <c r="A218" s="47" t="s">
        <v>162</v>
      </c>
      <c r="B218" s="77" t="s">
        <v>130</v>
      </c>
      <c r="C218" s="78"/>
      <c r="D218" s="78"/>
      <c r="E218" s="78"/>
      <c r="F218" s="78"/>
      <c r="G218" s="78"/>
      <c r="H218" s="79"/>
    </row>
    <row r="219" spans="1:9" s="35" customFormat="1" ht="34.5" customHeight="1" x14ac:dyDescent="0.3">
      <c r="A219" s="47" t="s">
        <v>162</v>
      </c>
      <c r="B219" s="77" t="s">
        <v>163</v>
      </c>
      <c r="C219" s="78"/>
      <c r="D219" s="78"/>
      <c r="E219" s="78"/>
      <c r="F219" s="78"/>
      <c r="G219" s="78"/>
      <c r="H219" s="79"/>
    </row>
    <row r="220" spans="1:9" s="35" customFormat="1" x14ac:dyDescent="0.3">
      <c r="A220" s="47" t="s">
        <v>162</v>
      </c>
      <c r="B220" s="77" t="s">
        <v>131</v>
      </c>
      <c r="C220" s="78"/>
      <c r="D220" s="78"/>
      <c r="E220" s="78"/>
      <c r="F220" s="78"/>
      <c r="G220" s="78"/>
      <c r="H220" s="79"/>
    </row>
    <row r="221" spans="1:9" s="35" customFormat="1" x14ac:dyDescent="0.3">
      <c r="A221" s="47" t="s">
        <v>162</v>
      </c>
      <c r="B221" s="77" t="s">
        <v>244</v>
      </c>
      <c r="C221" s="78"/>
      <c r="D221" s="78"/>
      <c r="E221" s="78"/>
      <c r="F221" s="78"/>
      <c r="G221" s="78"/>
      <c r="H221" s="79"/>
    </row>
    <row r="222" spans="1:9" s="35" customFormat="1" x14ac:dyDescent="0.3">
      <c r="A222" s="47" t="s">
        <v>162</v>
      </c>
      <c r="B222" s="77" t="s">
        <v>227</v>
      </c>
      <c r="C222" s="78"/>
      <c r="D222" s="78"/>
      <c r="E222" s="78"/>
      <c r="F222" s="78"/>
      <c r="G222" s="78"/>
      <c r="H222" s="79"/>
    </row>
    <row r="223" spans="1:9" s="35" customFormat="1" ht="15.75" hidden="1" customHeight="1" x14ac:dyDescent="0.3">
      <c r="A223" s="47" t="s">
        <v>162</v>
      </c>
      <c r="B223" s="77" t="s">
        <v>229</v>
      </c>
      <c r="C223" s="78"/>
      <c r="D223" s="78"/>
      <c r="E223" s="78"/>
      <c r="F223" s="78"/>
      <c r="G223" s="78"/>
      <c r="H223" s="79"/>
    </row>
    <row r="224" spans="1:9" s="35" customFormat="1" x14ac:dyDescent="0.3">
      <c r="A224" s="47" t="s">
        <v>162</v>
      </c>
      <c r="B224" s="60" t="s">
        <v>249</v>
      </c>
      <c r="C224" s="61"/>
      <c r="D224" s="61"/>
      <c r="E224" s="61"/>
      <c r="F224" s="61"/>
      <c r="G224" s="61"/>
      <c r="H224" s="62"/>
    </row>
    <row r="225" spans="1:8" s="35" customFormat="1" x14ac:dyDescent="0.3">
      <c r="A225" s="47" t="s">
        <v>162</v>
      </c>
      <c r="B225" s="60" t="s">
        <v>264</v>
      </c>
      <c r="C225" s="61"/>
      <c r="D225" s="61"/>
      <c r="E225" s="61"/>
      <c r="F225" s="61"/>
      <c r="G225" s="61"/>
      <c r="H225" s="62"/>
    </row>
    <row r="226" spans="1:8" s="35" customFormat="1" x14ac:dyDescent="0.3">
      <c r="A226" s="47" t="s">
        <v>162</v>
      </c>
      <c r="B226" s="60" t="s">
        <v>266</v>
      </c>
      <c r="C226" s="61"/>
      <c r="D226" s="61"/>
      <c r="E226" s="61"/>
      <c r="F226" s="61"/>
      <c r="G226" s="61"/>
      <c r="H226" s="62"/>
    </row>
    <row r="227" spans="1:8" x14ac:dyDescent="0.3">
      <c r="A227" s="142" t="s">
        <v>62</v>
      </c>
      <c r="B227" s="142"/>
      <c r="C227" s="142"/>
      <c r="D227" s="142"/>
      <c r="E227" s="142"/>
      <c r="F227" s="142"/>
      <c r="G227" s="142"/>
      <c r="H227" s="142"/>
    </row>
    <row r="228" spans="1:8" x14ac:dyDescent="0.3">
      <c r="A228" s="89" t="s">
        <v>63</v>
      </c>
      <c r="B228" s="89"/>
      <c r="C228" s="89"/>
      <c r="D228" s="89"/>
      <c r="E228" s="89"/>
      <c r="F228" s="89"/>
      <c r="G228" s="89"/>
      <c r="H228" s="89"/>
    </row>
    <row r="229" spans="1:8" ht="15.75" customHeight="1" x14ac:dyDescent="0.3">
      <c r="A229" s="177" t="s">
        <v>64</v>
      </c>
      <c r="B229" s="177"/>
      <c r="C229" s="177"/>
      <c r="D229" s="177"/>
      <c r="E229" s="177"/>
      <c r="F229" s="177"/>
      <c r="G229" s="177"/>
      <c r="H229" s="177"/>
    </row>
    <row r="230" spans="1:8" x14ac:dyDescent="0.3">
      <c r="A230" s="89" t="s">
        <v>65</v>
      </c>
      <c r="B230" s="89"/>
      <c r="C230" s="89"/>
      <c r="D230" s="89"/>
      <c r="E230" s="89"/>
      <c r="F230" s="89"/>
      <c r="G230" s="89"/>
      <c r="H230" s="89"/>
    </row>
    <row r="231" spans="1:8" x14ac:dyDescent="0.3">
      <c r="A231" s="89" t="s">
        <v>66</v>
      </c>
      <c r="B231" s="89"/>
      <c r="C231" s="89"/>
      <c r="D231" s="89"/>
      <c r="E231" s="89"/>
      <c r="F231" s="89"/>
      <c r="G231" s="89"/>
      <c r="H231" s="89"/>
    </row>
    <row r="232" spans="1:8" x14ac:dyDescent="0.3">
      <c r="A232" s="89" t="s">
        <v>132</v>
      </c>
      <c r="B232" s="89"/>
      <c r="C232" s="89"/>
      <c r="D232" s="89"/>
      <c r="E232" s="89"/>
      <c r="F232" s="89"/>
      <c r="G232" s="89"/>
      <c r="H232" s="89"/>
    </row>
    <row r="233" spans="1:8" ht="31.5" customHeight="1" x14ac:dyDescent="0.3">
      <c r="A233" s="125" t="s">
        <v>133</v>
      </c>
      <c r="B233" s="125"/>
      <c r="C233" s="125"/>
      <c r="D233" s="125"/>
      <c r="E233" s="125"/>
      <c r="F233" s="125"/>
      <c r="G233" s="125"/>
      <c r="H233" s="125"/>
    </row>
    <row r="234" spans="1:8" x14ac:dyDescent="0.3">
      <c r="A234" s="176" t="s">
        <v>79</v>
      </c>
      <c r="B234" s="176"/>
      <c r="C234" s="176" t="s">
        <v>265</v>
      </c>
      <c r="D234" s="176"/>
      <c r="E234" s="176" t="s">
        <v>109</v>
      </c>
      <c r="F234" s="176"/>
      <c r="G234" s="176" t="s">
        <v>267</v>
      </c>
      <c r="H234" s="176"/>
    </row>
    <row r="235" spans="1:8" x14ac:dyDescent="0.3">
      <c r="A235" s="175" t="s">
        <v>81</v>
      </c>
      <c r="B235" s="175"/>
      <c r="C235" s="175"/>
      <c r="D235" s="175"/>
      <c r="E235" s="175"/>
      <c r="F235" s="175"/>
      <c r="G235" s="175"/>
      <c r="H235" s="175"/>
    </row>
    <row r="236" spans="1:8" x14ac:dyDescent="0.3">
      <c r="A236" s="175"/>
      <c r="B236" s="175"/>
      <c r="C236" s="175"/>
      <c r="D236" s="175"/>
      <c r="E236" s="175"/>
      <c r="F236" s="175"/>
      <c r="G236" s="175"/>
      <c r="H236" s="175"/>
    </row>
    <row r="237" spans="1:8" x14ac:dyDescent="0.3">
      <c r="A237" s="175"/>
      <c r="B237" s="175"/>
      <c r="C237" s="175"/>
      <c r="D237" s="175"/>
      <c r="E237" s="175"/>
      <c r="F237" s="175"/>
      <c r="G237" s="175"/>
      <c r="H237" s="175"/>
    </row>
    <row r="238" spans="1:8" x14ac:dyDescent="0.3">
      <c r="A238" s="175"/>
      <c r="B238" s="175"/>
      <c r="C238" s="175"/>
      <c r="D238" s="175"/>
      <c r="E238" s="175"/>
      <c r="F238" s="175"/>
      <c r="G238" s="175"/>
      <c r="H238" s="175"/>
    </row>
    <row r="239" spans="1:8" x14ac:dyDescent="0.3">
      <c r="A239" s="38" t="s">
        <v>67</v>
      </c>
      <c r="B239" s="39"/>
      <c r="C239" s="39"/>
      <c r="D239" s="38" t="str">
        <f>E8</f>
        <v>The New Anand Deep Chs Ltd</v>
      </c>
      <c r="F239" s="39"/>
      <c r="G239" s="39"/>
      <c r="H239" s="39"/>
    </row>
    <row r="240" spans="1:8" x14ac:dyDescent="0.3">
      <c r="A240" s="39"/>
      <c r="B240" s="39"/>
      <c r="C240" s="39"/>
      <c r="D240" s="39"/>
      <c r="E240" s="39"/>
      <c r="F240" s="39"/>
      <c r="G240" s="39"/>
      <c r="H240" s="39"/>
    </row>
    <row r="241" spans="1:8" x14ac:dyDescent="0.3">
      <c r="A241" s="39"/>
      <c r="B241" s="39"/>
      <c r="C241" s="39"/>
      <c r="D241" s="39"/>
      <c r="E241" s="39"/>
      <c r="F241" s="39"/>
      <c r="G241" s="39"/>
      <c r="H241" s="39"/>
    </row>
    <row r="242" spans="1:8" ht="15" customHeight="1" x14ac:dyDescent="0.3"/>
    <row r="281" spans="1:1" x14ac:dyDescent="0.3">
      <c r="A281" s="41" t="s">
        <v>175</v>
      </c>
    </row>
    <row r="320" spans="1:1" x14ac:dyDescent="0.3">
      <c r="A320" s="41" t="s">
        <v>68</v>
      </c>
    </row>
  </sheetData>
  <mergeCells count="459">
    <mergeCell ref="B226:H226"/>
    <mergeCell ref="B224:H224"/>
    <mergeCell ref="B223:H223"/>
    <mergeCell ref="A116:B116"/>
    <mergeCell ref="C116:D116"/>
    <mergeCell ref="E116:F116"/>
    <mergeCell ref="G116:H116"/>
    <mergeCell ref="A168:H168"/>
    <mergeCell ref="A169:B169"/>
    <mergeCell ref="G169:H171"/>
    <mergeCell ref="A144:H144"/>
    <mergeCell ref="A145:B145"/>
    <mergeCell ref="G145:H147"/>
    <mergeCell ref="C126:C127"/>
    <mergeCell ref="B126:B127"/>
    <mergeCell ref="C137:C138"/>
    <mergeCell ref="C122:D122"/>
    <mergeCell ref="A196:B196"/>
    <mergeCell ref="A193:B193"/>
    <mergeCell ref="G185:H185"/>
    <mergeCell ref="A150:B150"/>
    <mergeCell ref="A151:B151"/>
    <mergeCell ref="G149:H151"/>
    <mergeCell ref="E123:F123"/>
    <mergeCell ref="B221:H221"/>
    <mergeCell ref="A153:B153"/>
    <mergeCell ref="G153:H155"/>
    <mergeCell ref="L153:M153"/>
    <mergeCell ref="A154:B154"/>
    <mergeCell ref="L154:M154"/>
    <mergeCell ref="A155:B155"/>
    <mergeCell ref="L155:M155"/>
    <mergeCell ref="A164:H164"/>
    <mergeCell ref="A165:B165"/>
    <mergeCell ref="G165:H167"/>
    <mergeCell ref="L165:M165"/>
    <mergeCell ref="A166:B166"/>
    <mergeCell ref="L166:M166"/>
    <mergeCell ref="A167:B167"/>
    <mergeCell ref="L167:M167"/>
    <mergeCell ref="B213:H213"/>
    <mergeCell ref="B211:H211"/>
    <mergeCell ref="A181:H181"/>
    <mergeCell ref="A176:H176"/>
    <mergeCell ref="C157:F157"/>
    <mergeCell ref="L161:M161"/>
    <mergeCell ref="A162:B162"/>
    <mergeCell ref="A99:E99"/>
    <mergeCell ref="A163:B163"/>
    <mergeCell ref="L163:M163"/>
    <mergeCell ref="A179:B179"/>
    <mergeCell ref="L169:M169"/>
    <mergeCell ref="A170:B170"/>
    <mergeCell ref="L170:M170"/>
    <mergeCell ref="A171:B171"/>
    <mergeCell ref="L171:M171"/>
    <mergeCell ref="G179:H180"/>
    <mergeCell ref="A173:B173"/>
    <mergeCell ref="G173:H175"/>
    <mergeCell ref="L173:M173"/>
    <mergeCell ref="A174:B174"/>
    <mergeCell ref="L174:M174"/>
    <mergeCell ref="A175:B175"/>
    <mergeCell ref="L175:M175"/>
    <mergeCell ref="C173:F173"/>
    <mergeCell ref="A125:H125"/>
    <mergeCell ref="G114:H114"/>
    <mergeCell ref="A109:E109"/>
    <mergeCell ref="C115:D115"/>
    <mergeCell ref="F99:H99"/>
    <mergeCell ref="G123:H123"/>
    <mergeCell ref="A89:B89"/>
    <mergeCell ref="E89:F98"/>
    <mergeCell ref="A96:B96"/>
    <mergeCell ref="A97:B97"/>
    <mergeCell ref="D64:H64"/>
    <mergeCell ref="A42:D42"/>
    <mergeCell ref="E42:H42"/>
    <mergeCell ref="E43:H43"/>
    <mergeCell ref="E44:H44"/>
    <mergeCell ref="A65:C65"/>
    <mergeCell ref="G57:H57"/>
    <mergeCell ref="C52:H52"/>
    <mergeCell ref="C53:E53"/>
    <mergeCell ref="G53:H53"/>
    <mergeCell ref="C54:H54"/>
    <mergeCell ref="G88:H88"/>
    <mergeCell ref="A87:B87"/>
    <mergeCell ref="C87:H87"/>
    <mergeCell ref="A88:B88"/>
    <mergeCell ref="A55:B56"/>
    <mergeCell ref="C55:E55"/>
    <mergeCell ref="E88:F88"/>
    <mergeCell ref="A98:B98"/>
    <mergeCell ref="A93:B93"/>
    <mergeCell ref="J40:M40"/>
    <mergeCell ref="J41:M41"/>
    <mergeCell ref="J42:M42"/>
    <mergeCell ref="J43:M43"/>
    <mergeCell ref="J44:M44"/>
    <mergeCell ref="J60:N60"/>
    <mergeCell ref="E41:H41"/>
    <mergeCell ref="A41:D41"/>
    <mergeCell ref="A85:B85"/>
    <mergeCell ref="C85:H85"/>
    <mergeCell ref="A80:B80"/>
    <mergeCell ref="A48:B48"/>
    <mergeCell ref="C48:E48"/>
    <mergeCell ref="G48:H48"/>
    <mergeCell ref="G51:H51"/>
    <mergeCell ref="D59:H59"/>
    <mergeCell ref="D65:H65"/>
    <mergeCell ref="A82:B82"/>
    <mergeCell ref="A64:C64"/>
    <mergeCell ref="A67:C67"/>
    <mergeCell ref="D67:H67"/>
    <mergeCell ref="A70:C70"/>
    <mergeCell ref="D70:H70"/>
    <mergeCell ref="A68:C68"/>
    <mergeCell ref="F104:H104"/>
    <mergeCell ref="A100:E100"/>
    <mergeCell ref="A232:H232"/>
    <mergeCell ref="A229:H229"/>
    <mergeCell ref="G202:H202"/>
    <mergeCell ref="A187:B187"/>
    <mergeCell ref="A119:B119"/>
    <mergeCell ref="D137:D138"/>
    <mergeCell ref="E137:E138"/>
    <mergeCell ref="G137:H138"/>
    <mergeCell ref="A228:H228"/>
    <mergeCell ref="A208:B208"/>
    <mergeCell ref="B215:H215"/>
    <mergeCell ref="B216:H216"/>
    <mergeCell ref="G205:H205"/>
    <mergeCell ref="B219:H219"/>
    <mergeCell ref="G208:H208"/>
    <mergeCell ref="G157:H159"/>
    <mergeCell ref="B212:H212"/>
    <mergeCell ref="F103:H103"/>
    <mergeCell ref="A210:H210"/>
    <mergeCell ref="A202:B202"/>
    <mergeCell ref="G203:H203"/>
    <mergeCell ref="A191:B191"/>
    <mergeCell ref="A94:B94"/>
    <mergeCell ref="A95:B95"/>
    <mergeCell ref="F100:H100"/>
    <mergeCell ref="G115:H115"/>
    <mergeCell ref="A148:H148"/>
    <mergeCell ref="A149:B149"/>
    <mergeCell ref="C114:D114"/>
    <mergeCell ref="A227:H227"/>
    <mergeCell ref="A184:B184"/>
    <mergeCell ref="G184:H184"/>
    <mergeCell ref="B137:B138"/>
    <mergeCell ref="A182:B182"/>
    <mergeCell ref="B220:H220"/>
    <mergeCell ref="B218:H218"/>
    <mergeCell ref="B214:H214"/>
    <mergeCell ref="A207:B207"/>
    <mergeCell ref="G207:H207"/>
    <mergeCell ref="G206:H206"/>
    <mergeCell ref="A204:H204"/>
    <mergeCell ref="A205:B205"/>
    <mergeCell ref="A206:B206"/>
    <mergeCell ref="A209:B209"/>
    <mergeCell ref="G209:H209"/>
    <mergeCell ref="G200:H200"/>
    <mergeCell ref="D68:H68"/>
    <mergeCell ref="A235:H238"/>
    <mergeCell ref="A234:B234"/>
    <mergeCell ref="E234:F234"/>
    <mergeCell ref="C234:D234"/>
    <mergeCell ref="G234:H234"/>
    <mergeCell ref="A113:H113"/>
    <mergeCell ref="A111:E111"/>
    <mergeCell ref="F111:H111"/>
    <mergeCell ref="A112:E112"/>
    <mergeCell ref="F112:H112"/>
    <mergeCell ref="A186:H186"/>
    <mergeCell ref="A120:B120"/>
    <mergeCell ref="A195:B195"/>
    <mergeCell ref="A115:B115"/>
    <mergeCell ref="A230:H230"/>
    <mergeCell ref="A118:H118"/>
    <mergeCell ref="A233:H233"/>
    <mergeCell ref="A231:H231"/>
    <mergeCell ref="A172:H172"/>
    <mergeCell ref="A177:H177"/>
    <mergeCell ref="A197:B197"/>
    <mergeCell ref="G196:H196"/>
    <mergeCell ref="A199:B199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46:H46"/>
    <mergeCell ref="D61:H61"/>
    <mergeCell ref="A61:C61"/>
    <mergeCell ref="G49:H49"/>
    <mergeCell ref="A47:B47"/>
    <mergeCell ref="C47:H47"/>
    <mergeCell ref="A53:B54"/>
    <mergeCell ref="A30:D30"/>
    <mergeCell ref="E30:H30"/>
    <mergeCell ref="C51:E51"/>
    <mergeCell ref="F35:H35"/>
    <mergeCell ref="A37:B37"/>
    <mergeCell ref="C37:H37"/>
    <mergeCell ref="A44:D44"/>
    <mergeCell ref="A45:D45"/>
    <mergeCell ref="A38:B38"/>
    <mergeCell ref="C38:H38"/>
    <mergeCell ref="A34:B34"/>
    <mergeCell ref="C34:E34"/>
    <mergeCell ref="A39:H39"/>
    <mergeCell ref="A36:H36"/>
    <mergeCell ref="A35:B35"/>
    <mergeCell ref="C35:E35"/>
    <mergeCell ref="A40:D40"/>
    <mergeCell ref="D63:H63"/>
    <mergeCell ref="C49:E49"/>
    <mergeCell ref="A57:B57"/>
    <mergeCell ref="C57:E57"/>
    <mergeCell ref="A49:B49"/>
    <mergeCell ref="A58:H58"/>
    <mergeCell ref="A59:C59"/>
    <mergeCell ref="A60:C60"/>
    <mergeCell ref="D60:H60"/>
    <mergeCell ref="A51:B52"/>
    <mergeCell ref="A62:C63"/>
    <mergeCell ref="D62:H62"/>
    <mergeCell ref="G55:H55"/>
    <mergeCell ref="C56:H56"/>
    <mergeCell ref="A50:B50"/>
    <mergeCell ref="C50:E50"/>
    <mergeCell ref="G50:H50"/>
    <mergeCell ref="E40:H40"/>
    <mergeCell ref="E45:H45"/>
    <mergeCell ref="A43:D43"/>
    <mergeCell ref="A74:B74"/>
    <mergeCell ref="A77:B77"/>
    <mergeCell ref="A73:B73"/>
    <mergeCell ref="A71:B71"/>
    <mergeCell ref="C71:H71"/>
    <mergeCell ref="A79:B79"/>
    <mergeCell ref="A66:C66"/>
    <mergeCell ref="D66:H66"/>
    <mergeCell ref="C73:H73"/>
    <mergeCell ref="A76:B76"/>
    <mergeCell ref="A78:B78"/>
    <mergeCell ref="E74:F74"/>
    <mergeCell ref="E75:F84"/>
    <mergeCell ref="G75:H84"/>
    <mergeCell ref="A83:B83"/>
    <mergeCell ref="A84:B84"/>
    <mergeCell ref="A81:B81"/>
    <mergeCell ref="A69:C69"/>
    <mergeCell ref="D69:H69"/>
    <mergeCell ref="A75:B75"/>
    <mergeCell ref="G74:H74"/>
    <mergeCell ref="L141:M141"/>
    <mergeCell ref="G141:H143"/>
    <mergeCell ref="A146:B146"/>
    <mergeCell ref="L145:M145"/>
    <mergeCell ref="L132:M132"/>
    <mergeCell ref="L131:M131"/>
    <mergeCell ref="L130:M130"/>
    <mergeCell ref="L134:M134"/>
    <mergeCell ref="A135:B135"/>
    <mergeCell ref="A133:H133"/>
    <mergeCell ref="A134:B134"/>
    <mergeCell ref="A178:H178"/>
    <mergeCell ref="A160:H160"/>
    <mergeCell ref="A161:B161"/>
    <mergeCell ref="G161:H163"/>
    <mergeCell ref="L142:M142"/>
    <mergeCell ref="A143:B143"/>
    <mergeCell ref="L143:M143"/>
    <mergeCell ref="L146:M146"/>
    <mergeCell ref="A147:B147"/>
    <mergeCell ref="L147:M147"/>
    <mergeCell ref="A152:H152"/>
    <mergeCell ref="A142:B142"/>
    <mergeCell ref="L162:M162"/>
    <mergeCell ref="L149:M149"/>
    <mergeCell ref="L150:M150"/>
    <mergeCell ref="L151:M151"/>
    <mergeCell ref="A157:B157"/>
    <mergeCell ref="L157:M157"/>
    <mergeCell ref="A158:B158"/>
    <mergeCell ref="L158:M158"/>
    <mergeCell ref="L159:M159"/>
    <mergeCell ref="A156:H156"/>
    <mergeCell ref="L182:M182"/>
    <mergeCell ref="A183:B183"/>
    <mergeCell ref="G183:H183"/>
    <mergeCell ref="L183:M183"/>
    <mergeCell ref="L184:M184"/>
    <mergeCell ref="G189:H189"/>
    <mergeCell ref="G188:H188"/>
    <mergeCell ref="L186:M186"/>
    <mergeCell ref="L179:M179"/>
    <mergeCell ref="A180:B180"/>
    <mergeCell ref="L180:M180"/>
    <mergeCell ref="F109:H109"/>
    <mergeCell ref="E114:F114"/>
    <mergeCell ref="A114:B114"/>
    <mergeCell ref="A110:E110"/>
    <mergeCell ref="C134:F134"/>
    <mergeCell ref="A105:E105"/>
    <mergeCell ref="F105:H105"/>
    <mergeCell ref="A106:E106"/>
    <mergeCell ref="F106:H106"/>
    <mergeCell ref="E115:F115"/>
    <mergeCell ref="F107:H107"/>
    <mergeCell ref="G120:H120"/>
    <mergeCell ref="G117:H117"/>
    <mergeCell ref="A121:B121"/>
    <mergeCell ref="C121:D121"/>
    <mergeCell ref="E121:F121"/>
    <mergeCell ref="G121:H121"/>
    <mergeCell ref="C119:D119"/>
    <mergeCell ref="G119:H119"/>
    <mergeCell ref="E119:F119"/>
    <mergeCell ref="E117:F117"/>
    <mergeCell ref="A124:H124"/>
    <mergeCell ref="A123:B123"/>
    <mergeCell ref="C123:D123"/>
    <mergeCell ref="E126:E127"/>
    <mergeCell ref="G126:H127"/>
    <mergeCell ref="A159:B159"/>
    <mergeCell ref="G122:H122"/>
    <mergeCell ref="A117:B117"/>
    <mergeCell ref="C117:D117"/>
    <mergeCell ref="A139:H139"/>
    <mergeCell ref="A132:B132"/>
    <mergeCell ref="G130:H132"/>
    <mergeCell ref="A141:B141"/>
    <mergeCell ref="A126:A127"/>
    <mergeCell ref="A122:B122"/>
    <mergeCell ref="E122:F122"/>
    <mergeCell ref="C120:D120"/>
    <mergeCell ref="E120:F120"/>
    <mergeCell ref="G89:H98"/>
    <mergeCell ref="A90:B90"/>
    <mergeCell ref="A91:B91"/>
    <mergeCell ref="A92:B92"/>
    <mergeCell ref="F101:H101"/>
    <mergeCell ref="A101:E101"/>
    <mergeCell ref="G194:H194"/>
    <mergeCell ref="G190:H190"/>
    <mergeCell ref="G187:H187"/>
    <mergeCell ref="D126:D127"/>
    <mergeCell ref="A103:E103"/>
    <mergeCell ref="A104:E104"/>
    <mergeCell ref="F110:H110"/>
    <mergeCell ref="F108:H108"/>
    <mergeCell ref="A194:B194"/>
    <mergeCell ref="A140:H140"/>
    <mergeCell ref="A108:E108"/>
    <mergeCell ref="F102:H102"/>
    <mergeCell ref="A107:E107"/>
    <mergeCell ref="A130:B130"/>
    <mergeCell ref="A131:B131"/>
    <mergeCell ref="A128:H128"/>
    <mergeCell ref="A102:E102"/>
    <mergeCell ref="A129:H129"/>
    <mergeCell ref="B225:H225"/>
    <mergeCell ref="L135:M135"/>
    <mergeCell ref="G134:H135"/>
    <mergeCell ref="A136:H136"/>
    <mergeCell ref="A137:A138"/>
    <mergeCell ref="A203:B203"/>
    <mergeCell ref="G201:H201"/>
    <mergeCell ref="A198:H198"/>
    <mergeCell ref="A192:H192"/>
    <mergeCell ref="A185:B185"/>
    <mergeCell ref="G195:H195"/>
    <mergeCell ref="G193:H193"/>
    <mergeCell ref="A200:B200"/>
    <mergeCell ref="A201:B201"/>
    <mergeCell ref="A190:B190"/>
    <mergeCell ref="G191:H191"/>
    <mergeCell ref="G197:H197"/>
    <mergeCell ref="G199:H199"/>
    <mergeCell ref="B222:H222"/>
    <mergeCell ref="B217:H217"/>
    <mergeCell ref="A188:B188"/>
    <mergeCell ref="A189:B189"/>
    <mergeCell ref="L185:M185"/>
    <mergeCell ref="G182:H18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70" max="16383" man="1"/>
    <brk id="123" max="7" man="1"/>
    <brk id="226" max="7" man="1"/>
    <brk id="238" max="16383" man="1"/>
    <brk id="280" max="16383" man="1"/>
    <brk id="31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0" t="s">
        <v>110</v>
      </c>
      <c r="C3" s="200"/>
      <c r="D3" s="200"/>
      <c r="E3" s="200"/>
      <c r="F3" s="200"/>
      <c r="G3" s="200"/>
      <c r="H3" s="200"/>
    </row>
    <row r="4" spans="1:9" x14ac:dyDescent="0.3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2025-08-15T11:36:20Z</cp:lastPrinted>
  <dcterms:created xsi:type="dcterms:W3CDTF">2019-07-16T09:29:46Z</dcterms:created>
  <dcterms:modified xsi:type="dcterms:W3CDTF">2025-08-15T11:36:28Z</dcterms:modified>
</cp:coreProperties>
</file>