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FEE49587-885C-48CA-A695-9765D3353D6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B196" i="1"/>
  <c r="K173" i="1" l="1"/>
  <c r="D169" i="1"/>
  <c r="F169" i="1" s="1"/>
  <c r="K169" i="1" s="1"/>
  <c r="J184" i="1"/>
  <c r="K144" i="1"/>
  <c r="K143" i="1"/>
  <c r="E41" i="1"/>
  <c r="D186" i="1" l="1"/>
  <c r="F186" i="1" s="1"/>
  <c r="D185" i="1"/>
  <c r="F185" i="1" s="1"/>
  <c r="D183" i="1"/>
  <c r="D182" i="1"/>
  <c r="F182" i="1" s="1"/>
  <c r="D181" i="1"/>
  <c r="F181" i="1" s="1"/>
  <c r="D179" i="1"/>
  <c r="F179" i="1" s="1"/>
  <c r="D178" i="1"/>
  <c r="F178" i="1" s="1"/>
  <c r="K178" i="1" s="1"/>
  <c r="D177" i="1"/>
  <c r="F177" i="1" s="1"/>
  <c r="K177" i="1" s="1"/>
  <c r="D176" i="1"/>
  <c r="F176" i="1" s="1"/>
  <c r="K176" i="1" s="1"/>
  <c r="D175" i="1"/>
  <c r="F175" i="1" s="1"/>
  <c r="K175" i="1" s="1"/>
  <c r="D174" i="1"/>
  <c r="F174" i="1" s="1"/>
  <c r="K174" i="1" s="1"/>
  <c r="D172" i="1"/>
  <c r="F172" i="1" s="1"/>
  <c r="K172" i="1" s="1"/>
  <c r="D171" i="1"/>
  <c r="F171" i="1" s="1"/>
  <c r="K171" i="1" s="1"/>
  <c r="D170" i="1"/>
  <c r="F170" i="1" s="1"/>
  <c r="K170" i="1" s="1"/>
  <c r="J169" i="1"/>
  <c r="D168" i="1"/>
  <c r="F168" i="1" s="1"/>
  <c r="K168" i="1" s="1"/>
  <c r="D167" i="1"/>
  <c r="F167" i="1" s="1"/>
  <c r="K167" i="1" s="1"/>
  <c r="E153" i="1"/>
  <c r="D154" i="1"/>
  <c r="D153" i="1"/>
  <c r="D152" i="1"/>
  <c r="F152" i="1" s="1"/>
  <c r="J186" i="1"/>
  <c r="A182" i="1"/>
  <c r="A183" i="1" s="1"/>
  <c r="A185" i="1" s="1"/>
  <c r="A186" i="1" s="1"/>
  <c r="G181" i="1"/>
  <c r="J176" i="1"/>
  <c r="A175" i="1"/>
  <c r="A176" i="1" s="1"/>
  <c r="A177" i="1" s="1"/>
  <c r="A178" i="1" s="1"/>
  <c r="A179" i="1" s="1"/>
  <c r="G174" i="1"/>
  <c r="I152" i="1"/>
  <c r="I167" i="1"/>
  <c r="A168" i="1"/>
  <c r="A169" i="1" s="1"/>
  <c r="A170" i="1" s="1"/>
  <c r="A171" i="1" s="1"/>
  <c r="A172" i="1" s="1"/>
  <c r="G167" i="1"/>
  <c r="D165" i="1"/>
  <c r="F165" i="1" s="1"/>
  <c r="L165" i="1" s="1"/>
  <c r="D164" i="1"/>
  <c r="F164" i="1" s="1"/>
  <c r="L164" i="1" s="1"/>
  <c r="D163" i="1"/>
  <c r="I163" i="1"/>
  <c r="A153" i="1"/>
  <c r="A154" i="1" s="1"/>
  <c r="G152" i="1"/>
  <c r="E150" i="1"/>
  <c r="E149" i="1"/>
  <c r="E148" i="1"/>
  <c r="E147" i="1"/>
  <c r="E146" i="1"/>
  <c r="E145" i="1"/>
  <c r="E144" i="1"/>
  <c r="E143" i="1"/>
  <c r="J144" i="1"/>
  <c r="I143" i="1"/>
  <c r="D150" i="1"/>
  <c r="D149" i="1"/>
  <c r="D148" i="1"/>
  <c r="D147" i="1"/>
  <c r="D146" i="1"/>
  <c r="D145" i="1"/>
  <c r="D144" i="1"/>
  <c r="D143" i="1"/>
  <c r="C71" i="1"/>
  <c r="G49" i="1"/>
  <c r="C49" i="1"/>
  <c r="I41" i="1"/>
  <c r="J178" i="1" l="1"/>
  <c r="C135" i="1"/>
  <c r="C136" i="1" s="1"/>
  <c r="F163" i="1"/>
  <c r="F183" i="1"/>
  <c r="J183" i="1" s="1"/>
  <c r="J171" i="1"/>
  <c r="C130" i="1"/>
  <c r="C131" i="1"/>
  <c r="E131" i="1"/>
  <c r="E135" i="1"/>
  <c r="E136" i="1" s="1"/>
  <c r="E130" i="1"/>
  <c r="E132" i="1" s="1"/>
  <c r="F153" i="1"/>
  <c r="F154" i="1"/>
  <c r="D76" i="1"/>
  <c r="D75" i="1"/>
  <c r="C85" i="1"/>
  <c r="D84" i="1"/>
  <c r="D83" i="1"/>
  <c r="J82" i="1"/>
  <c r="D82" i="1"/>
  <c r="J81" i="1"/>
  <c r="D81" i="1"/>
  <c r="J80" i="1"/>
  <c r="D80" i="1"/>
  <c r="J79" i="1"/>
  <c r="D79" i="1"/>
  <c r="D78" i="1"/>
  <c r="J77" i="1"/>
  <c r="J78" i="1" s="1"/>
  <c r="J83" i="1" s="1"/>
  <c r="J76" i="1"/>
  <c r="J75" i="1"/>
  <c r="G75" i="1"/>
  <c r="D69" i="1" s="1"/>
  <c r="E75" i="1"/>
  <c r="J74" i="1"/>
  <c r="K163" i="1" l="1"/>
  <c r="L163" i="1"/>
  <c r="G135" i="1"/>
  <c r="G136" i="1" s="1"/>
  <c r="C132" i="1"/>
  <c r="J163" i="1"/>
  <c r="G131" i="1"/>
  <c r="J84" i="1"/>
  <c r="I71" i="1" s="1"/>
  <c r="C73" i="1" s="1"/>
  <c r="E3" i="1"/>
  <c r="K161" i="1" l="1"/>
  <c r="D193" i="1"/>
  <c r="D192" i="1"/>
  <c r="D191" i="1"/>
  <c r="D190" i="1"/>
  <c r="J190" i="1" s="1"/>
  <c r="D189" i="1"/>
  <c r="D188" i="1"/>
  <c r="J160" i="1" l="1"/>
  <c r="J192" i="1"/>
  <c r="J161" i="1"/>
  <c r="A189" i="1" l="1"/>
  <c r="A190" i="1" s="1"/>
  <c r="A191" i="1" s="1"/>
  <c r="A192" i="1" s="1"/>
  <c r="A193" i="1" s="1"/>
  <c r="I188" i="1"/>
  <c r="G188" i="1"/>
  <c r="G189" i="1" s="1"/>
  <c r="G190" i="1" s="1"/>
  <c r="G191" i="1" s="1"/>
  <c r="G192" i="1" s="1"/>
  <c r="G193" i="1" s="1"/>
  <c r="I160" i="1"/>
  <c r="F150" i="1"/>
  <c r="I144" i="1"/>
  <c r="G50" i="1"/>
  <c r="F149" i="1" l="1"/>
  <c r="F148" i="1"/>
  <c r="F147" i="1"/>
  <c r="C14" i="1"/>
  <c r="E29" i="1" l="1"/>
  <c r="A161" i="1" l="1"/>
  <c r="A162" i="1" s="1"/>
  <c r="A163" i="1" s="1"/>
  <c r="A164" i="1" s="1"/>
  <c r="A165" i="1" s="1"/>
  <c r="G160" i="1"/>
  <c r="F127" i="1" l="1"/>
  <c r="F144" i="1" l="1"/>
  <c r="F145" i="1"/>
  <c r="J145" i="1" s="1"/>
  <c r="F146" i="1"/>
  <c r="F143" i="1"/>
  <c r="G130" i="1" l="1"/>
  <c r="G132" i="1" s="1"/>
  <c r="B19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8" i="1"/>
  <c r="A144" i="1"/>
  <c r="A145" i="1" s="1"/>
  <c r="A146" i="1" s="1"/>
  <c r="A147" i="1" s="1"/>
  <c r="A148" i="1" s="1"/>
  <c r="A149" i="1" s="1"/>
  <c r="A150" i="1" s="1"/>
  <c r="G143" i="1"/>
  <c r="J110" i="1"/>
  <c r="J109" i="1"/>
  <c r="J108" i="1"/>
  <c r="J107" i="1"/>
  <c r="C99" i="1"/>
  <c r="J96" i="1"/>
  <c r="J95" i="1"/>
  <c r="J94" i="1"/>
  <c r="J93" i="1"/>
  <c r="E42" i="1"/>
  <c r="E43" i="1" s="1"/>
  <c r="E26" i="1"/>
  <c r="E24" i="1"/>
  <c r="E7" i="1"/>
  <c r="H100" i="1"/>
  <c r="D65" i="1" l="1"/>
  <c r="D96" i="1"/>
  <c r="D97" i="1"/>
  <c r="D98" i="1"/>
  <c r="D92" i="1"/>
  <c r="D93" i="1"/>
  <c r="D94" i="1"/>
  <c r="D95" i="1"/>
  <c r="J85" i="1"/>
  <c r="J87" i="1" s="1"/>
  <c r="C105" i="1"/>
  <c r="J99" i="1" s="1"/>
  <c r="J101" i="1" s="1"/>
  <c r="J103" i="1"/>
  <c r="D112" i="1"/>
  <c r="D110" i="1"/>
  <c r="D108" i="1"/>
  <c r="D106" i="1"/>
  <c r="J104" i="1"/>
  <c r="C103" i="1" s="1"/>
  <c r="J102" i="1"/>
  <c r="J105" i="1"/>
  <c r="J106" i="1" s="1"/>
  <c r="J111" i="1" s="1"/>
  <c r="J112" i="1" s="1"/>
  <c r="C104" i="1" s="1"/>
  <c r="D111" i="1"/>
  <c r="D109" i="1"/>
  <c r="D107" i="1"/>
  <c r="J91" i="1"/>
  <c r="J92" i="1" s="1"/>
  <c r="J97" i="1" s="1"/>
  <c r="J98" i="1" s="1"/>
  <c r="J89" i="1"/>
  <c r="J90" i="1"/>
  <c r="J88" i="1"/>
  <c r="D105" i="1" l="1"/>
  <c r="D103" i="1"/>
  <c r="D91" i="1"/>
  <c r="D70" i="1"/>
  <c r="E89" i="1"/>
  <c r="D90" i="1"/>
  <c r="G89" i="1"/>
  <c r="D89" i="1"/>
  <c r="J86" i="1" s="1"/>
  <c r="E103" i="1"/>
  <c r="D104" i="1"/>
  <c r="G103" i="1"/>
  <c r="I100" i="1" l="1"/>
  <c r="J100" i="1"/>
  <c r="I86" i="1"/>
  <c r="F70" i="1"/>
  <c r="I101" i="1" l="1"/>
  <c r="I99" i="1" s="1"/>
  <c r="C101" i="1" s="1"/>
  <c r="I87" i="1"/>
  <c r="I85" i="1" s="1"/>
  <c r="C87" i="1" s="1"/>
</calcChain>
</file>

<file path=xl/sharedStrings.xml><?xml version="1.0" encoding="utf-8"?>
<sst xmlns="http://schemas.openxmlformats.org/spreadsheetml/2006/main" count="402" uniqueCount="242">
  <si>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</si>
  <si>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</si>
  <si>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</si>
  <si>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</si>
  <si>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</si>
  <si>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</si>
  <si>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</si>
  <si>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</si>
  <si>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</si>
  <si>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</si>
  <si>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</si>
  <si>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</si>
  <si>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</si>
  <si>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</si>
  <si>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</si>
  <si>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</si>
  <si>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</si>
  <si>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</si>
  <si>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</si>
  <si>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</si>
  <si>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</si>
  <si>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</si>
  <si>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</si>
  <si>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</si>
  <si>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</si>
  <si>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</si>
  <si>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</si>
  <si>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</si>
  <si>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</si>
  <si>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</si>
  <si>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</si>
  <si>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</si>
  <si>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</si>
  <si>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</si>
  <si>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</si>
  <si>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</si>
  <si>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</si>
  <si>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</si>
  <si>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</si>
  <si>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</si>
  <si>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</si>
  <si>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</si>
  <si>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</si>
  <si>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</si>
  <si>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</si>
  <si>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</si>
  <si>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</si>
  <si>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</si>
  <si>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</si>
  <si>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</si>
  <si>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</si>
  <si>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</si>
  <si>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</si>
  <si>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</si>
  <si>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</si>
  <si>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</si>
  <si>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</si>
  <si>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</si>
  <si>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</si>
  <si>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</si>
  <si>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</si>
  <si>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</si>
  <si>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</si>
  <si>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</si>
  <si>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</si>
  <si>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</si>
  <si>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</si>
  <si>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</si>
  <si>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</si>
  <si>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</si>
  <si>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</si>
  <si>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</si>
  <si>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</si>
  <si>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</si>
  <si>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</si>
  <si>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</si>
  <si>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</si>
  <si>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</si>
  <si>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</si>
  <si>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</si>
  <si>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</si>
  <si>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</si>
  <si>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</si>
  <si>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</si>
  <si>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</si>
  <si>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</si>
  <si>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</si>
  <si>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</si>
  <si>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</si>
  <si>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</si>
  <si>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</si>
  <si>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</si>
  <si>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</si>
  <si>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</si>
  <si>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</si>
  <si>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</si>
  <si>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</si>
  <si>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</si>
  <si>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</si>
  <si>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</si>
  <si>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</si>
  <si>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</si>
  <si>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</si>
  <si>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</si>
  <si>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</si>
  <si>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</si>
  <si>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</si>
  <si>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</si>
  <si>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</si>
  <si>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</si>
  <si>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</si>
  <si>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</si>
  <si>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</si>
  <si>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</si>
  <si>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</si>
  <si>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</si>
  <si>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</si>
  <si>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</si>
  <si>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</si>
  <si>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</si>
  <si>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</si>
  <si>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</si>
  <si>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</si>
  <si>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</si>
  <si>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</si>
  <si>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</si>
  <si>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</si>
  <si>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</si>
  <si>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</si>
  <si>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</si>
  <si>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</si>
  <si>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</si>
  <si>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</si>
  <si>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</si>
  <si>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</si>
  <si>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</si>
  <si>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</si>
  <si>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</si>
  <si>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</si>
  <si>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</si>
  <si>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</si>
  <si>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</si>
  <si>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</si>
  <si>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</si>
  <si>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</si>
  <si>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</si>
  <si>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</si>
  <si>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</si>
  <si>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</si>
  <si>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</si>
  <si>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</si>
  <si>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</si>
  <si>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</si>
  <si>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</si>
  <si>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</si>
  <si>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</si>
  <si>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</si>
  <si>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</si>
  <si>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</si>
  <si>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</si>
  <si>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</si>
  <si>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</si>
  <si>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</si>
  <si>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</si>
  <si>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</si>
  <si>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</si>
  <si>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</si>
  <si>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</si>
  <si>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</si>
  <si>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</si>
  <si>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</si>
  <si>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</si>
  <si>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Sanpada</t>
  </si>
  <si>
    <t>Sunil Peravi</t>
  </si>
  <si>
    <t>Sai Shradha Developer</t>
  </si>
  <si>
    <t>The Greens</t>
  </si>
  <si>
    <t>P52000047594</t>
  </si>
  <si>
    <t>Survey No</t>
  </si>
  <si>
    <t>99/3 &amp; 99/4</t>
  </si>
  <si>
    <t>Pisarve</t>
  </si>
  <si>
    <t>Panvel</t>
  </si>
  <si>
    <t>Raigad</t>
  </si>
  <si>
    <t>Taloja</t>
  </si>
  <si>
    <t>Taloja Panchanand</t>
  </si>
  <si>
    <t>Navi Mumbai Metro Car Shed</t>
  </si>
  <si>
    <t>Internal Rd</t>
  </si>
  <si>
    <t>https://goo.gl/maps/NcVtAV3Sfn9KVGxK8</t>
  </si>
  <si>
    <t>Open Plot</t>
  </si>
  <si>
    <t>Panvel Municipal Corporation</t>
  </si>
  <si>
    <t>As per RERA - 30/10/2028</t>
  </si>
  <si>
    <t>Shop</t>
  </si>
  <si>
    <t>2BHK</t>
  </si>
  <si>
    <t>1BHK</t>
  </si>
  <si>
    <t>2nd to 7th Floor</t>
  </si>
  <si>
    <t>Floor Rise Rate (From 3rd Floor)</t>
  </si>
  <si>
    <t>Water, MSEB, Development Charges</t>
  </si>
  <si>
    <t>Society Formation Charges + Infrastructure + Maintainence</t>
  </si>
  <si>
    <t>2.6KM from Taloja Panchanand Railway Station</t>
  </si>
  <si>
    <t>Valid Upto 
Date</t>
  </si>
  <si>
    <t xml:space="preserve">Airport NOC No.
Valid Up to: </t>
  </si>
  <si>
    <t>NAVI/WEST/B/122121/641950</t>
  </si>
  <si>
    <t>52.99M (AMSL)</t>
  </si>
  <si>
    <t>We considered Gross carpet area = Net carpet + Balcony + W.S Area.</t>
  </si>
  <si>
    <t>Approved Plans, CC, Sale Plans, Builder Saleable Area, Cost Sheet, Airport NOC</t>
  </si>
  <si>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</si>
  <si>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>All work Completed. OC Received.</t>
  </si>
  <si>
    <t>Mr.Nikhil : 8850412503</t>
  </si>
  <si>
    <t>Tower No.1 (Aster)</t>
  </si>
  <si>
    <t>PMP/NRV/16356/1393/2024</t>
  </si>
  <si>
    <t>PMC/TP/Pisarve/99/3,99/4/21-24/16356/1393/2024</t>
  </si>
  <si>
    <t>Tower No.1 = Gr/Stilt + 1st to 15th Floor</t>
  </si>
  <si>
    <t>Tower No.1 (Aster) = Gr/Stilt + 1st to 15th Floor</t>
  </si>
  <si>
    <t>1st Floor for Commercial &amp; Residential</t>
  </si>
  <si>
    <t>Office</t>
  </si>
  <si>
    <t>Commercial Area</t>
  </si>
  <si>
    <t>2nd Floor for Residential</t>
  </si>
  <si>
    <t>3rd to 7th, 9th to 11th &amp; 13th to 15th Floor</t>
  </si>
  <si>
    <t>8th &amp; 12th Floor (Part Refuge Area)</t>
  </si>
  <si>
    <t>Flats</t>
  </si>
  <si>
    <t>Flats - 85, Shops - 8, Offices - 3</t>
  </si>
  <si>
    <t>We have updated latest approved floor plans &amp; CC (On 01/06/2024).</t>
  </si>
  <si>
    <t xml:space="preserve">Approved area of building (Sq.Mt)
Tower No.1 (Aster) </t>
  </si>
  <si>
    <t>Ground Floor For Entrance Lobby, Commercial, Society Office, Drivers Room &amp; Parking</t>
  </si>
  <si>
    <t>-</t>
  </si>
  <si>
    <t>Refuge Area</t>
  </si>
  <si>
    <t>don’t change Loading &amp; Rate because other charges are 5.5L &amp; Rate is 5500</t>
  </si>
  <si>
    <t>As per latest approved floor plans, project consists of 4 towers. But Only tower 1 (Aster) is registered on Rera. So we have done APF for only Tower No.1(Aster).</t>
  </si>
  <si>
    <t>Attached Loft/ Terrace area</t>
  </si>
  <si>
    <t xml:space="preserve">Fire NOC No.
Valid Up to: </t>
  </si>
  <si>
    <t>PMC/Fire/2121/Ref. No. 1614/2023/1497</t>
  </si>
  <si>
    <t>S. No. 99/3 &amp; 99/4
Aster = Gr + 1st to 15 Floor (49.50M Height)</t>
  </si>
  <si>
    <t>Commercial Area Details : Tower No.1 (Aster)</t>
  </si>
  <si>
    <t>Residential Area Details : Tower No.1 (Aster)</t>
  </si>
  <si>
    <t>As per Layout</t>
  </si>
  <si>
    <t>Tower No. 2(Azalea)</t>
  </si>
  <si>
    <t>6M Wide Driveway</t>
  </si>
  <si>
    <t>Mr. Satish 8050412503</t>
  </si>
  <si>
    <t>5500 to 5600 by Shailesh Smith verbal on 18/03/2025</t>
  </si>
  <si>
    <t>Recommended Rates/Other Charges of the Property have been revised on 18/03/2025.</t>
  </si>
  <si>
    <t>Mr. Pramod 9820078499</t>
  </si>
  <si>
    <t>Pranita Mhatre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</si>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</sst>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32" xfId="1" applyFont="1" applyBorder="1" applyProtection="1">
      <protection hidden="1"/>
    </xf>
    <xf numFmtId="0" fontId="7" fillId="0" borderId="33" xfId="1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3" borderId="7" xfId="1" applyNumberFormat="1" applyFont="1" applyFill="1" applyBorder="1" applyAlignment="1" applyProtection="1">
      <alignment horizontal="center" vertical="center" wrapText="1"/>
      <protection hidden="1"/>
    </xf>
    <xf numFmtId="169" fontId="7" fillId="0" borderId="0" xfId="1" applyNumberFormat="1" applyFont="1"/>
    <xf numFmtId="0" fontId="7" fillId="0" borderId="25" xfId="1" applyFont="1" applyBorder="1" applyAlignment="1">
      <alignment vertical="center"/>
    </xf>
    <xf numFmtId="0" fontId="7" fillId="0" borderId="0" xfId="1" applyFont="1" applyAlignment="1">
      <alignment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3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261</xdr:row>
      <xdr:rowOff>0</xdr:rowOff>
    </xdr:from>
    <xdr:to>
      <xdr:col>7</xdr:col>
      <xdr:colOff>388355</xdr:colOff>
      <xdr:row>280</xdr:row>
      <xdr:rowOff>159523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42500550"/>
          <a:ext cx="599858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315533</xdr:colOff>
      <xdr:row>269</xdr:row>
      <xdr:rowOff>187682</xdr:rowOff>
    </xdr:from>
    <xdr:to>
      <xdr:col>5</xdr:col>
      <xdr:colOff>232693</xdr:colOff>
      <xdr:row>276</xdr:row>
      <xdr:rowOff>170375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20263817">
          <a:off x="3915983" y="44288432"/>
          <a:ext cx="755360" cy="1382868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600075</xdr:colOff>
      <xdr:row>266</xdr:row>
      <xdr:rowOff>95250</xdr:rowOff>
    </xdr:from>
    <xdr:to>
      <xdr:col>5</xdr:col>
      <xdr:colOff>66675</xdr:colOff>
      <xdr:row>269</xdr:row>
      <xdr:rowOff>133350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90875" y="43595925"/>
          <a:ext cx="1314450" cy="638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3200" b="1">
              <a:ln>
                <a:noFill/>
              </a:ln>
              <a:solidFill>
                <a:srgbClr val="002060"/>
              </a:solidFill>
            </a:rPr>
            <a:t>Aster</a:t>
          </a:r>
        </a:p>
      </xdr:txBody>
    </xdr:sp>
    <xdr:clientData/>
  </xdr:twoCellAnchor>
  <xdr:twoCellAnchor>
    <xdr:from>
      <xdr:col>4</xdr:col>
      <xdr:colOff>219075</xdr:colOff>
      <xdr:row>268</xdr:row>
      <xdr:rowOff>123825</xdr:rowOff>
    </xdr:from>
    <xdr:to>
      <xdr:col>4</xdr:col>
      <xdr:colOff>476250</xdr:colOff>
      <xdr:row>270</xdr:row>
      <xdr:rowOff>104775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819525" y="44024550"/>
          <a:ext cx="257175" cy="3810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275</xdr:row>
      <xdr:rowOff>152400</xdr:rowOff>
    </xdr:from>
    <xdr:to>
      <xdr:col>8</xdr:col>
      <xdr:colOff>47625</xdr:colOff>
      <xdr:row>278</xdr:row>
      <xdr:rowOff>190500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734050" y="45453300"/>
          <a:ext cx="1314450" cy="638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3200" b="1">
              <a:ln>
                <a:noFill/>
              </a:ln>
              <a:solidFill>
                <a:srgbClr val="7030A0"/>
              </a:solidFill>
            </a:rPr>
            <a:t>N</a:t>
          </a:r>
        </a:p>
      </xdr:txBody>
    </xdr:sp>
    <xdr:clientData/>
  </xdr:twoCellAnchor>
  <xdr:twoCellAnchor>
    <xdr:from>
      <xdr:col>6</xdr:col>
      <xdr:colOff>685800</xdr:colOff>
      <xdr:row>278</xdr:row>
      <xdr:rowOff>38100</xdr:rowOff>
    </xdr:from>
    <xdr:to>
      <xdr:col>6</xdr:col>
      <xdr:colOff>685800</xdr:colOff>
      <xdr:row>280</xdr:row>
      <xdr:rowOff>76201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5962650" y="45939075"/>
          <a:ext cx="0" cy="43815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314</xdr:row>
      <xdr:rowOff>141616</xdr:rowOff>
    </xdr:from>
    <xdr:to>
      <xdr:col>6</xdr:col>
      <xdr:colOff>402300</xdr:colOff>
      <xdr:row>330</xdr:row>
      <xdr:rowOff>181216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4843691"/>
          <a:ext cx="486000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298</xdr:row>
      <xdr:rowOff>0</xdr:rowOff>
    </xdr:from>
    <xdr:to>
      <xdr:col>6</xdr:col>
      <xdr:colOff>402300</xdr:colOff>
      <xdr:row>314</xdr:row>
      <xdr:rowOff>39602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1501675"/>
          <a:ext cx="486000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466725</xdr:colOff>
      <xdr:row>305</xdr:row>
      <xdr:rowOff>9525</xdr:rowOff>
    </xdr:from>
    <xdr:to>
      <xdr:col>3</xdr:col>
      <xdr:colOff>981075</xdr:colOff>
      <xdr:row>306</xdr:row>
      <xdr:rowOff>180975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57525" y="52911375"/>
          <a:ext cx="514350" cy="37147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38100</xdr:colOff>
      <xdr:row>302</xdr:row>
      <xdr:rowOff>66675</xdr:rowOff>
    </xdr:from>
    <xdr:to>
      <xdr:col>5</xdr:col>
      <xdr:colOff>552450</xdr:colOff>
      <xdr:row>305</xdr:row>
      <xdr:rowOff>104775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28900" y="52368450"/>
          <a:ext cx="2362200" cy="638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The Greens</a:t>
          </a:r>
        </a:p>
      </xdr:txBody>
    </xdr:sp>
    <xdr:clientData/>
  </xdr:twoCellAnchor>
  <xdr:twoCellAnchor>
    <xdr:from>
      <xdr:col>3</xdr:col>
      <xdr:colOff>790575</xdr:colOff>
      <xdr:row>303</xdr:row>
      <xdr:rowOff>142875</xdr:rowOff>
    </xdr:from>
    <xdr:to>
      <xdr:col>3</xdr:col>
      <xdr:colOff>847725</xdr:colOff>
      <xdr:row>305</xdr:row>
      <xdr:rowOff>19050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3381375" y="52644675"/>
          <a:ext cx="57150" cy="276225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155</xdr:row>
      <xdr:rowOff>0</xdr:rowOff>
    </xdr:from>
    <xdr:to>
      <xdr:col>9</xdr:col>
      <xdr:colOff>666750</xdr:colOff>
      <xdr:row>155</xdr:row>
      <xdr:rowOff>571500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48650" y="2426970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I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Building A (Aster)</a:t>
          </a:r>
        </a:p>
      </xdr:txBody>
    </xdr:sp>
    <xdr:clientData/>
  </xdr:twoCellAnchor>
  <xdr:twoCellAnchor>
    <xdr:from>
      <xdr:col>8</xdr:col>
      <xdr:colOff>1162049</xdr:colOff>
      <xdr:row>219</xdr:row>
      <xdr:rowOff>0</xdr:rowOff>
    </xdr:from>
    <xdr:to>
      <xdr:col>12</xdr:col>
      <xdr:colOff>219074</xdr:colOff>
      <xdr:row>222</xdr:row>
      <xdr:rowOff>47625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696199" y="38823900"/>
          <a:ext cx="2390775" cy="638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0000"/>
              </a:solidFill>
            </a:rPr>
            <a:t>Tower No. 1(Aster)</a:t>
          </a:r>
        </a:p>
      </xdr:txBody>
    </xdr:sp>
    <xdr:clientData/>
  </xdr:twoCellAnchor>
  <xdr:twoCellAnchor>
    <xdr:from>
      <xdr:col>8</xdr:col>
      <xdr:colOff>381000</xdr:colOff>
      <xdr:row>220</xdr:row>
      <xdr:rowOff>26670</xdr:rowOff>
    </xdr:from>
    <xdr:to>
      <xdr:col>15</xdr:col>
      <xdr:colOff>280024</xdr:colOff>
      <xdr:row>251</xdr:row>
      <xdr:rowOff>71173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AB4970B-BDCC-8460-8046-69D9285B1B15}"/>
            </a:ext>
          </a:extLst>
        </xdr:cNvPr>
        <xdr:cNvGrpSpPr/>
      </xdr:nvGrpSpPr>
      <xdr:grpSpPr>
        <a:xfrm>
          <a:off x="7094220" y="39239190"/>
          <a:ext cx="5652124" cy="6178603"/>
          <a:chOff x="571500" y="39014400"/>
          <a:chExt cx="5497819" cy="623575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3BC96BCE-E457-8303-0C6B-E88E5FDED1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1819" y="42730153"/>
            <a:ext cx="1888250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DFB202C-7D59-1D28-F170-6A3B0C5A75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1819" y="39014400"/>
            <a:ext cx="269750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8BAF870-C229-201D-7A19-3BF2ECDF94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71500" y="39014400"/>
            <a:ext cx="269750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E713C56-3CC5-DFBD-6B28-7EF7CA96A2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80750" y="42730153"/>
            <a:ext cx="1888250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373381</xdr:colOff>
      <xdr:row>218</xdr:row>
      <xdr:rowOff>83820</xdr:rowOff>
    </xdr:from>
    <xdr:to>
      <xdr:col>7</xdr:col>
      <xdr:colOff>571501</xdr:colOff>
      <xdr:row>257</xdr:row>
      <xdr:rowOff>22860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CB5F5C7-5F8A-A298-C1E3-D1A4E4DE5ECA}"/>
            </a:ext>
          </a:extLst>
        </xdr:cNvPr>
        <xdr:cNvGrpSpPr/>
      </xdr:nvGrpSpPr>
      <xdr:grpSpPr>
        <a:xfrm>
          <a:off x="373381" y="38900100"/>
          <a:ext cx="6057900" cy="7658100"/>
          <a:chOff x="120415" y="219601"/>
          <a:chExt cx="6688753" cy="7951242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6549AAD-1874-83F7-E592-9676B88A1C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2799" y="6010843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938840D-21E7-D0A7-AED2-54CEA8E804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098" y="219601"/>
            <a:ext cx="2576113" cy="3438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8B25B1AF-5572-B4C5-CD65-9076116280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68966" y="220529"/>
            <a:ext cx="2575418" cy="343707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D26D96D-5FFA-4A2D-843C-8464821006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415" y="3754222"/>
            <a:ext cx="1618501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9B358D9A-811A-DF32-451F-A1468B14C3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0584" y="375422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C9978A12-1328-EEB5-1F5A-1A102B2939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0500" y="375422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C7314D7B-FE30-9E9B-0699-B123460822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8916" y="6010843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B669A853-DAC1-C3EF-D1B7-065C080DFA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0668" y="375422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4566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1874786</xdr:colOff>
      <xdr:row>34</xdr:row>
      <xdr:rowOff>155994</xdr:rowOff>
    </xdr:from>
    <xdr:to>
      <xdr:col>9</xdr:col>
      <xdr:colOff>344146</xdr:colOff>
      <xdr:row>53</xdr:row>
      <xdr:rowOff>136494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6668" y="66442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156966</xdr:colOff>
      <xdr:row>15</xdr:row>
      <xdr:rowOff>0</xdr:rowOff>
    </xdr:from>
    <xdr:to>
      <xdr:col>15</xdr:col>
      <xdr:colOff>49474</xdr:colOff>
      <xdr:row>33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8231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cVtAV3Sfn9KVGxK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6"/>
  <sheetViews>
    <sheetView tabSelected="1" view="pageBreakPreview" zoomScaleNormal="100" zoomScaleSheetLayoutView="100" workbookViewId="0">
      <selection activeCell="J12" sqref="J12"/>
    </sheetView>
  </sheetViews>
  <sheetFormatPr defaultColWidth="9.3320312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33203125" style="41" customWidth="1"/>
    <col min="5" max="7" width="11.6640625" style="41" customWidth="1"/>
    <col min="8" max="8" width="12.44140625" style="41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0.5546875" style="22" customWidth="1"/>
    <col min="13" max="13" width="11.6640625" style="22" customWidth="1"/>
    <col min="14" max="14" width="12.5546875" style="22" customWidth="1"/>
    <col min="15" max="15" width="9.6640625" style="22" customWidth="1"/>
    <col min="16" max="16" width="11.6640625" style="22" customWidth="1"/>
    <col min="17" max="247" width="9.33203125" style="22"/>
    <col min="248" max="248" width="8.6640625" style="22" customWidth="1"/>
    <col min="249" max="249" width="9.664062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6640625" style="22" customWidth="1"/>
    <col min="256" max="256" width="11.33203125" style="22" customWidth="1"/>
    <col min="257" max="257" width="2.6640625" style="22" customWidth="1"/>
    <col min="258" max="258" width="3.5546875" style="22" customWidth="1"/>
    <col min="259" max="503" width="9.33203125" style="22"/>
    <col min="504" max="504" width="8.6640625" style="22" customWidth="1"/>
    <col min="505" max="505" width="9.664062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6640625" style="22" customWidth="1"/>
    <col min="512" max="512" width="11.33203125" style="22" customWidth="1"/>
    <col min="513" max="513" width="2.6640625" style="22" customWidth="1"/>
    <col min="514" max="514" width="3.5546875" style="22" customWidth="1"/>
    <col min="515" max="759" width="9.33203125" style="22"/>
    <col min="760" max="760" width="8.6640625" style="22" customWidth="1"/>
    <col min="761" max="761" width="9.664062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6640625" style="22" customWidth="1"/>
    <col min="768" max="768" width="11.33203125" style="22" customWidth="1"/>
    <col min="769" max="769" width="2.6640625" style="22" customWidth="1"/>
    <col min="770" max="770" width="3.5546875" style="22" customWidth="1"/>
    <col min="771" max="1015" width="9.33203125" style="22"/>
    <col min="1016" max="1016" width="8.6640625" style="22" customWidth="1"/>
    <col min="1017" max="1017" width="9.664062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6640625" style="22" customWidth="1"/>
    <col min="1024" max="1024" width="11.33203125" style="22" customWidth="1"/>
    <col min="1025" max="1025" width="2.6640625" style="22" customWidth="1"/>
    <col min="1026" max="1026" width="3.5546875" style="22" customWidth="1"/>
    <col min="1027" max="1271" width="9.33203125" style="22"/>
    <col min="1272" max="1272" width="8.6640625" style="22" customWidth="1"/>
    <col min="1273" max="1273" width="9.664062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6640625" style="22" customWidth="1"/>
    <col min="1280" max="1280" width="11.33203125" style="22" customWidth="1"/>
    <col min="1281" max="1281" width="2.6640625" style="22" customWidth="1"/>
    <col min="1282" max="1282" width="3.5546875" style="22" customWidth="1"/>
    <col min="1283" max="1527" width="9.33203125" style="22"/>
    <col min="1528" max="1528" width="8.6640625" style="22" customWidth="1"/>
    <col min="1529" max="1529" width="9.664062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6640625" style="22" customWidth="1"/>
    <col min="1536" max="1536" width="11.33203125" style="22" customWidth="1"/>
    <col min="1537" max="1537" width="2.6640625" style="22" customWidth="1"/>
    <col min="1538" max="1538" width="3.5546875" style="22" customWidth="1"/>
    <col min="1539" max="1783" width="9.33203125" style="22"/>
    <col min="1784" max="1784" width="8.6640625" style="22" customWidth="1"/>
    <col min="1785" max="1785" width="9.664062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6640625" style="22" customWidth="1"/>
    <col min="1792" max="1792" width="11.33203125" style="22" customWidth="1"/>
    <col min="1793" max="1793" width="2.6640625" style="22" customWidth="1"/>
    <col min="1794" max="1794" width="3.5546875" style="22" customWidth="1"/>
    <col min="1795" max="2039" width="9.33203125" style="22"/>
    <col min="2040" max="2040" width="8.6640625" style="22" customWidth="1"/>
    <col min="2041" max="2041" width="9.664062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6640625" style="22" customWidth="1"/>
    <col min="2048" max="2048" width="11.33203125" style="22" customWidth="1"/>
    <col min="2049" max="2049" width="2.6640625" style="22" customWidth="1"/>
    <col min="2050" max="2050" width="3.5546875" style="22" customWidth="1"/>
    <col min="2051" max="2295" width="9.33203125" style="22"/>
    <col min="2296" max="2296" width="8.6640625" style="22" customWidth="1"/>
    <col min="2297" max="2297" width="9.664062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6640625" style="22" customWidth="1"/>
    <col min="2304" max="2304" width="11.33203125" style="22" customWidth="1"/>
    <col min="2305" max="2305" width="2.6640625" style="22" customWidth="1"/>
    <col min="2306" max="2306" width="3.5546875" style="22" customWidth="1"/>
    <col min="2307" max="2551" width="9.33203125" style="22"/>
    <col min="2552" max="2552" width="8.6640625" style="22" customWidth="1"/>
    <col min="2553" max="2553" width="9.664062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6640625" style="22" customWidth="1"/>
    <col min="2560" max="2560" width="11.33203125" style="22" customWidth="1"/>
    <col min="2561" max="2561" width="2.6640625" style="22" customWidth="1"/>
    <col min="2562" max="2562" width="3.5546875" style="22" customWidth="1"/>
    <col min="2563" max="2807" width="9.33203125" style="22"/>
    <col min="2808" max="2808" width="8.6640625" style="22" customWidth="1"/>
    <col min="2809" max="2809" width="9.664062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6640625" style="22" customWidth="1"/>
    <col min="2816" max="2816" width="11.33203125" style="22" customWidth="1"/>
    <col min="2817" max="2817" width="2.6640625" style="22" customWidth="1"/>
    <col min="2818" max="2818" width="3.5546875" style="22" customWidth="1"/>
    <col min="2819" max="3063" width="9.33203125" style="22"/>
    <col min="3064" max="3064" width="8.6640625" style="22" customWidth="1"/>
    <col min="3065" max="3065" width="9.664062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6640625" style="22" customWidth="1"/>
    <col min="3072" max="3072" width="11.33203125" style="22" customWidth="1"/>
    <col min="3073" max="3073" width="2.6640625" style="22" customWidth="1"/>
    <col min="3074" max="3074" width="3.5546875" style="22" customWidth="1"/>
    <col min="3075" max="3319" width="9.33203125" style="22"/>
    <col min="3320" max="3320" width="8.6640625" style="22" customWidth="1"/>
    <col min="3321" max="3321" width="9.664062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6640625" style="22" customWidth="1"/>
    <col min="3328" max="3328" width="11.33203125" style="22" customWidth="1"/>
    <col min="3329" max="3329" width="2.6640625" style="22" customWidth="1"/>
    <col min="3330" max="3330" width="3.5546875" style="22" customWidth="1"/>
    <col min="3331" max="3575" width="9.33203125" style="22"/>
    <col min="3576" max="3576" width="8.6640625" style="22" customWidth="1"/>
    <col min="3577" max="3577" width="9.664062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6640625" style="22" customWidth="1"/>
    <col min="3584" max="3584" width="11.33203125" style="22" customWidth="1"/>
    <col min="3585" max="3585" width="2.6640625" style="22" customWidth="1"/>
    <col min="3586" max="3586" width="3.5546875" style="22" customWidth="1"/>
    <col min="3587" max="3831" width="9.33203125" style="22"/>
    <col min="3832" max="3832" width="8.6640625" style="22" customWidth="1"/>
    <col min="3833" max="3833" width="9.664062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6640625" style="22" customWidth="1"/>
    <col min="3840" max="3840" width="11.33203125" style="22" customWidth="1"/>
    <col min="3841" max="3841" width="2.6640625" style="22" customWidth="1"/>
    <col min="3842" max="3842" width="3.5546875" style="22" customWidth="1"/>
    <col min="3843" max="4087" width="9.33203125" style="22"/>
    <col min="4088" max="4088" width="8.6640625" style="22" customWidth="1"/>
    <col min="4089" max="4089" width="9.664062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6640625" style="22" customWidth="1"/>
    <col min="4096" max="4096" width="11.33203125" style="22" customWidth="1"/>
    <col min="4097" max="4097" width="2.6640625" style="22" customWidth="1"/>
    <col min="4098" max="4098" width="3.5546875" style="22" customWidth="1"/>
    <col min="4099" max="4343" width="9.33203125" style="22"/>
    <col min="4344" max="4344" width="8.6640625" style="22" customWidth="1"/>
    <col min="4345" max="4345" width="9.664062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6640625" style="22" customWidth="1"/>
    <col min="4352" max="4352" width="11.33203125" style="22" customWidth="1"/>
    <col min="4353" max="4353" width="2.6640625" style="22" customWidth="1"/>
    <col min="4354" max="4354" width="3.5546875" style="22" customWidth="1"/>
    <col min="4355" max="4599" width="9.33203125" style="22"/>
    <col min="4600" max="4600" width="8.6640625" style="22" customWidth="1"/>
    <col min="4601" max="4601" width="9.664062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6640625" style="22" customWidth="1"/>
    <col min="4608" max="4608" width="11.33203125" style="22" customWidth="1"/>
    <col min="4609" max="4609" width="2.6640625" style="22" customWidth="1"/>
    <col min="4610" max="4610" width="3.5546875" style="22" customWidth="1"/>
    <col min="4611" max="4855" width="9.33203125" style="22"/>
    <col min="4856" max="4856" width="8.6640625" style="22" customWidth="1"/>
    <col min="4857" max="4857" width="9.664062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6640625" style="22" customWidth="1"/>
    <col min="4864" max="4864" width="11.33203125" style="22" customWidth="1"/>
    <col min="4865" max="4865" width="2.6640625" style="22" customWidth="1"/>
    <col min="4866" max="4866" width="3.5546875" style="22" customWidth="1"/>
    <col min="4867" max="5111" width="9.33203125" style="22"/>
    <col min="5112" max="5112" width="8.6640625" style="22" customWidth="1"/>
    <col min="5113" max="5113" width="9.664062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6640625" style="22" customWidth="1"/>
    <col min="5120" max="5120" width="11.33203125" style="22" customWidth="1"/>
    <col min="5121" max="5121" width="2.6640625" style="22" customWidth="1"/>
    <col min="5122" max="5122" width="3.5546875" style="22" customWidth="1"/>
    <col min="5123" max="5367" width="9.33203125" style="22"/>
    <col min="5368" max="5368" width="8.6640625" style="22" customWidth="1"/>
    <col min="5369" max="5369" width="9.664062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6640625" style="22" customWidth="1"/>
    <col min="5376" max="5376" width="11.33203125" style="22" customWidth="1"/>
    <col min="5377" max="5377" width="2.6640625" style="22" customWidth="1"/>
    <col min="5378" max="5378" width="3.5546875" style="22" customWidth="1"/>
    <col min="5379" max="5623" width="9.33203125" style="22"/>
    <col min="5624" max="5624" width="8.6640625" style="22" customWidth="1"/>
    <col min="5625" max="5625" width="9.664062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6640625" style="22" customWidth="1"/>
    <col min="5632" max="5632" width="11.33203125" style="22" customWidth="1"/>
    <col min="5633" max="5633" width="2.6640625" style="22" customWidth="1"/>
    <col min="5634" max="5634" width="3.5546875" style="22" customWidth="1"/>
    <col min="5635" max="5879" width="9.33203125" style="22"/>
    <col min="5880" max="5880" width="8.6640625" style="22" customWidth="1"/>
    <col min="5881" max="5881" width="9.664062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6640625" style="22" customWidth="1"/>
    <col min="5888" max="5888" width="11.33203125" style="22" customWidth="1"/>
    <col min="5889" max="5889" width="2.6640625" style="22" customWidth="1"/>
    <col min="5890" max="5890" width="3.5546875" style="22" customWidth="1"/>
    <col min="5891" max="6135" width="9.33203125" style="22"/>
    <col min="6136" max="6136" width="8.6640625" style="22" customWidth="1"/>
    <col min="6137" max="6137" width="9.664062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6640625" style="22" customWidth="1"/>
    <col min="6144" max="6144" width="11.33203125" style="22" customWidth="1"/>
    <col min="6145" max="6145" width="2.6640625" style="22" customWidth="1"/>
    <col min="6146" max="6146" width="3.5546875" style="22" customWidth="1"/>
    <col min="6147" max="6391" width="9.33203125" style="22"/>
    <col min="6392" max="6392" width="8.6640625" style="22" customWidth="1"/>
    <col min="6393" max="6393" width="9.664062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6640625" style="22" customWidth="1"/>
    <col min="6400" max="6400" width="11.33203125" style="22" customWidth="1"/>
    <col min="6401" max="6401" width="2.6640625" style="22" customWidth="1"/>
    <col min="6402" max="6402" width="3.5546875" style="22" customWidth="1"/>
    <col min="6403" max="6647" width="9.33203125" style="22"/>
    <col min="6648" max="6648" width="8.6640625" style="22" customWidth="1"/>
    <col min="6649" max="6649" width="9.664062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6640625" style="22" customWidth="1"/>
    <col min="6656" max="6656" width="11.33203125" style="22" customWidth="1"/>
    <col min="6657" max="6657" width="2.6640625" style="22" customWidth="1"/>
    <col min="6658" max="6658" width="3.5546875" style="22" customWidth="1"/>
    <col min="6659" max="6903" width="9.33203125" style="22"/>
    <col min="6904" max="6904" width="8.6640625" style="22" customWidth="1"/>
    <col min="6905" max="6905" width="9.664062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6640625" style="22" customWidth="1"/>
    <col min="6912" max="6912" width="11.33203125" style="22" customWidth="1"/>
    <col min="6913" max="6913" width="2.6640625" style="22" customWidth="1"/>
    <col min="6914" max="6914" width="3.5546875" style="22" customWidth="1"/>
    <col min="6915" max="7159" width="9.33203125" style="22"/>
    <col min="7160" max="7160" width="8.6640625" style="22" customWidth="1"/>
    <col min="7161" max="7161" width="9.664062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6640625" style="22" customWidth="1"/>
    <col min="7168" max="7168" width="11.33203125" style="22" customWidth="1"/>
    <col min="7169" max="7169" width="2.6640625" style="22" customWidth="1"/>
    <col min="7170" max="7170" width="3.5546875" style="22" customWidth="1"/>
    <col min="7171" max="7415" width="9.33203125" style="22"/>
    <col min="7416" max="7416" width="8.6640625" style="22" customWidth="1"/>
    <col min="7417" max="7417" width="9.664062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6640625" style="22" customWidth="1"/>
    <col min="7424" max="7424" width="11.33203125" style="22" customWidth="1"/>
    <col min="7425" max="7425" width="2.6640625" style="22" customWidth="1"/>
    <col min="7426" max="7426" width="3.5546875" style="22" customWidth="1"/>
    <col min="7427" max="7671" width="9.33203125" style="22"/>
    <col min="7672" max="7672" width="8.6640625" style="22" customWidth="1"/>
    <col min="7673" max="7673" width="9.664062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6640625" style="22" customWidth="1"/>
    <col min="7680" max="7680" width="11.33203125" style="22" customWidth="1"/>
    <col min="7681" max="7681" width="2.6640625" style="22" customWidth="1"/>
    <col min="7682" max="7682" width="3.5546875" style="22" customWidth="1"/>
    <col min="7683" max="7927" width="9.33203125" style="22"/>
    <col min="7928" max="7928" width="8.6640625" style="22" customWidth="1"/>
    <col min="7929" max="7929" width="9.664062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6640625" style="22" customWidth="1"/>
    <col min="7936" max="7936" width="11.33203125" style="22" customWidth="1"/>
    <col min="7937" max="7937" width="2.6640625" style="22" customWidth="1"/>
    <col min="7938" max="7938" width="3.5546875" style="22" customWidth="1"/>
    <col min="7939" max="8183" width="9.33203125" style="22"/>
    <col min="8184" max="8184" width="8.6640625" style="22" customWidth="1"/>
    <col min="8185" max="8185" width="9.664062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6640625" style="22" customWidth="1"/>
    <col min="8192" max="8192" width="11.33203125" style="22" customWidth="1"/>
    <col min="8193" max="8193" width="2.6640625" style="22" customWidth="1"/>
    <col min="8194" max="8194" width="3.5546875" style="22" customWidth="1"/>
    <col min="8195" max="8439" width="9.33203125" style="22"/>
    <col min="8440" max="8440" width="8.6640625" style="22" customWidth="1"/>
    <col min="8441" max="8441" width="9.664062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6640625" style="22" customWidth="1"/>
    <col min="8448" max="8448" width="11.33203125" style="22" customWidth="1"/>
    <col min="8449" max="8449" width="2.6640625" style="22" customWidth="1"/>
    <col min="8450" max="8450" width="3.5546875" style="22" customWidth="1"/>
    <col min="8451" max="8695" width="9.33203125" style="22"/>
    <col min="8696" max="8696" width="8.6640625" style="22" customWidth="1"/>
    <col min="8697" max="8697" width="9.664062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6640625" style="22" customWidth="1"/>
    <col min="8704" max="8704" width="11.33203125" style="22" customWidth="1"/>
    <col min="8705" max="8705" width="2.6640625" style="22" customWidth="1"/>
    <col min="8706" max="8706" width="3.5546875" style="22" customWidth="1"/>
    <col min="8707" max="8951" width="9.33203125" style="22"/>
    <col min="8952" max="8952" width="8.6640625" style="22" customWidth="1"/>
    <col min="8953" max="8953" width="9.664062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6640625" style="22" customWidth="1"/>
    <col min="8960" max="8960" width="11.33203125" style="22" customWidth="1"/>
    <col min="8961" max="8961" width="2.6640625" style="22" customWidth="1"/>
    <col min="8962" max="8962" width="3.5546875" style="22" customWidth="1"/>
    <col min="8963" max="9207" width="9.33203125" style="22"/>
    <col min="9208" max="9208" width="8.6640625" style="22" customWidth="1"/>
    <col min="9209" max="9209" width="9.664062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6640625" style="22" customWidth="1"/>
    <col min="9216" max="9216" width="11.33203125" style="22" customWidth="1"/>
    <col min="9217" max="9217" width="2.6640625" style="22" customWidth="1"/>
    <col min="9218" max="9218" width="3.5546875" style="22" customWidth="1"/>
    <col min="9219" max="9463" width="9.33203125" style="22"/>
    <col min="9464" max="9464" width="8.6640625" style="22" customWidth="1"/>
    <col min="9465" max="9465" width="9.664062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6640625" style="22" customWidth="1"/>
    <col min="9472" max="9472" width="11.33203125" style="22" customWidth="1"/>
    <col min="9473" max="9473" width="2.6640625" style="22" customWidth="1"/>
    <col min="9474" max="9474" width="3.5546875" style="22" customWidth="1"/>
    <col min="9475" max="9719" width="9.33203125" style="22"/>
    <col min="9720" max="9720" width="8.6640625" style="22" customWidth="1"/>
    <col min="9721" max="9721" width="9.664062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6640625" style="22" customWidth="1"/>
    <col min="9728" max="9728" width="11.33203125" style="22" customWidth="1"/>
    <col min="9729" max="9729" width="2.6640625" style="22" customWidth="1"/>
    <col min="9730" max="9730" width="3.5546875" style="22" customWidth="1"/>
    <col min="9731" max="9975" width="9.33203125" style="22"/>
    <col min="9976" max="9976" width="8.6640625" style="22" customWidth="1"/>
    <col min="9977" max="9977" width="9.664062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6640625" style="22" customWidth="1"/>
    <col min="9984" max="9984" width="11.33203125" style="22" customWidth="1"/>
    <col min="9985" max="9985" width="2.6640625" style="22" customWidth="1"/>
    <col min="9986" max="9986" width="3.5546875" style="22" customWidth="1"/>
    <col min="9987" max="10231" width="9.33203125" style="22"/>
    <col min="10232" max="10232" width="8.6640625" style="22" customWidth="1"/>
    <col min="10233" max="10233" width="9.664062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6640625" style="22" customWidth="1"/>
    <col min="10240" max="10240" width="11.33203125" style="22" customWidth="1"/>
    <col min="10241" max="10241" width="2.6640625" style="22" customWidth="1"/>
    <col min="10242" max="10242" width="3.5546875" style="22" customWidth="1"/>
    <col min="10243" max="10487" width="9.33203125" style="22"/>
    <col min="10488" max="10488" width="8.6640625" style="22" customWidth="1"/>
    <col min="10489" max="10489" width="9.664062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6640625" style="22" customWidth="1"/>
    <col min="10496" max="10496" width="11.33203125" style="22" customWidth="1"/>
    <col min="10497" max="10497" width="2.6640625" style="22" customWidth="1"/>
    <col min="10498" max="10498" width="3.5546875" style="22" customWidth="1"/>
    <col min="10499" max="10743" width="9.33203125" style="22"/>
    <col min="10744" max="10744" width="8.6640625" style="22" customWidth="1"/>
    <col min="10745" max="10745" width="9.664062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6640625" style="22" customWidth="1"/>
    <col min="10752" max="10752" width="11.33203125" style="22" customWidth="1"/>
    <col min="10753" max="10753" width="2.6640625" style="22" customWidth="1"/>
    <col min="10754" max="10754" width="3.5546875" style="22" customWidth="1"/>
    <col min="10755" max="10999" width="9.33203125" style="22"/>
    <col min="11000" max="11000" width="8.6640625" style="22" customWidth="1"/>
    <col min="11001" max="11001" width="9.664062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6640625" style="22" customWidth="1"/>
    <col min="11008" max="11008" width="11.33203125" style="22" customWidth="1"/>
    <col min="11009" max="11009" width="2.6640625" style="22" customWidth="1"/>
    <col min="11010" max="11010" width="3.5546875" style="22" customWidth="1"/>
    <col min="11011" max="11255" width="9.33203125" style="22"/>
    <col min="11256" max="11256" width="8.6640625" style="22" customWidth="1"/>
    <col min="11257" max="11257" width="9.664062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6640625" style="22" customWidth="1"/>
    <col min="11264" max="11264" width="11.33203125" style="22" customWidth="1"/>
    <col min="11265" max="11265" width="2.6640625" style="22" customWidth="1"/>
    <col min="11266" max="11266" width="3.5546875" style="22" customWidth="1"/>
    <col min="11267" max="11511" width="9.33203125" style="22"/>
    <col min="11512" max="11512" width="8.6640625" style="22" customWidth="1"/>
    <col min="11513" max="11513" width="9.664062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6640625" style="22" customWidth="1"/>
    <col min="11520" max="11520" width="11.33203125" style="22" customWidth="1"/>
    <col min="11521" max="11521" width="2.6640625" style="22" customWidth="1"/>
    <col min="11522" max="11522" width="3.5546875" style="22" customWidth="1"/>
    <col min="11523" max="11767" width="9.33203125" style="22"/>
    <col min="11768" max="11768" width="8.6640625" style="22" customWidth="1"/>
    <col min="11769" max="11769" width="9.664062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6640625" style="22" customWidth="1"/>
    <col min="11776" max="11776" width="11.33203125" style="22" customWidth="1"/>
    <col min="11777" max="11777" width="2.6640625" style="22" customWidth="1"/>
    <col min="11778" max="11778" width="3.5546875" style="22" customWidth="1"/>
    <col min="11779" max="12023" width="9.33203125" style="22"/>
    <col min="12024" max="12024" width="8.6640625" style="22" customWidth="1"/>
    <col min="12025" max="12025" width="9.664062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6640625" style="22" customWidth="1"/>
    <col min="12032" max="12032" width="11.33203125" style="22" customWidth="1"/>
    <col min="12033" max="12033" width="2.6640625" style="22" customWidth="1"/>
    <col min="12034" max="12034" width="3.5546875" style="22" customWidth="1"/>
    <col min="12035" max="12279" width="9.33203125" style="22"/>
    <col min="12280" max="12280" width="8.6640625" style="22" customWidth="1"/>
    <col min="12281" max="12281" width="9.664062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6640625" style="22" customWidth="1"/>
    <col min="12288" max="12288" width="11.33203125" style="22" customWidth="1"/>
    <col min="12289" max="12289" width="2.6640625" style="22" customWidth="1"/>
    <col min="12290" max="12290" width="3.5546875" style="22" customWidth="1"/>
    <col min="12291" max="12535" width="9.33203125" style="22"/>
    <col min="12536" max="12536" width="8.6640625" style="22" customWidth="1"/>
    <col min="12537" max="12537" width="9.664062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6640625" style="22" customWidth="1"/>
    <col min="12544" max="12544" width="11.33203125" style="22" customWidth="1"/>
    <col min="12545" max="12545" width="2.6640625" style="22" customWidth="1"/>
    <col min="12546" max="12546" width="3.5546875" style="22" customWidth="1"/>
    <col min="12547" max="12791" width="9.33203125" style="22"/>
    <col min="12792" max="12792" width="8.6640625" style="22" customWidth="1"/>
    <col min="12793" max="12793" width="9.664062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6640625" style="22" customWidth="1"/>
    <col min="12800" max="12800" width="11.33203125" style="22" customWidth="1"/>
    <col min="12801" max="12801" width="2.6640625" style="22" customWidth="1"/>
    <col min="12802" max="12802" width="3.5546875" style="22" customWidth="1"/>
    <col min="12803" max="13047" width="9.33203125" style="22"/>
    <col min="13048" max="13048" width="8.6640625" style="22" customWidth="1"/>
    <col min="13049" max="13049" width="9.664062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6640625" style="22" customWidth="1"/>
    <col min="13056" max="13056" width="11.33203125" style="22" customWidth="1"/>
    <col min="13057" max="13057" width="2.6640625" style="22" customWidth="1"/>
    <col min="13058" max="13058" width="3.5546875" style="22" customWidth="1"/>
    <col min="13059" max="13303" width="9.33203125" style="22"/>
    <col min="13304" max="13304" width="8.6640625" style="22" customWidth="1"/>
    <col min="13305" max="13305" width="9.664062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6640625" style="22" customWidth="1"/>
    <col min="13312" max="13312" width="11.33203125" style="22" customWidth="1"/>
    <col min="13313" max="13313" width="2.6640625" style="22" customWidth="1"/>
    <col min="13314" max="13314" width="3.5546875" style="22" customWidth="1"/>
    <col min="13315" max="13559" width="9.33203125" style="22"/>
    <col min="13560" max="13560" width="8.6640625" style="22" customWidth="1"/>
    <col min="13561" max="13561" width="9.664062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6640625" style="22" customWidth="1"/>
    <col min="13568" max="13568" width="11.33203125" style="22" customWidth="1"/>
    <col min="13569" max="13569" width="2.6640625" style="22" customWidth="1"/>
    <col min="13570" max="13570" width="3.5546875" style="22" customWidth="1"/>
    <col min="13571" max="13815" width="9.33203125" style="22"/>
    <col min="13816" max="13816" width="8.6640625" style="22" customWidth="1"/>
    <col min="13817" max="13817" width="9.664062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6640625" style="22" customWidth="1"/>
    <col min="13824" max="13824" width="11.33203125" style="22" customWidth="1"/>
    <col min="13825" max="13825" width="2.6640625" style="22" customWidth="1"/>
    <col min="13826" max="13826" width="3.5546875" style="22" customWidth="1"/>
    <col min="13827" max="14071" width="9.33203125" style="22"/>
    <col min="14072" max="14072" width="8.6640625" style="22" customWidth="1"/>
    <col min="14073" max="14073" width="9.664062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6640625" style="22" customWidth="1"/>
    <col min="14080" max="14080" width="11.33203125" style="22" customWidth="1"/>
    <col min="14081" max="14081" width="2.6640625" style="22" customWidth="1"/>
    <col min="14082" max="14082" width="3.5546875" style="22" customWidth="1"/>
    <col min="14083" max="14327" width="9.33203125" style="22"/>
    <col min="14328" max="14328" width="8.6640625" style="22" customWidth="1"/>
    <col min="14329" max="14329" width="9.664062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6640625" style="22" customWidth="1"/>
    <col min="14336" max="14336" width="11.33203125" style="22" customWidth="1"/>
    <col min="14337" max="14337" width="2.6640625" style="22" customWidth="1"/>
    <col min="14338" max="14338" width="3.5546875" style="22" customWidth="1"/>
    <col min="14339" max="14583" width="9.33203125" style="22"/>
    <col min="14584" max="14584" width="8.6640625" style="22" customWidth="1"/>
    <col min="14585" max="14585" width="9.664062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6640625" style="22" customWidth="1"/>
    <col min="14592" max="14592" width="11.33203125" style="22" customWidth="1"/>
    <col min="14593" max="14593" width="2.6640625" style="22" customWidth="1"/>
    <col min="14594" max="14594" width="3.5546875" style="22" customWidth="1"/>
    <col min="14595" max="14839" width="9.33203125" style="22"/>
    <col min="14840" max="14840" width="8.6640625" style="22" customWidth="1"/>
    <col min="14841" max="14841" width="9.664062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6640625" style="22" customWidth="1"/>
    <col min="14848" max="14848" width="11.33203125" style="22" customWidth="1"/>
    <col min="14849" max="14849" width="2.6640625" style="22" customWidth="1"/>
    <col min="14850" max="14850" width="3.5546875" style="22" customWidth="1"/>
    <col min="14851" max="15095" width="9.33203125" style="22"/>
    <col min="15096" max="15096" width="8.6640625" style="22" customWidth="1"/>
    <col min="15097" max="15097" width="9.664062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6640625" style="22" customWidth="1"/>
    <col min="15104" max="15104" width="11.33203125" style="22" customWidth="1"/>
    <col min="15105" max="15105" width="2.6640625" style="22" customWidth="1"/>
    <col min="15106" max="15106" width="3.5546875" style="22" customWidth="1"/>
    <col min="15107" max="15351" width="9.33203125" style="22"/>
    <col min="15352" max="15352" width="8.6640625" style="22" customWidth="1"/>
    <col min="15353" max="15353" width="9.664062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6640625" style="22" customWidth="1"/>
    <col min="15360" max="15360" width="11.33203125" style="22" customWidth="1"/>
    <col min="15361" max="15361" width="2.6640625" style="22" customWidth="1"/>
    <col min="15362" max="15362" width="3.5546875" style="22" customWidth="1"/>
    <col min="15363" max="15607" width="9.33203125" style="22"/>
    <col min="15608" max="15608" width="8.6640625" style="22" customWidth="1"/>
    <col min="15609" max="15609" width="9.664062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6640625" style="22" customWidth="1"/>
    <col min="15616" max="15616" width="11.33203125" style="22" customWidth="1"/>
    <col min="15617" max="15617" width="2.6640625" style="22" customWidth="1"/>
    <col min="15618" max="15618" width="3.5546875" style="22" customWidth="1"/>
    <col min="15619" max="15863" width="9.33203125" style="22"/>
    <col min="15864" max="15864" width="8.6640625" style="22" customWidth="1"/>
    <col min="15865" max="15865" width="9.664062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6640625" style="22" customWidth="1"/>
    <col min="15872" max="15872" width="11.33203125" style="22" customWidth="1"/>
    <col min="15873" max="15873" width="2.6640625" style="22" customWidth="1"/>
    <col min="15874" max="15874" width="3.5546875" style="22" customWidth="1"/>
    <col min="15875" max="16119" width="9.33203125" style="22"/>
    <col min="16120" max="16120" width="8.6640625" style="22" customWidth="1"/>
    <col min="16121" max="16121" width="9.664062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6640625" style="22" customWidth="1"/>
    <col min="16128" max="16128" width="11.33203125" style="22" customWidth="1"/>
    <col min="16129" max="16129" width="2.6640625" style="22" customWidth="1"/>
    <col min="16130" max="16130" width="3.5546875" style="22" customWidth="1"/>
    <col min="16131" max="16384" width="9.33203125" style="22"/>
  </cols>
  <sheetData>
    <row r="1" spans="1:12" ht="46.5" customHeight="1" x14ac:dyDescent="0.3">
      <c r="A1" s="174" t="s">
        <v>204</v>
      </c>
      <c r="B1" s="174"/>
      <c r="C1" s="174"/>
      <c r="D1" s="174"/>
      <c r="E1" s="174"/>
      <c r="F1" s="174"/>
      <c r="G1" s="174"/>
      <c r="H1" s="174"/>
    </row>
    <row r="2" spans="1:12" ht="16.5" customHeight="1" x14ac:dyDescent="0.3">
      <c r="A2" s="152" t="s">
        <v>0</v>
      </c>
      <c r="B2" s="152"/>
      <c r="C2" s="152"/>
      <c r="D2" s="152"/>
      <c r="E2" s="152"/>
      <c r="F2" s="152"/>
      <c r="G2" s="152"/>
      <c r="H2" s="152"/>
    </row>
    <row r="3" spans="1:12" x14ac:dyDescent="0.3">
      <c r="A3" s="117" t="s">
        <v>1</v>
      </c>
      <c r="B3" s="117"/>
      <c r="C3" s="117"/>
      <c r="D3" s="117"/>
      <c r="E3" s="117" t="str">
        <f ca="1">TEXT(TODAY(),"DD/MM/YYYY")</f>
        <v>15/08/2025</v>
      </c>
      <c r="F3" s="117"/>
      <c r="G3" s="117"/>
      <c r="H3" s="117"/>
    </row>
    <row r="4" spans="1:12" ht="15" customHeight="1" x14ac:dyDescent="0.3">
      <c r="A4" s="117" t="s">
        <v>2</v>
      </c>
      <c r="B4" s="117"/>
      <c r="C4" s="117"/>
      <c r="D4" s="117"/>
      <c r="E4" s="117" t="s">
        <v>172</v>
      </c>
      <c r="F4" s="117"/>
      <c r="G4" s="117"/>
      <c r="H4" s="117"/>
    </row>
    <row r="5" spans="1:12" x14ac:dyDescent="0.3">
      <c r="A5" s="117" t="s">
        <v>3</v>
      </c>
      <c r="B5" s="117"/>
      <c r="C5" s="117"/>
      <c r="D5" s="117"/>
      <c r="E5" s="176">
        <v>45881</v>
      </c>
      <c r="F5" s="117"/>
      <c r="G5" s="117"/>
      <c r="H5" s="117"/>
    </row>
    <row r="6" spans="1:12" ht="16.5" customHeight="1" x14ac:dyDescent="0.3">
      <c r="A6" s="117" t="s">
        <v>4</v>
      </c>
      <c r="B6" s="117"/>
      <c r="C6" s="117"/>
      <c r="D6" s="117"/>
      <c r="E6" s="117" t="s">
        <v>174</v>
      </c>
      <c r="F6" s="117"/>
      <c r="G6" s="117"/>
      <c r="H6" s="117"/>
    </row>
    <row r="7" spans="1:12" ht="15" customHeight="1" x14ac:dyDescent="0.3">
      <c r="A7" s="117" t="s">
        <v>5</v>
      </c>
      <c r="B7" s="117"/>
      <c r="C7" s="117"/>
      <c r="D7" s="117"/>
      <c r="E7" s="117" t="str">
        <f>E6</f>
        <v>Sai Shradha Developer</v>
      </c>
      <c r="F7" s="117"/>
      <c r="G7" s="117"/>
      <c r="H7" s="117"/>
    </row>
    <row r="8" spans="1:12" x14ac:dyDescent="0.3">
      <c r="A8" s="117" t="s">
        <v>6</v>
      </c>
      <c r="B8" s="117"/>
      <c r="C8" s="117"/>
      <c r="D8" s="117"/>
      <c r="E8" s="175" t="s">
        <v>175</v>
      </c>
      <c r="F8" s="175"/>
      <c r="G8" s="175"/>
      <c r="H8" s="175"/>
      <c r="I8" s="22" t="s">
        <v>225</v>
      </c>
    </row>
    <row r="9" spans="1:12" x14ac:dyDescent="0.3">
      <c r="A9" s="117" t="s">
        <v>168</v>
      </c>
      <c r="B9" s="117"/>
      <c r="C9" s="117"/>
      <c r="D9" s="117"/>
      <c r="E9" s="117" t="s">
        <v>239</v>
      </c>
      <c r="F9" s="117"/>
      <c r="G9" s="117"/>
      <c r="H9" s="117"/>
    </row>
    <row r="10" spans="1:12" x14ac:dyDescent="0.3">
      <c r="A10" s="117" t="s">
        <v>169</v>
      </c>
      <c r="B10" s="117"/>
      <c r="C10" s="117"/>
      <c r="D10" s="117"/>
      <c r="E10" s="117" t="s">
        <v>239</v>
      </c>
      <c r="F10" s="117"/>
      <c r="G10" s="117"/>
      <c r="H10" s="117"/>
      <c r="I10" s="117" t="s">
        <v>206</v>
      </c>
      <c r="J10" s="117"/>
      <c r="K10" s="117"/>
      <c r="L10" s="117"/>
    </row>
    <row r="11" spans="1:12" x14ac:dyDescent="0.3">
      <c r="A11" s="117" t="s">
        <v>7</v>
      </c>
      <c r="B11" s="117"/>
      <c r="C11" s="117"/>
      <c r="D11" s="117"/>
      <c r="E11" s="117" t="s">
        <v>207</v>
      </c>
      <c r="F11" s="117"/>
      <c r="G11" s="117"/>
      <c r="H11" s="117"/>
      <c r="I11" s="117" t="s">
        <v>236</v>
      </c>
      <c r="J11" s="117"/>
      <c r="K11" s="117"/>
      <c r="L11" s="117"/>
    </row>
    <row r="12" spans="1:12" ht="35.25" customHeight="1" x14ac:dyDescent="0.3">
      <c r="A12" s="95" t="s">
        <v>8</v>
      </c>
      <c r="B12" s="95"/>
      <c r="C12" s="95"/>
      <c r="D12" s="95"/>
      <c r="E12" s="144" t="s">
        <v>203</v>
      </c>
      <c r="F12" s="144"/>
      <c r="G12" s="144"/>
      <c r="H12" s="144"/>
    </row>
    <row r="13" spans="1:12" x14ac:dyDescent="0.3">
      <c r="A13" s="95" t="s">
        <v>9</v>
      </c>
      <c r="B13" s="95"/>
      <c r="C13" s="95"/>
      <c r="D13" s="95"/>
      <c r="E13" s="144" t="s">
        <v>176</v>
      </c>
      <c r="F13" s="117"/>
      <c r="G13" s="117"/>
      <c r="H13" s="117"/>
    </row>
    <row r="14" spans="1:12" ht="31.5" customHeight="1" x14ac:dyDescent="0.3">
      <c r="A14" s="144" t="s">
        <v>10</v>
      </c>
      <c r="B14" s="144"/>
      <c r="C14" s="14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The Greens, Survey No.99/3 &amp; 99/4, near Navi Mumbai Metro Car Shed, Internal Rd, Taloja Panchanand, Pisarve, Taloja, Panvel, Raigad - 410208.</v>
      </c>
      <c r="D14" s="144"/>
      <c r="E14" s="144"/>
      <c r="F14" s="144"/>
      <c r="G14" s="144"/>
      <c r="H14" s="144"/>
    </row>
    <row r="15" spans="1:12" x14ac:dyDescent="0.3">
      <c r="A15" s="144" t="s">
        <v>177</v>
      </c>
      <c r="B15" s="144"/>
      <c r="C15" s="144" t="s">
        <v>178</v>
      </c>
      <c r="D15" s="144"/>
      <c r="E15" s="144"/>
      <c r="F15" s="144"/>
      <c r="G15" s="144"/>
      <c r="H15" s="144"/>
    </row>
    <row r="16" spans="1:12" ht="15.75" customHeight="1" x14ac:dyDescent="0.3">
      <c r="A16" s="144" t="s">
        <v>167</v>
      </c>
      <c r="B16" s="144"/>
      <c r="C16" s="144" t="s">
        <v>183</v>
      </c>
      <c r="D16" s="144"/>
      <c r="E16" s="144"/>
      <c r="F16" s="144"/>
      <c r="G16" s="144"/>
      <c r="H16" s="144"/>
    </row>
    <row r="17" spans="1:8" ht="15.75" customHeight="1" x14ac:dyDescent="0.3">
      <c r="A17" s="144" t="s">
        <v>11</v>
      </c>
      <c r="B17" s="144"/>
      <c r="C17" s="117" t="s">
        <v>185</v>
      </c>
      <c r="D17" s="117"/>
      <c r="E17" s="144" t="s">
        <v>75</v>
      </c>
      <c r="F17" s="144"/>
      <c r="G17" s="144" t="s">
        <v>179</v>
      </c>
      <c r="H17" s="144"/>
    </row>
    <row r="18" spans="1:8" x14ac:dyDescent="0.3">
      <c r="A18" s="117" t="s">
        <v>13</v>
      </c>
      <c r="B18" s="117"/>
      <c r="C18" s="144" t="s">
        <v>182</v>
      </c>
      <c r="D18" s="144"/>
      <c r="E18" s="144" t="s">
        <v>12</v>
      </c>
      <c r="F18" s="144"/>
      <c r="G18" s="179" t="s">
        <v>181</v>
      </c>
      <c r="H18" s="179"/>
    </row>
    <row r="19" spans="1:8" x14ac:dyDescent="0.3">
      <c r="A19" s="117" t="s">
        <v>76</v>
      </c>
      <c r="B19" s="117"/>
      <c r="C19" s="144" t="s">
        <v>180</v>
      </c>
      <c r="D19" s="144"/>
      <c r="E19" s="144" t="s">
        <v>14</v>
      </c>
      <c r="F19" s="144"/>
      <c r="G19" s="144">
        <v>410208</v>
      </c>
      <c r="H19" s="144"/>
    </row>
    <row r="20" spans="1:8" ht="32.25" customHeight="1" x14ac:dyDescent="0.3">
      <c r="A20" s="117" t="s">
        <v>124</v>
      </c>
      <c r="B20" s="117"/>
      <c r="C20" s="144" t="s">
        <v>184</v>
      </c>
      <c r="D20" s="144"/>
      <c r="E20" s="144" t="s">
        <v>15</v>
      </c>
      <c r="F20" s="144"/>
      <c r="G20" s="144" t="s">
        <v>197</v>
      </c>
      <c r="H20" s="144"/>
    </row>
    <row r="21" spans="1:8" ht="15" customHeight="1" x14ac:dyDescent="0.3">
      <c r="A21" s="125" t="s">
        <v>78</v>
      </c>
      <c r="B21" s="125"/>
      <c r="C21" s="125"/>
      <c r="D21" s="125"/>
      <c r="E21" s="117" t="s">
        <v>16</v>
      </c>
      <c r="F21" s="117"/>
      <c r="G21" s="117"/>
      <c r="H21" s="117"/>
    </row>
    <row r="22" spans="1:8" ht="18.75" customHeight="1" x14ac:dyDescent="0.3">
      <c r="A22" s="125"/>
      <c r="B22" s="125"/>
      <c r="C22" s="125"/>
      <c r="D22" s="125"/>
      <c r="E22" s="117"/>
      <c r="F22" s="117"/>
      <c r="G22" s="117"/>
      <c r="H22" s="117"/>
    </row>
    <row r="23" spans="1:8" ht="15" customHeight="1" x14ac:dyDescent="0.3">
      <c r="A23" s="125" t="s">
        <v>17</v>
      </c>
      <c r="B23" s="125"/>
      <c r="C23" s="125"/>
      <c r="D23" s="125"/>
      <c r="E23" s="144" t="s">
        <v>18</v>
      </c>
      <c r="F23" s="144"/>
      <c r="G23" s="144"/>
      <c r="H23" s="144"/>
    </row>
    <row r="24" spans="1:8" ht="15" customHeight="1" x14ac:dyDescent="0.3">
      <c r="A24" s="95" t="s">
        <v>19</v>
      </c>
      <c r="B24" s="95"/>
      <c r="C24" s="95"/>
      <c r="D24" s="95"/>
      <c r="E24" s="144" t="str">
        <f>IF(AND(G18="Mumbai"),"Upper Class","Middle Class")</f>
        <v>Middle Class</v>
      </c>
      <c r="F24" s="144"/>
      <c r="G24" s="144"/>
      <c r="H24" s="144"/>
    </row>
    <row r="25" spans="1:8" x14ac:dyDescent="0.3">
      <c r="A25" s="95" t="s">
        <v>20</v>
      </c>
      <c r="B25" s="95"/>
      <c r="C25" s="95"/>
      <c r="D25" s="95"/>
      <c r="E25" s="144" t="s">
        <v>21</v>
      </c>
      <c r="F25" s="144"/>
      <c r="G25" s="144"/>
      <c r="H25" s="144"/>
    </row>
    <row r="26" spans="1:8" ht="15.75" customHeight="1" x14ac:dyDescent="0.3">
      <c r="A26" s="95" t="s">
        <v>22</v>
      </c>
      <c r="B26" s="95"/>
      <c r="C26" s="95"/>
      <c r="D26" s="95"/>
      <c r="E26" s="144" t="str">
        <f>IF(AND(G18="Mumbai"),"Developed","Developing")</f>
        <v>Developing</v>
      </c>
      <c r="F26" s="144"/>
      <c r="G26" s="144"/>
      <c r="H26" s="144"/>
    </row>
    <row r="27" spans="1:8" x14ac:dyDescent="0.3">
      <c r="A27" s="95" t="s">
        <v>23</v>
      </c>
      <c r="B27" s="95"/>
      <c r="C27" s="95"/>
      <c r="D27" s="95"/>
      <c r="E27" s="144" t="s">
        <v>24</v>
      </c>
      <c r="F27" s="144"/>
      <c r="G27" s="144"/>
      <c r="H27" s="144"/>
    </row>
    <row r="28" spans="1:8" ht="15.75" customHeight="1" x14ac:dyDescent="0.3">
      <c r="A28" s="95" t="s">
        <v>83</v>
      </c>
      <c r="B28" s="95"/>
      <c r="C28" s="95"/>
      <c r="D28" s="95"/>
      <c r="E28" s="144" t="s">
        <v>84</v>
      </c>
      <c r="F28" s="144"/>
      <c r="G28" s="144"/>
      <c r="H28" s="144"/>
    </row>
    <row r="29" spans="1:8" ht="15" customHeight="1" x14ac:dyDescent="0.3">
      <c r="A29" s="95" t="s">
        <v>34</v>
      </c>
      <c r="B29" s="95"/>
      <c r="C29" s="95"/>
      <c r="D29" s="95"/>
      <c r="E29" s="144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9" s="144"/>
      <c r="G29" s="144"/>
      <c r="H29" s="144"/>
    </row>
    <row r="30" spans="1:8" ht="15.75" customHeight="1" x14ac:dyDescent="0.3">
      <c r="A30" s="95" t="s">
        <v>94</v>
      </c>
      <c r="B30" s="95"/>
      <c r="C30" s="95"/>
      <c r="D30" s="95"/>
      <c r="E30" s="144" t="s">
        <v>35</v>
      </c>
      <c r="F30" s="144"/>
      <c r="G30" s="144"/>
      <c r="H30" s="144"/>
    </row>
    <row r="31" spans="1:8" s="23" customFormat="1" x14ac:dyDescent="0.3">
      <c r="A31" s="182" t="s">
        <v>95</v>
      </c>
      <c r="B31" s="182"/>
      <c r="C31" s="181" t="s">
        <v>233</v>
      </c>
      <c r="D31" s="181"/>
      <c r="E31" s="181"/>
      <c r="F31" s="181" t="s">
        <v>30</v>
      </c>
      <c r="G31" s="181"/>
      <c r="H31" s="181"/>
    </row>
    <row r="32" spans="1:8" s="23" customFormat="1" x14ac:dyDescent="0.3">
      <c r="A32" s="177" t="s">
        <v>25</v>
      </c>
      <c r="B32" s="177" t="s">
        <v>29</v>
      </c>
      <c r="C32" s="178" t="s">
        <v>11</v>
      </c>
      <c r="D32" s="178"/>
      <c r="E32" s="178"/>
      <c r="F32" s="178" t="s">
        <v>185</v>
      </c>
      <c r="G32" s="178"/>
      <c r="H32" s="178"/>
    </row>
    <row r="33" spans="1:9" x14ac:dyDescent="0.3">
      <c r="A33" s="177" t="s">
        <v>26</v>
      </c>
      <c r="B33" s="177" t="s">
        <v>29</v>
      </c>
      <c r="C33" s="178" t="s">
        <v>234</v>
      </c>
      <c r="D33" s="178"/>
      <c r="E33" s="178"/>
      <c r="F33" s="178" t="s">
        <v>187</v>
      </c>
      <c r="G33" s="178"/>
      <c r="H33" s="178"/>
    </row>
    <row r="34" spans="1:9" s="23" customFormat="1" x14ac:dyDescent="0.3">
      <c r="A34" s="177" t="s">
        <v>28</v>
      </c>
      <c r="B34" s="177" t="s">
        <v>29</v>
      </c>
      <c r="C34" s="178" t="s">
        <v>235</v>
      </c>
      <c r="D34" s="178"/>
      <c r="E34" s="178"/>
      <c r="F34" s="178" t="s">
        <v>187</v>
      </c>
      <c r="G34" s="178"/>
      <c r="H34" s="178"/>
    </row>
    <row r="35" spans="1:9" x14ac:dyDescent="0.3">
      <c r="A35" s="177" t="s">
        <v>27</v>
      </c>
      <c r="B35" s="177" t="s">
        <v>29</v>
      </c>
      <c r="C35" s="178" t="s">
        <v>235</v>
      </c>
      <c r="D35" s="178"/>
      <c r="E35" s="178"/>
      <c r="F35" s="178" t="s">
        <v>184</v>
      </c>
      <c r="G35" s="178"/>
      <c r="H35" s="178"/>
    </row>
    <row r="36" spans="1:9" x14ac:dyDescent="0.3">
      <c r="A36" s="95" t="s">
        <v>31</v>
      </c>
      <c r="B36" s="95"/>
      <c r="C36" s="95"/>
      <c r="D36" s="95"/>
      <c r="E36" s="95"/>
      <c r="F36" s="95"/>
      <c r="G36" s="95"/>
      <c r="H36" s="95"/>
    </row>
    <row r="37" spans="1:9" ht="15.75" customHeight="1" x14ac:dyDescent="0.3">
      <c r="A37" s="152" t="s">
        <v>32</v>
      </c>
      <c r="B37" s="152"/>
      <c r="C37" s="184">
        <v>19.084283299999999</v>
      </c>
      <c r="D37" s="184"/>
      <c r="E37" s="152" t="s">
        <v>33</v>
      </c>
      <c r="F37" s="152"/>
      <c r="G37" s="185">
        <v>73.092830399999997</v>
      </c>
      <c r="H37" s="185"/>
    </row>
    <row r="38" spans="1:9" x14ac:dyDescent="0.3">
      <c r="A38" s="152" t="s">
        <v>166</v>
      </c>
      <c r="B38" s="152"/>
      <c r="C38" s="195" t="s">
        <v>186</v>
      </c>
      <c r="D38" s="144"/>
      <c r="E38" s="144"/>
      <c r="F38" s="144"/>
      <c r="G38" s="144"/>
      <c r="H38" s="144"/>
    </row>
    <row r="39" spans="1:9" x14ac:dyDescent="0.3">
      <c r="A39" s="162" t="s">
        <v>36</v>
      </c>
      <c r="B39" s="162"/>
      <c r="C39" s="162"/>
      <c r="D39" s="162"/>
      <c r="E39" s="162"/>
      <c r="F39" s="162"/>
      <c r="G39" s="162"/>
      <c r="H39" s="162"/>
    </row>
    <row r="40" spans="1:9" x14ac:dyDescent="0.3">
      <c r="A40" s="95" t="s">
        <v>37</v>
      </c>
      <c r="B40" s="95"/>
      <c r="C40" s="95"/>
      <c r="D40" s="95"/>
      <c r="E40" s="183">
        <v>8764.4930000000004</v>
      </c>
      <c r="F40" s="183"/>
      <c r="G40" s="183"/>
      <c r="H40" s="183"/>
    </row>
    <row r="41" spans="1:9" x14ac:dyDescent="0.3">
      <c r="A41" s="95" t="s">
        <v>38</v>
      </c>
      <c r="B41" s="95"/>
      <c r="C41" s="95"/>
      <c r="D41" s="95"/>
      <c r="E41" s="94">
        <f>9640.942/E40</f>
        <v>1.0999999657709805</v>
      </c>
      <c r="F41" s="94"/>
      <c r="G41" s="94"/>
      <c r="H41" s="94"/>
      <c r="I41" s="65">
        <f>9640.942/E40</f>
        <v>1.0999999657709805</v>
      </c>
    </row>
    <row r="42" spans="1:9" x14ac:dyDescent="0.3">
      <c r="A42" s="95" t="s">
        <v>39</v>
      </c>
      <c r="B42" s="95"/>
      <c r="C42" s="95"/>
      <c r="D42" s="95"/>
      <c r="E42" s="94">
        <f>E44/E40-E41</f>
        <v>0.83481041059648309</v>
      </c>
      <c r="F42" s="94"/>
      <c r="G42" s="94"/>
      <c r="H42" s="94"/>
    </row>
    <row r="43" spans="1:9" x14ac:dyDescent="0.3">
      <c r="A43" s="95" t="s">
        <v>40</v>
      </c>
      <c r="B43" s="95"/>
      <c r="C43" s="95"/>
      <c r="D43" s="95"/>
      <c r="E43" s="94">
        <f>E41+E42</f>
        <v>1.9348103763674636</v>
      </c>
      <c r="F43" s="94"/>
      <c r="G43" s="94"/>
      <c r="H43" s="94"/>
    </row>
    <row r="44" spans="1:9" x14ac:dyDescent="0.3">
      <c r="A44" s="117" t="s">
        <v>93</v>
      </c>
      <c r="B44" s="117"/>
      <c r="C44" s="117"/>
      <c r="D44" s="117"/>
      <c r="E44" s="180">
        <v>16957.632000000001</v>
      </c>
      <c r="F44" s="180"/>
      <c r="G44" s="180"/>
      <c r="H44" s="180"/>
    </row>
    <row r="45" spans="1:9" x14ac:dyDescent="0.3">
      <c r="A45" s="117" t="s">
        <v>41</v>
      </c>
      <c r="B45" s="117"/>
      <c r="C45" s="117"/>
      <c r="D45" s="117"/>
      <c r="E45" s="117" t="s">
        <v>123</v>
      </c>
      <c r="F45" s="117"/>
      <c r="G45" s="117"/>
      <c r="H45" s="117"/>
    </row>
    <row r="46" spans="1:9" x14ac:dyDescent="0.3">
      <c r="A46" s="175" t="s">
        <v>42</v>
      </c>
      <c r="B46" s="175"/>
      <c r="C46" s="175"/>
      <c r="D46" s="175"/>
      <c r="E46" s="175"/>
      <c r="F46" s="175"/>
      <c r="G46" s="175"/>
      <c r="H46" s="175"/>
    </row>
    <row r="47" spans="1:9" ht="33.75" customHeight="1" x14ac:dyDescent="0.3">
      <c r="A47" s="196" t="s">
        <v>155</v>
      </c>
      <c r="B47" s="197"/>
      <c r="C47" s="198" t="s">
        <v>188</v>
      </c>
      <c r="D47" s="199"/>
      <c r="E47" s="199"/>
      <c r="F47" s="199"/>
      <c r="G47" s="199"/>
      <c r="H47" s="200"/>
    </row>
    <row r="48" spans="1:9" ht="15.75" customHeight="1" x14ac:dyDescent="0.3">
      <c r="A48" s="110" t="s">
        <v>43</v>
      </c>
      <c r="B48" s="111"/>
      <c r="C48" s="110" t="s">
        <v>208</v>
      </c>
      <c r="D48" s="112"/>
      <c r="E48" s="111"/>
      <c r="F48" s="19" t="s">
        <v>44</v>
      </c>
      <c r="G48" s="113">
        <v>45434</v>
      </c>
      <c r="H48" s="111"/>
    </row>
    <row r="49" spans="1:14" x14ac:dyDescent="0.3">
      <c r="A49" s="110" t="s">
        <v>45</v>
      </c>
      <c r="B49" s="111"/>
      <c r="C49" s="110" t="str">
        <f>C48</f>
        <v>PMP/NRV/16356/1393/2024</v>
      </c>
      <c r="D49" s="112"/>
      <c r="E49" s="111"/>
      <c r="F49" s="19" t="s">
        <v>44</v>
      </c>
      <c r="G49" s="113">
        <f>G48</f>
        <v>45434</v>
      </c>
      <c r="H49" s="111"/>
    </row>
    <row r="50" spans="1:14" s="24" customFormat="1" ht="31.5" customHeight="1" x14ac:dyDescent="0.3">
      <c r="A50" s="170" t="s">
        <v>159</v>
      </c>
      <c r="B50" s="171"/>
      <c r="C50" s="110" t="s">
        <v>209</v>
      </c>
      <c r="D50" s="112"/>
      <c r="E50" s="111"/>
      <c r="F50" s="19" t="s">
        <v>44</v>
      </c>
      <c r="G50" s="113">
        <f>G49</f>
        <v>45434</v>
      </c>
      <c r="H50" s="111"/>
    </row>
    <row r="51" spans="1:14" s="24" customFormat="1" x14ac:dyDescent="0.3">
      <c r="A51" s="172"/>
      <c r="B51" s="173"/>
      <c r="C51" s="110" t="s">
        <v>210</v>
      </c>
      <c r="D51" s="112"/>
      <c r="E51" s="112"/>
      <c r="F51" s="112"/>
      <c r="G51" s="112"/>
      <c r="H51" s="111"/>
    </row>
    <row r="52" spans="1:14" s="24" customFormat="1" ht="15.75" customHeight="1" x14ac:dyDescent="0.3">
      <c r="A52" s="170" t="s">
        <v>199</v>
      </c>
      <c r="B52" s="171"/>
      <c r="C52" s="110" t="s">
        <v>200</v>
      </c>
      <c r="D52" s="112"/>
      <c r="E52" s="111"/>
      <c r="F52" s="19" t="s">
        <v>44</v>
      </c>
      <c r="G52" s="113">
        <v>44581</v>
      </c>
      <c r="H52" s="111"/>
    </row>
    <row r="53" spans="1:14" s="24" customFormat="1" ht="31.2" x14ac:dyDescent="0.3">
      <c r="A53" s="172"/>
      <c r="B53" s="173"/>
      <c r="C53" s="110" t="s">
        <v>201</v>
      </c>
      <c r="D53" s="112"/>
      <c r="E53" s="111"/>
      <c r="F53" s="19" t="s">
        <v>198</v>
      </c>
      <c r="G53" s="113">
        <v>47502</v>
      </c>
      <c r="H53" s="111"/>
    </row>
    <row r="54" spans="1:14" s="24" customFormat="1" ht="15.75" customHeight="1" x14ac:dyDescent="0.3">
      <c r="A54" s="170" t="s">
        <v>228</v>
      </c>
      <c r="B54" s="171"/>
      <c r="C54" s="110" t="s">
        <v>229</v>
      </c>
      <c r="D54" s="112"/>
      <c r="E54" s="111"/>
      <c r="F54" s="19" t="s">
        <v>44</v>
      </c>
      <c r="G54" s="113">
        <v>45267</v>
      </c>
      <c r="H54" s="111"/>
    </row>
    <row r="55" spans="1:14" s="24" customFormat="1" ht="33.75" customHeight="1" x14ac:dyDescent="0.3">
      <c r="A55" s="172"/>
      <c r="B55" s="173"/>
      <c r="C55" s="110" t="s">
        <v>230</v>
      </c>
      <c r="D55" s="112"/>
      <c r="E55" s="112"/>
      <c r="F55" s="112"/>
      <c r="G55" s="112"/>
      <c r="H55" s="111"/>
    </row>
    <row r="56" spans="1:14" x14ac:dyDescent="0.3">
      <c r="A56" s="165" t="s">
        <v>46</v>
      </c>
      <c r="B56" s="166"/>
      <c r="C56" s="165" t="s">
        <v>105</v>
      </c>
      <c r="D56" s="167"/>
      <c r="E56" s="166"/>
      <c r="F56" s="47" t="s">
        <v>44</v>
      </c>
      <c r="G56" s="168" t="s">
        <v>29</v>
      </c>
      <c r="H56" s="169"/>
    </row>
    <row r="57" spans="1:14" x14ac:dyDescent="0.3">
      <c r="A57" s="164" t="s">
        <v>48</v>
      </c>
      <c r="B57" s="164"/>
      <c r="C57" s="164"/>
      <c r="D57" s="164"/>
      <c r="E57" s="164"/>
      <c r="F57" s="164"/>
      <c r="G57" s="164"/>
      <c r="H57" s="164"/>
    </row>
    <row r="58" spans="1:14" ht="31.5" customHeight="1" x14ac:dyDescent="0.3">
      <c r="A58" s="144" t="s">
        <v>221</v>
      </c>
      <c r="B58" s="144"/>
      <c r="C58" s="144"/>
      <c r="D58" s="117">
        <v>5407.8980000000001</v>
      </c>
      <c r="E58" s="117"/>
      <c r="F58" s="117"/>
      <c r="G58" s="117"/>
      <c r="H58" s="117"/>
    </row>
    <row r="59" spans="1:14" x14ac:dyDescent="0.3">
      <c r="A59" s="144" t="s">
        <v>49</v>
      </c>
      <c r="B59" s="117"/>
      <c r="C59" s="117"/>
      <c r="D59" s="117" t="s">
        <v>219</v>
      </c>
      <c r="E59" s="117"/>
      <c r="F59" s="117"/>
      <c r="G59" s="117"/>
      <c r="H59" s="117"/>
      <c r="I59" s="25"/>
    </row>
    <row r="60" spans="1:14" x14ac:dyDescent="0.3">
      <c r="A60" s="138" t="s">
        <v>50</v>
      </c>
      <c r="B60" s="139"/>
      <c r="C60" s="187"/>
      <c r="D60" s="127" t="s">
        <v>211</v>
      </c>
      <c r="E60" s="186"/>
      <c r="F60" s="186"/>
      <c r="G60" s="186"/>
      <c r="H60" s="186"/>
    </row>
    <row r="61" spans="1:14" ht="15.75" customHeight="1" x14ac:dyDescent="0.3">
      <c r="A61" s="138" t="s">
        <v>91</v>
      </c>
      <c r="B61" s="139"/>
      <c r="C61" s="139"/>
      <c r="D61" s="117" t="s">
        <v>211</v>
      </c>
      <c r="E61" s="117"/>
      <c r="F61" s="117"/>
      <c r="G61" s="117"/>
      <c r="H61" s="117"/>
    </row>
    <row r="62" spans="1:14" ht="15.75" hidden="1" customHeight="1" x14ac:dyDescent="0.3">
      <c r="A62" s="140"/>
      <c r="B62" s="141"/>
      <c r="C62" s="141"/>
      <c r="D62" s="117" t="s">
        <v>150</v>
      </c>
      <c r="E62" s="117"/>
      <c r="F62" s="117"/>
      <c r="G62" s="117"/>
      <c r="H62" s="117"/>
    </row>
    <row r="63" spans="1:14" ht="15.75" hidden="1" customHeight="1" x14ac:dyDescent="0.3">
      <c r="A63" s="142"/>
      <c r="B63" s="143"/>
      <c r="C63" s="143"/>
      <c r="D63" s="117" t="s">
        <v>151</v>
      </c>
      <c r="E63" s="117"/>
      <c r="F63" s="117"/>
      <c r="G63" s="117"/>
      <c r="H63" s="117"/>
    </row>
    <row r="64" spans="1:14" ht="15.75" customHeight="1" x14ac:dyDescent="0.3">
      <c r="A64" s="117" t="s">
        <v>47</v>
      </c>
      <c r="B64" s="117"/>
      <c r="C64" s="117"/>
      <c r="D64" s="144" t="s">
        <v>189</v>
      </c>
      <c r="E64" s="144"/>
      <c r="F64" s="144"/>
      <c r="G64" s="144"/>
      <c r="H64" s="144"/>
      <c r="J64" s="26"/>
      <c r="K64" s="25"/>
      <c r="N64" s="25"/>
    </row>
    <row r="65" spans="1:14" ht="15.75" customHeight="1" x14ac:dyDescent="0.3">
      <c r="A65" s="117" t="s">
        <v>89</v>
      </c>
      <c r="B65" s="117"/>
      <c r="C65" s="117"/>
      <c r="D65" s="147" t="str">
        <f>(IF(G56="NA","60 Years After Completion",IF(G56&lt;&gt;"NA",""&amp;60-ROUNDDOWN((E3-G56)/360,0)&amp;" Years"," ")))</f>
        <v>60 Years After Completion</v>
      </c>
      <c r="E65" s="147"/>
      <c r="F65" s="147"/>
      <c r="G65" s="147"/>
      <c r="H65" s="147"/>
      <c r="N65" s="25"/>
    </row>
    <row r="66" spans="1:14" ht="15.75" customHeight="1" x14ac:dyDescent="0.3">
      <c r="A66" s="95" t="s">
        <v>90</v>
      </c>
      <c r="B66" s="95"/>
      <c r="C66" s="95"/>
      <c r="D66" s="125" t="s">
        <v>24</v>
      </c>
      <c r="E66" s="125"/>
      <c r="F66" s="125"/>
      <c r="G66" s="125"/>
      <c r="H66" s="125"/>
      <c r="J66" s="27"/>
      <c r="K66" s="27"/>
    </row>
    <row r="67" spans="1:14" ht="30" customHeight="1" x14ac:dyDescent="0.3">
      <c r="A67" s="95" t="s">
        <v>77</v>
      </c>
      <c r="B67" s="95"/>
      <c r="C67" s="95"/>
      <c r="D67" s="144" t="s">
        <v>171</v>
      </c>
      <c r="E67" s="125"/>
      <c r="F67" s="125"/>
      <c r="G67" s="125"/>
      <c r="H67" s="125"/>
    </row>
    <row r="68" spans="1:14" x14ac:dyDescent="0.3">
      <c r="A68" s="125" t="s">
        <v>152</v>
      </c>
      <c r="B68" s="125"/>
      <c r="C68" s="125"/>
      <c r="D68" s="125" t="s">
        <v>29</v>
      </c>
      <c r="E68" s="125"/>
      <c r="F68" s="125"/>
      <c r="G68" s="125"/>
      <c r="H68" s="125"/>
      <c r="I68" s="28"/>
      <c r="J68" s="28"/>
      <c r="K68" s="28"/>
      <c r="L68" s="28"/>
      <c r="M68" s="28"/>
      <c r="N68" s="28"/>
    </row>
    <row r="69" spans="1:14" ht="15.75" customHeight="1" x14ac:dyDescent="0.3">
      <c r="A69" s="126" t="s">
        <v>88</v>
      </c>
      <c r="B69" s="126"/>
      <c r="C69" s="126"/>
      <c r="D69" s="127" t="str">
        <f>(IF(G75&gt;95%,"Nothing",IF(G75&gt;0%,"Cement, Aggregate, Steel, etc",IF(G75=0%,"Work not yet Started"))))</f>
        <v>Cement, Aggregate, Steel, etc</v>
      </c>
      <c r="E69" s="127"/>
      <c r="F69" s="127"/>
      <c r="G69" s="127"/>
      <c r="H69" s="127"/>
      <c r="J69" s="27"/>
    </row>
    <row r="70" spans="1:14" ht="33.75" customHeight="1" thickBot="1" x14ac:dyDescent="0.35">
      <c r="A70" s="145" t="s">
        <v>118</v>
      </c>
      <c r="B70" s="145"/>
      <c r="C70" s="145"/>
      <c r="D70" s="146" t="str">
        <f>(IF(D69="Nothing","Yes",IF(D69="Cement, Aggregate, Steel, etc","Under Construction",IF(D69="Work not yet Started","Work not yet Started"))))</f>
        <v>Under Construction</v>
      </c>
      <c r="E70" s="146"/>
      <c r="F70" s="146" t="str">
        <f>(IF(D69="Nothing","Yes",IF(D69="Cement, Aggregate, Steel, etc","Under Construction",IF(D69="Work not yet Started","Work not yet Started"))))</f>
        <v>Under Construction</v>
      </c>
      <c r="G70" s="146"/>
      <c r="H70" s="146"/>
    </row>
    <row r="71" spans="1:14" ht="15.75" customHeight="1" x14ac:dyDescent="0.3">
      <c r="A71" s="205" t="s">
        <v>142</v>
      </c>
      <c r="B71" s="206"/>
      <c r="C71" s="207" t="str">
        <f>D61</f>
        <v>Tower No.1 (Aster) = Gr/Stilt + 1st to 15th Floor</v>
      </c>
      <c r="D71" s="208"/>
      <c r="E71" s="208"/>
      <c r="F71" s="208"/>
      <c r="G71" s="208"/>
      <c r="H71" s="209"/>
      <c r="I71" s="57" t="str">
        <f>(IF(E75&gt;99%,"All work completed. Please provide OC.",IF(E75&gt;89.8%,"Plinth, RCC, Brick, Plaster, Flooring, Painting work Completed. Finishing work is in process.",IF(E75&lt;94%,(IF(C75=0,"Work not yet Started.",IF(D75=25%,"Piling work in process",IF(D75=50%,"Excavation work in process",IF(D75=100%,"Excavation work Completed. ","0")))&amp;(IF(C76=0%,"",IF(C76=J77,"Footing work is process",IF(C76=J78,"Footing work Completed",IF(C76=J79,"1st Basement Completed",IF(C76=J80,"1st &amp; 2nd Basement Completed",IF(C76=J81,"1st to 3rd Basement Completed",IF(C76=J82,"1st to 4th Basement Completed",IF(C76=J83,"Plinth work is process",IF(C76=J84,"Plinth work completed","0")))))))))))&amp;(IF(C77=(D72+F72+H72),", RCC Slab",IF(C77&gt;0,", RCC upto "&amp;C77&amp;" Slab",""))&amp;(IF(C78=H72,", Brickwork",IF(C78&gt;0,", Brickwork upto "&amp;C78&amp;" Floor",""))&amp;(IF(C79=H72,", Internal Plaster",IF(C79&gt;0,", Internal Plaster upto "&amp;C79&amp;" Floor",""))&amp;(IF(C80=H72,", External Plaster",IF(C80&gt;0,", External Plaster upto "&amp;C80&amp;" Floor",""))&amp;(IF(C81=H72,", Flooring",IF(C81&gt;0,", Flooring upto "&amp;C81&amp;" Floor",""))&amp;(IF(C82=H72,", Painting",IF(C82&gt;0,", Painting upto "&amp;C82&amp;" Floor",""))&amp;(IF(C83&gt;0,", Finishing upto "&amp;C83&amp;" Floor","")&amp;(IF(C77&gt;0.5," Completed",""))))))))))))))</f>
        <v>Excavation work Completed. Plinth work completed, RCC Slab, Brickwork, Internal Plaster upto 13 Floor, External Plaster upto 12 Floor, Flooring upto 5 Floor, Painting upto 1 Floor Completed</v>
      </c>
      <c r="J71" s="58"/>
    </row>
    <row r="72" spans="1:14" x14ac:dyDescent="0.3">
      <c r="A72" s="17" t="s">
        <v>144</v>
      </c>
      <c r="B72" s="49">
        <v>0</v>
      </c>
      <c r="C72" s="49" t="s">
        <v>74</v>
      </c>
      <c r="D72" s="49">
        <v>1</v>
      </c>
      <c r="E72" s="49" t="s">
        <v>73</v>
      </c>
      <c r="F72" s="49">
        <v>0</v>
      </c>
      <c r="G72" s="49" t="s">
        <v>82</v>
      </c>
      <c r="H72" s="18">
        <v>15</v>
      </c>
      <c r="I72" s="27"/>
      <c r="J72" s="59"/>
    </row>
    <row r="73" spans="1:14" ht="48.75" customHeight="1" x14ac:dyDescent="0.3">
      <c r="A73" s="188" t="s">
        <v>92</v>
      </c>
      <c r="B73" s="175"/>
      <c r="C73" s="136" t="str">
        <f>I71</f>
        <v>Excavation work Completed. Plinth work completed, RCC Slab, Brickwork, Internal Plaster upto 13 Floor, External Plaster upto 12 Floor, Flooring upto 5 Floor, Painting upto 1 Floor Completed</v>
      </c>
      <c r="D73" s="136"/>
      <c r="E73" s="136"/>
      <c r="F73" s="136"/>
      <c r="G73" s="136"/>
      <c r="H73" s="137"/>
      <c r="I73" s="27" t="s">
        <v>205</v>
      </c>
      <c r="J73" s="59"/>
    </row>
    <row r="74" spans="1:14" ht="15.75" customHeight="1" x14ac:dyDescent="0.3">
      <c r="A74" s="210" t="s">
        <v>51</v>
      </c>
      <c r="B74" s="211"/>
      <c r="C74" s="56" t="s">
        <v>141</v>
      </c>
      <c r="D74" s="56" t="s">
        <v>85</v>
      </c>
      <c r="E74" s="211" t="s">
        <v>87</v>
      </c>
      <c r="F74" s="211"/>
      <c r="G74" s="211" t="s">
        <v>86</v>
      </c>
      <c r="H74" s="212"/>
      <c r="I74" s="14" t="s">
        <v>143</v>
      </c>
      <c r="J74" s="29">
        <f>H72*25%</f>
        <v>3.75</v>
      </c>
    </row>
    <row r="75" spans="1:14" x14ac:dyDescent="0.3">
      <c r="A75" s="210" t="s">
        <v>130</v>
      </c>
      <c r="B75" s="211"/>
      <c r="C75" s="60">
        <v>15</v>
      </c>
      <c r="D75" s="20">
        <f>((100/H72)*C75)/100</f>
        <v>1</v>
      </c>
      <c r="E75" s="213">
        <f>(((C76/H72*10)+(40/(D72+F72+H72)*C77)+(7.5/(H72)*C78)+(7.5/(H72)*C79)+(10/H72*C80)+(10/H72*C81)+(5/H72*C82)+(5/H72*C83)+(5/H72*C84))/100)</f>
        <v>0.7566666666666666</v>
      </c>
      <c r="F75" s="213"/>
      <c r="G75" s="213">
        <f>((((C75/H72)*20)+((C76/H72)*25)+(30/(H72+F72+D72)*C77)+(5/H72*C78)+(5/H72*C79)+(5/H72*C80)+(5/H72*C81)+(0/H72*C82)+(0/H72*C83)+(5/H72*C84))/100)</f>
        <v>0.9</v>
      </c>
      <c r="H75" s="215"/>
      <c r="I75" s="14" t="s">
        <v>100</v>
      </c>
      <c r="J75" s="30">
        <f>H72*50%</f>
        <v>7.5</v>
      </c>
    </row>
    <row r="76" spans="1:14" x14ac:dyDescent="0.3">
      <c r="A76" s="210" t="s">
        <v>52</v>
      </c>
      <c r="B76" s="211"/>
      <c r="C76" s="62">
        <v>15</v>
      </c>
      <c r="D76" s="20">
        <f>((100/H72)*C76)/100</f>
        <v>1</v>
      </c>
      <c r="E76" s="213"/>
      <c r="F76" s="213"/>
      <c r="G76" s="213"/>
      <c r="H76" s="215"/>
      <c r="I76" s="14" t="s">
        <v>101</v>
      </c>
      <c r="J76" s="30">
        <f>H72</f>
        <v>15</v>
      </c>
    </row>
    <row r="77" spans="1:14" ht="15.75" customHeight="1" x14ac:dyDescent="0.3">
      <c r="A77" s="217" t="s">
        <v>131</v>
      </c>
      <c r="B77" s="218"/>
      <c r="C77" s="62">
        <v>16</v>
      </c>
      <c r="D77" s="61">
        <f>((100/(D72+F72+H72))*C77)/100</f>
        <v>1</v>
      </c>
      <c r="E77" s="213"/>
      <c r="F77" s="213"/>
      <c r="G77" s="213"/>
      <c r="H77" s="215"/>
      <c r="I77" s="14" t="s">
        <v>102</v>
      </c>
      <c r="J77" s="31">
        <f>(IF(B72&gt;1,(H72/(B72+2)),H72/4))</f>
        <v>3.75</v>
      </c>
    </row>
    <row r="78" spans="1:14" ht="15.75" customHeight="1" x14ac:dyDescent="0.3">
      <c r="A78" s="98" t="s">
        <v>138</v>
      </c>
      <c r="B78" s="99" t="s">
        <v>132</v>
      </c>
      <c r="C78" s="62">
        <v>15</v>
      </c>
      <c r="D78" s="61">
        <f>((100/H72)*C78)/100</f>
        <v>1</v>
      </c>
      <c r="E78" s="213"/>
      <c r="F78" s="213"/>
      <c r="G78" s="213"/>
      <c r="H78" s="215"/>
      <c r="I78" s="14" t="s">
        <v>103</v>
      </c>
      <c r="J78" s="31">
        <f>(IF(B72&gt;1,(H72/(B72+2)+J77),H72/4+J77))</f>
        <v>7.5</v>
      </c>
    </row>
    <row r="79" spans="1:14" ht="15.75" customHeight="1" x14ac:dyDescent="0.3">
      <c r="A79" s="98" t="s">
        <v>139</v>
      </c>
      <c r="B79" s="99" t="s">
        <v>132</v>
      </c>
      <c r="C79" s="62">
        <v>13</v>
      </c>
      <c r="D79" s="61">
        <f>((100/H72)*C79)/100</f>
        <v>0.8666666666666667</v>
      </c>
      <c r="E79" s="213"/>
      <c r="F79" s="213"/>
      <c r="G79" s="213"/>
      <c r="H79" s="215"/>
      <c r="I79" s="14" t="s">
        <v>148</v>
      </c>
      <c r="J79" s="31">
        <f>(IF(B72&gt;1,(H72/(B72+2)+J78),0))</f>
        <v>0</v>
      </c>
    </row>
    <row r="80" spans="1:14" ht="15" customHeight="1" x14ac:dyDescent="0.3">
      <c r="A80" s="98" t="s">
        <v>137</v>
      </c>
      <c r="B80" s="99" t="s">
        <v>134</v>
      </c>
      <c r="C80" s="62">
        <v>12</v>
      </c>
      <c r="D80" s="61">
        <f>((100/(H72))*C80)/100</f>
        <v>0.8</v>
      </c>
      <c r="E80" s="213"/>
      <c r="F80" s="213"/>
      <c r="G80" s="213"/>
      <c r="H80" s="215"/>
      <c r="I80" s="14" t="s">
        <v>145</v>
      </c>
      <c r="J80" s="31">
        <f>(IF(B72&gt;2,(H72/(B72+2)+J79),0))</f>
        <v>0</v>
      </c>
    </row>
    <row r="81" spans="1:10" ht="15.75" customHeight="1" x14ac:dyDescent="0.3">
      <c r="A81" s="98" t="s">
        <v>133</v>
      </c>
      <c r="B81" s="99" t="s">
        <v>133</v>
      </c>
      <c r="C81" s="60">
        <v>5</v>
      </c>
      <c r="D81" s="61">
        <f>((100/H72)*C81)/100</f>
        <v>0.33333333333333337</v>
      </c>
      <c r="E81" s="213"/>
      <c r="F81" s="213"/>
      <c r="G81" s="213"/>
      <c r="H81" s="215"/>
      <c r="I81" s="14" t="s">
        <v>146</v>
      </c>
      <c r="J81" s="32">
        <f>(IF(B72&gt;3,(H72/(B72+2)+J80),0))</f>
        <v>0</v>
      </c>
    </row>
    <row r="82" spans="1:10" ht="15.75" customHeight="1" x14ac:dyDescent="0.3">
      <c r="A82" s="98" t="s">
        <v>140</v>
      </c>
      <c r="B82" s="99"/>
      <c r="C82" s="60">
        <v>1</v>
      </c>
      <c r="D82" s="61">
        <f>((100/H72)*C82)/100</f>
        <v>6.6666666666666666E-2</v>
      </c>
      <c r="E82" s="213"/>
      <c r="F82" s="213"/>
      <c r="G82" s="213"/>
      <c r="H82" s="215"/>
      <c r="I82" s="14" t="s">
        <v>147</v>
      </c>
      <c r="J82" s="31">
        <f>(IF(B72&gt;4,(H72/(B72+2)+J81),0))</f>
        <v>0</v>
      </c>
    </row>
    <row r="83" spans="1:10" ht="15.75" customHeight="1" x14ac:dyDescent="0.3">
      <c r="A83" s="98" t="s">
        <v>135</v>
      </c>
      <c r="B83" s="99" t="s">
        <v>135</v>
      </c>
      <c r="C83" s="60">
        <v>0</v>
      </c>
      <c r="D83" s="61">
        <f>((100/(H72))*C83)/100</f>
        <v>0</v>
      </c>
      <c r="E83" s="213"/>
      <c r="F83" s="213"/>
      <c r="G83" s="213"/>
      <c r="H83" s="215"/>
      <c r="I83" s="14" t="s">
        <v>149</v>
      </c>
      <c r="J83" s="31">
        <f>(IF(B72=1,(H72/(B72+3)+J78),IF(B72=0,(H72/4+J78),IF(B72&gt;1,0))))</f>
        <v>11.25</v>
      </c>
    </row>
    <row r="84" spans="1:10" ht="16.2" thickBot="1" x14ac:dyDescent="0.35">
      <c r="A84" s="108" t="s">
        <v>136</v>
      </c>
      <c r="B84" s="109"/>
      <c r="C84" s="63">
        <v>0</v>
      </c>
      <c r="D84" s="64">
        <f>((100/(H72))*C84)/100</f>
        <v>0</v>
      </c>
      <c r="E84" s="214"/>
      <c r="F84" s="214"/>
      <c r="G84" s="214"/>
      <c r="H84" s="216"/>
      <c r="I84" s="16" t="s">
        <v>104</v>
      </c>
      <c r="J84" s="33">
        <f>(IF(B72&gt;1.5,(H72/(B72+2)+J78+MAX(0,J79-J78)+MAX(0,J80-J79)+MAX(0,J81-J80)+MAX(0,J82-J81)+MAX(0,J83-J82)),IF(B72=1,(H72/(B72+3)+J83),IF(B72=0,H72/4+J83))))</f>
        <v>15</v>
      </c>
    </row>
    <row r="85" spans="1:10" ht="15.75" hidden="1" customHeight="1" x14ac:dyDescent="0.3">
      <c r="A85" s="100" t="s">
        <v>142</v>
      </c>
      <c r="B85" s="101"/>
      <c r="C85" s="102" t="str">
        <f>D61</f>
        <v>Tower No.1 (Aster) = Gr/Stilt + 1st to 15th Floor</v>
      </c>
      <c r="D85" s="103"/>
      <c r="E85" s="103"/>
      <c r="F85" s="103"/>
      <c r="G85" s="103"/>
      <c r="H85" s="104"/>
      <c r="I85" s="51" t="str">
        <f>IF(D98=100%,"All work Completed. Possession granted to the Building.",IF(D97=100%,"All work Completed, Waiting for OC",I86&amp;""&amp;I87&amp;""&amp;J86&amp;""&amp;J85&amp;" "&amp;J87))</f>
        <v>Excavation, Plinth Completed, RCC upto 5 Slab, Brickwork upto 2 Floor Completed</v>
      </c>
      <c r="J85" s="52" t="str">
        <f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5 Slab, Brickwork upto 2 Floor</v>
      </c>
    </row>
    <row r="86" spans="1:10" hidden="1" x14ac:dyDescent="0.3">
      <c r="A86" s="17" t="s">
        <v>144</v>
      </c>
      <c r="B86" s="15">
        <v>0</v>
      </c>
      <c r="C86" s="49" t="s">
        <v>74</v>
      </c>
      <c r="D86" s="49">
        <v>1</v>
      </c>
      <c r="E86" s="49" t="s">
        <v>73</v>
      </c>
      <c r="F86" s="15">
        <v>0</v>
      </c>
      <c r="G86" s="50" t="s">
        <v>82</v>
      </c>
      <c r="H86" s="18">
        <v>17</v>
      </c>
      <c r="I86" s="53" t="str">
        <f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54" t="str">
        <f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3.75" hidden="1" customHeight="1" x14ac:dyDescent="0.3">
      <c r="A87" s="188" t="s">
        <v>92</v>
      </c>
      <c r="B87" s="175"/>
      <c r="C87" s="136" t="str">
        <f>(IF($G$56="NA",I85,"All work Completed. OC Received."))</f>
        <v>Excavation, Plinth Completed, RCC upto 5 Slab, Brickwork upto 2 Floor Completed</v>
      </c>
      <c r="D87" s="136"/>
      <c r="E87" s="136"/>
      <c r="F87" s="136"/>
      <c r="G87" s="136"/>
      <c r="H87" s="137"/>
      <c r="I87" s="53" t="str">
        <f>IF(I86&lt;&gt;""," Completed","")</f>
        <v xml:space="preserve"> Completed</v>
      </c>
      <c r="J87" s="54" t="str">
        <f>IF(J85&lt;&gt;"","Completed","")</f>
        <v>Completed</v>
      </c>
    </row>
    <row r="88" spans="1:10" ht="15.75" hidden="1" customHeight="1" x14ac:dyDescent="0.3">
      <c r="A88" s="98" t="s">
        <v>51</v>
      </c>
      <c r="B88" s="99"/>
      <c r="C88" s="45" t="s">
        <v>141</v>
      </c>
      <c r="D88" s="45" t="s">
        <v>85</v>
      </c>
      <c r="E88" s="99" t="s">
        <v>87</v>
      </c>
      <c r="F88" s="99"/>
      <c r="G88" s="99" t="s">
        <v>86</v>
      </c>
      <c r="H88" s="134"/>
      <c r="I88" s="14" t="s">
        <v>143</v>
      </c>
      <c r="J88" s="29">
        <f>H86*25%</f>
        <v>4.25</v>
      </c>
    </row>
    <row r="89" spans="1:10" hidden="1" x14ac:dyDescent="0.3">
      <c r="A89" s="98" t="s">
        <v>130</v>
      </c>
      <c r="B89" s="99"/>
      <c r="C89" s="45">
        <v>17</v>
      </c>
      <c r="D89" s="20">
        <f>((100/H86)*C89)/100</f>
        <v>1</v>
      </c>
      <c r="E89" s="128">
        <f>(((C90/H86*10)+(40/(D86+F86+H86)*C91)+(7.5/(H86)*C92)+(7.5/(H86)*C93)+(10/H86*C94)+(10/H86*C95)+(5/H86*C96)+(5/H86*C97)+(5/H86*C98))/100)</f>
        <v>0.21993464052287581</v>
      </c>
      <c r="F89" s="201"/>
      <c r="G89" s="128">
        <f>((((C89/H86)*20)+((C90/H86)*25)+(30/(H86+F86+D86)*C91)+(5/H86*C92)+(5/H86*C93)+(5/H86*C94)+(5/H86*C95)+(0/H86*C96)+(0/H86*C97)+(5/H86*C98))/100)</f>
        <v>0.53921568627450978</v>
      </c>
      <c r="H89" s="129"/>
      <c r="I89" s="14" t="s">
        <v>100</v>
      </c>
      <c r="J89" s="30">
        <f>H86*50%</f>
        <v>8.5</v>
      </c>
    </row>
    <row r="90" spans="1:10" hidden="1" x14ac:dyDescent="0.3">
      <c r="A90" s="98" t="s">
        <v>52</v>
      </c>
      <c r="B90" s="99"/>
      <c r="C90" s="45">
        <v>17</v>
      </c>
      <c r="D90" s="20">
        <f>((100/H86)*C90)/100</f>
        <v>1</v>
      </c>
      <c r="E90" s="130"/>
      <c r="F90" s="202"/>
      <c r="G90" s="130"/>
      <c r="H90" s="131"/>
      <c r="I90" s="14" t="s">
        <v>101</v>
      </c>
      <c r="J90" s="30">
        <f>H86</f>
        <v>17</v>
      </c>
    </row>
    <row r="91" spans="1:10" ht="15.75" hidden="1" customHeight="1" x14ac:dyDescent="0.3">
      <c r="A91" s="98" t="s">
        <v>131</v>
      </c>
      <c r="B91" s="99"/>
      <c r="C91" s="45">
        <v>5</v>
      </c>
      <c r="D91" s="20">
        <f>((100/(D86+F86+H86))*C91)/100</f>
        <v>0.27777777777777779</v>
      </c>
      <c r="E91" s="130"/>
      <c r="F91" s="202"/>
      <c r="G91" s="130"/>
      <c r="H91" s="131"/>
      <c r="I91" s="14" t="s">
        <v>102</v>
      </c>
      <c r="J91" s="31">
        <f>(IF(B86&gt;1,(H86/(B86+2)),H86/4))</f>
        <v>4.25</v>
      </c>
    </row>
    <row r="92" spans="1:10" ht="15.75" hidden="1" customHeight="1" x14ac:dyDescent="0.3">
      <c r="A92" s="98" t="s">
        <v>138</v>
      </c>
      <c r="B92" s="99" t="s">
        <v>132</v>
      </c>
      <c r="C92" s="45">
        <v>2</v>
      </c>
      <c r="D92" s="20">
        <f>((100/H86)*C92)/100</f>
        <v>0.11764705882352942</v>
      </c>
      <c r="E92" s="130"/>
      <c r="F92" s="202"/>
      <c r="G92" s="130"/>
      <c r="H92" s="131"/>
      <c r="I92" s="14" t="s">
        <v>103</v>
      </c>
      <c r="J92" s="31">
        <f>(IF(B86&gt;1,(H86/(B86+2)+J91),H86/4+J91))</f>
        <v>8.5</v>
      </c>
    </row>
    <row r="93" spans="1:10" ht="15.75" hidden="1" customHeight="1" x14ac:dyDescent="0.3">
      <c r="A93" s="98" t="s">
        <v>139</v>
      </c>
      <c r="B93" s="99" t="s">
        <v>132</v>
      </c>
      <c r="C93" s="45">
        <v>0</v>
      </c>
      <c r="D93" s="20">
        <f>((100/H86)*C93)/100</f>
        <v>0</v>
      </c>
      <c r="E93" s="130"/>
      <c r="F93" s="202"/>
      <c r="G93" s="130"/>
      <c r="H93" s="131"/>
      <c r="I93" s="14" t="s">
        <v>148</v>
      </c>
      <c r="J93" s="31">
        <f>(IF(B86&gt;1,(H86/(B86+2)+J92),0))</f>
        <v>0</v>
      </c>
    </row>
    <row r="94" spans="1:10" ht="15" hidden="1" customHeight="1" x14ac:dyDescent="0.3">
      <c r="A94" s="98" t="s">
        <v>137</v>
      </c>
      <c r="B94" s="99" t="s">
        <v>134</v>
      </c>
      <c r="C94" s="45">
        <v>0</v>
      </c>
      <c r="D94" s="20">
        <f>((100/(H86))*C94)/100</f>
        <v>0</v>
      </c>
      <c r="E94" s="130"/>
      <c r="F94" s="202"/>
      <c r="G94" s="130"/>
      <c r="H94" s="131"/>
      <c r="I94" s="14" t="s">
        <v>145</v>
      </c>
      <c r="J94" s="31">
        <f>(IF(B86&gt;2,(H86/(B86+2)+J93),0))</f>
        <v>0</v>
      </c>
    </row>
    <row r="95" spans="1:10" ht="15.75" hidden="1" customHeight="1" x14ac:dyDescent="0.3">
      <c r="A95" s="98" t="s">
        <v>133</v>
      </c>
      <c r="B95" s="99" t="s">
        <v>133</v>
      </c>
      <c r="C95" s="45">
        <v>0</v>
      </c>
      <c r="D95" s="20">
        <f>((100/H86)*C95)/100</f>
        <v>0</v>
      </c>
      <c r="E95" s="130"/>
      <c r="F95" s="202"/>
      <c r="G95" s="130"/>
      <c r="H95" s="131"/>
      <c r="I95" s="14" t="s">
        <v>146</v>
      </c>
      <c r="J95" s="32">
        <f>(IF(B86&gt;3,(H86/(B86+2)+J94),0))</f>
        <v>0</v>
      </c>
    </row>
    <row r="96" spans="1:10" ht="15.75" hidden="1" customHeight="1" x14ac:dyDescent="0.3">
      <c r="A96" s="98" t="s">
        <v>140</v>
      </c>
      <c r="B96" s="99"/>
      <c r="C96" s="45">
        <v>0</v>
      </c>
      <c r="D96" s="20">
        <f>((100/H86)*C96)/100</f>
        <v>0</v>
      </c>
      <c r="E96" s="130"/>
      <c r="F96" s="202"/>
      <c r="G96" s="130"/>
      <c r="H96" s="131"/>
      <c r="I96" s="14" t="s">
        <v>147</v>
      </c>
      <c r="J96" s="31">
        <f>(IF(B86&gt;4,(H86/(B86+2)+J95),0))</f>
        <v>0</v>
      </c>
    </row>
    <row r="97" spans="1:10" ht="15.75" hidden="1" customHeight="1" x14ac:dyDescent="0.3">
      <c r="A97" s="98" t="s">
        <v>135</v>
      </c>
      <c r="B97" s="99" t="s">
        <v>135</v>
      </c>
      <c r="C97" s="45">
        <v>0</v>
      </c>
      <c r="D97" s="20">
        <f>((100/(H86))*C97)/100</f>
        <v>0</v>
      </c>
      <c r="E97" s="130"/>
      <c r="F97" s="202"/>
      <c r="G97" s="130"/>
      <c r="H97" s="131"/>
      <c r="I97" s="14" t="s">
        <v>149</v>
      </c>
      <c r="J97" s="31">
        <f>(IF(B86=1,(H86/(B86+3)+J92),IF(B86=0,(H86/4+J92),IF(B86&gt;1,0))))</f>
        <v>12.75</v>
      </c>
    </row>
    <row r="98" spans="1:10" ht="16.2" hidden="1" thickBot="1" x14ac:dyDescent="0.35">
      <c r="A98" s="108" t="s">
        <v>136</v>
      </c>
      <c r="B98" s="109"/>
      <c r="C98" s="46">
        <v>0</v>
      </c>
      <c r="D98" s="21">
        <f>((100/(H86))*C98)/100</f>
        <v>0</v>
      </c>
      <c r="E98" s="132"/>
      <c r="F98" s="203"/>
      <c r="G98" s="132"/>
      <c r="H98" s="133"/>
      <c r="I98" s="16" t="s">
        <v>104</v>
      </c>
      <c r="J98" s="33">
        <f>(IF(B86&gt;1.5,(H86/(B86+2)+J92+MAX(0,J93-J92)+MAX(0,J94-J93)+MAX(0,J95-J94)+MAX(0,J96-J95)+MAX(0,J97-J96)),IF(B86=1,(H86/(B86+3)+J97),IF(B86=0,H86/4+J97))))</f>
        <v>17</v>
      </c>
    </row>
    <row r="99" spans="1:10" ht="15.75" hidden="1" customHeight="1" x14ac:dyDescent="0.3">
      <c r="A99" s="100" t="s">
        <v>142</v>
      </c>
      <c r="B99" s="101"/>
      <c r="C99" s="102" t="str">
        <f>D63</f>
        <v>C Wing = G + 1st to 20th Floor</v>
      </c>
      <c r="D99" s="103"/>
      <c r="E99" s="103"/>
      <c r="F99" s="103"/>
      <c r="G99" s="103"/>
      <c r="H99" s="104"/>
      <c r="I99" s="51" t="str">
        <f ca="1">IF(D112=100%,"All work Completed. Possession granted to the Building.",IF(D111=100%,"All work Completed, Waiting for OC",I100&amp;""&amp;I101&amp;""&amp;J100&amp;""&amp;J99&amp;" "&amp;J101))</f>
        <v xml:space="preserve">Excavation, Plinth, RCC Slab Completed </v>
      </c>
      <c r="J99" s="52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100" spans="1:10" hidden="1" x14ac:dyDescent="0.3">
      <c r="A100" s="17" t="s">
        <v>144</v>
      </c>
      <c r="B100" s="15">
        <v>0</v>
      </c>
      <c r="C100" s="49" t="s">
        <v>74</v>
      </c>
      <c r="D100" s="49">
        <v>1</v>
      </c>
      <c r="E100" s="49" t="s">
        <v>73</v>
      </c>
      <c r="F100" s="15">
        <v>0</v>
      </c>
      <c r="G100" s="50" t="s">
        <v>82</v>
      </c>
      <c r="H100" s="18">
        <f ca="1">--TRIM(RIGHT(SUBSTITUTE(LEFT(C99,_xlfn.AGGREGATE(16,6,FIND({0,1,2,3,4,5,6,7,8,9},C99,ROW(INDIRECT("1:"&amp;LEN(C99)))),1))," ",REPT(" ",LEN(C99))),LEN(C99)))</f>
        <v>20</v>
      </c>
      <c r="I100" s="53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</v>
      </c>
      <c r="J100" s="54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33" hidden="1" customHeight="1" x14ac:dyDescent="0.3">
      <c r="A101" s="188" t="s">
        <v>92</v>
      </c>
      <c r="B101" s="175"/>
      <c r="C101" s="136" t="str">
        <f ca="1">(IF($G$56="NA",I99,"All work Completed. OC Received."))</f>
        <v xml:space="preserve">Excavation, Plinth, RCC Slab Completed </v>
      </c>
      <c r="D101" s="136"/>
      <c r="E101" s="136"/>
      <c r="F101" s="136"/>
      <c r="G101" s="136"/>
      <c r="H101" s="137"/>
      <c r="I101" s="53" t="str">
        <f ca="1">IF(I100&lt;&gt;""," Completed","")</f>
        <v xml:space="preserve"> Completed</v>
      </c>
      <c r="J101" s="54" t="str">
        <f ca="1">IF(J99&lt;&gt;"","Completed","")</f>
        <v/>
      </c>
    </row>
    <row r="102" spans="1:10" ht="15.75" hidden="1" customHeight="1" x14ac:dyDescent="0.3">
      <c r="A102" s="98" t="s">
        <v>51</v>
      </c>
      <c r="B102" s="99"/>
      <c r="C102" s="45" t="s">
        <v>141</v>
      </c>
      <c r="D102" s="45" t="s">
        <v>85</v>
      </c>
      <c r="E102" s="99" t="s">
        <v>87</v>
      </c>
      <c r="F102" s="99"/>
      <c r="G102" s="99" t="s">
        <v>86</v>
      </c>
      <c r="H102" s="134"/>
      <c r="I102" s="14" t="s">
        <v>143</v>
      </c>
      <c r="J102" s="29">
        <f ca="1">H100*25%</f>
        <v>5</v>
      </c>
    </row>
    <row r="103" spans="1:10" hidden="1" x14ac:dyDescent="0.3">
      <c r="A103" s="98" t="s">
        <v>130</v>
      </c>
      <c r="B103" s="99"/>
      <c r="C103" s="45">
        <f ca="1">J104</f>
        <v>20</v>
      </c>
      <c r="D103" s="20">
        <f ca="1">((100/H100)*C103)/100</f>
        <v>1</v>
      </c>
      <c r="E103" s="128">
        <f ca="1">(((C104/H100*10)+(40/(D100+F100+H100)*C105)+(7.5/(H100)*C106)+(7.5/(H100)*C107)+(10/H100*C108)+(10/H100*C109)+(5/H100*C110)+(5/H100*C111)+(5/H100*C112))/100)</f>
        <v>0.5</v>
      </c>
      <c r="F103" s="201"/>
      <c r="G103" s="128">
        <f ca="1">((((C103/H100)*20)+((C104/H100)*25)+(30/(H100+F100+D100)*C105)+(5/H100*C106)+(5/H100*C107)+(5/H100*C108)+(5/H100*C109)+(0/H100*C110)+(0/H100*C111)+(5/H100*C112))/100)</f>
        <v>0.75</v>
      </c>
      <c r="H103" s="129"/>
      <c r="I103" s="14" t="s">
        <v>100</v>
      </c>
      <c r="J103" s="30">
        <f ca="1">H100*50%</f>
        <v>10</v>
      </c>
    </row>
    <row r="104" spans="1:10" hidden="1" x14ac:dyDescent="0.3">
      <c r="A104" s="98" t="s">
        <v>52</v>
      </c>
      <c r="B104" s="99"/>
      <c r="C104" s="45">
        <f ca="1">J112</f>
        <v>20</v>
      </c>
      <c r="D104" s="20">
        <f ca="1">((100/H100)*C104)/100</f>
        <v>1</v>
      </c>
      <c r="E104" s="130"/>
      <c r="F104" s="202"/>
      <c r="G104" s="130"/>
      <c r="H104" s="131"/>
      <c r="I104" s="14" t="s">
        <v>101</v>
      </c>
      <c r="J104" s="30">
        <f ca="1">H100</f>
        <v>20</v>
      </c>
    </row>
    <row r="105" spans="1:10" ht="15.75" hidden="1" customHeight="1" x14ac:dyDescent="0.3">
      <c r="A105" s="98" t="s">
        <v>131</v>
      </c>
      <c r="B105" s="99"/>
      <c r="C105" s="45">
        <f ca="1">D100+H100</f>
        <v>21</v>
      </c>
      <c r="D105" s="20">
        <f ca="1">((100/(D100+F100+H100))*C105)/100</f>
        <v>1</v>
      </c>
      <c r="E105" s="130"/>
      <c r="F105" s="202"/>
      <c r="G105" s="130"/>
      <c r="H105" s="131"/>
      <c r="I105" s="14" t="s">
        <v>102</v>
      </c>
      <c r="J105" s="31">
        <f ca="1">(IF(B100&gt;1,(H100/(B100+2)),H100/4))</f>
        <v>5</v>
      </c>
    </row>
    <row r="106" spans="1:10" ht="15.75" hidden="1" customHeight="1" x14ac:dyDescent="0.3">
      <c r="A106" s="98" t="s">
        <v>138</v>
      </c>
      <c r="B106" s="99" t="s">
        <v>132</v>
      </c>
      <c r="C106" s="45">
        <v>0</v>
      </c>
      <c r="D106" s="20">
        <f ca="1">((100/H100)*C106)/100</f>
        <v>0</v>
      </c>
      <c r="E106" s="130"/>
      <c r="F106" s="202"/>
      <c r="G106" s="130"/>
      <c r="H106" s="131"/>
      <c r="I106" s="14" t="s">
        <v>103</v>
      </c>
      <c r="J106" s="31">
        <f ca="1">(IF(B100&gt;1,(H100/(B100+2)+J105),H100/4+J105))</f>
        <v>10</v>
      </c>
    </row>
    <row r="107" spans="1:10" ht="15.75" hidden="1" customHeight="1" x14ac:dyDescent="0.3">
      <c r="A107" s="98" t="s">
        <v>139</v>
      </c>
      <c r="B107" s="99" t="s">
        <v>132</v>
      </c>
      <c r="C107" s="45">
        <v>0</v>
      </c>
      <c r="D107" s="20">
        <f ca="1">((100/H100)*C107)/100</f>
        <v>0</v>
      </c>
      <c r="E107" s="130"/>
      <c r="F107" s="202"/>
      <c r="G107" s="130"/>
      <c r="H107" s="131"/>
      <c r="I107" s="14" t="s">
        <v>148</v>
      </c>
      <c r="J107" s="31">
        <f>(IF(B100&gt;1,(H100/(B100+2)+J106),0))</f>
        <v>0</v>
      </c>
    </row>
    <row r="108" spans="1:10" ht="15" hidden="1" customHeight="1" x14ac:dyDescent="0.3">
      <c r="A108" s="98" t="s">
        <v>137</v>
      </c>
      <c r="B108" s="99" t="s">
        <v>134</v>
      </c>
      <c r="C108" s="45">
        <v>0</v>
      </c>
      <c r="D108" s="20">
        <f ca="1">((100/(H100))*C108)/100</f>
        <v>0</v>
      </c>
      <c r="E108" s="130"/>
      <c r="F108" s="202"/>
      <c r="G108" s="130"/>
      <c r="H108" s="131"/>
      <c r="I108" s="14" t="s">
        <v>145</v>
      </c>
      <c r="J108" s="31">
        <f>(IF(B100&gt;2,(H100/(B100+2)+J107),0))</f>
        <v>0</v>
      </c>
    </row>
    <row r="109" spans="1:10" ht="15.75" hidden="1" customHeight="1" x14ac:dyDescent="0.3">
      <c r="A109" s="98" t="s">
        <v>133</v>
      </c>
      <c r="B109" s="99" t="s">
        <v>133</v>
      </c>
      <c r="C109" s="45">
        <v>0</v>
      </c>
      <c r="D109" s="20">
        <f ca="1">((100/H100)*C109)/100</f>
        <v>0</v>
      </c>
      <c r="E109" s="130"/>
      <c r="F109" s="202"/>
      <c r="G109" s="130"/>
      <c r="H109" s="131"/>
      <c r="I109" s="14" t="s">
        <v>146</v>
      </c>
      <c r="J109" s="32">
        <f>(IF(B100&gt;3,(H100/(B100+2)+J108),0))</f>
        <v>0</v>
      </c>
    </row>
    <row r="110" spans="1:10" ht="15.75" hidden="1" customHeight="1" x14ac:dyDescent="0.3">
      <c r="A110" s="98" t="s">
        <v>140</v>
      </c>
      <c r="B110" s="99"/>
      <c r="C110" s="45">
        <v>0</v>
      </c>
      <c r="D110" s="20">
        <f ca="1">((100/H100)*C110)/100</f>
        <v>0</v>
      </c>
      <c r="E110" s="130"/>
      <c r="F110" s="202"/>
      <c r="G110" s="130"/>
      <c r="H110" s="131"/>
      <c r="I110" s="14" t="s">
        <v>147</v>
      </c>
      <c r="J110" s="31">
        <f>(IF(B100&gt;4,(H100/(B100+2)+J109),0))</f>
        <v>0</v>
      </c>
    </row>
    <row r="111" spans="1:10" ht="15.75" hidden="1" customHeight="1" x14ac:dyDescent="0.3">
      <c r="A111" s="98" t="s">
        <v>135</v>
      </c>
      <c r="B111" s="99" t="s">
        <v>135</v>
      </c>
      <c r="C111" s="45">
        <v>0</v>
      </c>
      <c r="D111" s="20">
        <f ca="1">((100/(H100))*C111)/100</f>
        <v>0</v>
      </c>
      <c r="E111" s="130"/>
      <c r="F111" s="202"/>
      <c r="G111" s="130"/>
      <c r="H111" s="131"/>
      <c r="I111" s="14" t="s">
        <v>149</v>
      </c>
      <c r="J111" s="31">
        <f ca="1">(IF(B100=1,(H100/(B100+3)+J106),IF(B100=0,(H100/4+J106),IF(B100&gt;1,0))))</f>
        <v>15</v>
      </c>
    </row>
    <row r="112" spans="1:10" ht="16.2" hidden="1" thickBot="1" x14ac:dyDescent="0.35">
      <c r="A112" s="108" t="s">
        <v>136</v>
      </c>
      <c r="B112" s="109"/>
      <c r="C112" s="46">
        <v>0</v>
      </c>
      <c r="D112" s="21">
        <f ca="1">((100/(H100))*C112)/100</f>
        <v>0</v>
      </c>
      <c r="E112" s="132"/>
      <c r="F112" s="203"/>
      <c r="G112" s="132"/>
      <c r="H112" s="133"/>
      <c r="I112" s="16" t="s">
        <v>104</v>
      </c>
      <c r="J112" s="33">
        <f ca="1">(IF(B100&gt;1.5,(H100/(B100+2)+J106+MAX(0,J107-J106)+MAX(0,J108-J107)+MAX(0,J109-J108)+MAX(0,J110-J109)+MAX(0,J111-J110)),IF(B100=1,(H100/(B100+3)+J111),IF(B100=0,H100/4+J111))))</f>
        <v>20</v>
      </c>
    </row>
    <row r="113" spans="1:9" x14ac:dyDescent="0.3">
      <c r="A113" s="148" t="s">
        <v>160</v>
      </c>
      <c r="B113" s="148"/>
      <c r="C113" s="148"/>
      <c r="D113" s="148"/>
      <c r="E113" s="148"/>
      <c r="F113" s="204" t="s">
        <v>164</v>
      </c>
      <c r="G113" s="204"/>
      <c r="H113" s="204"/>
      <c r="I113" s="22" t="s">
        <v>225</v>
      </c>
    </row>
    <row r="114" spans="1:9" x14ac:dyDescent="0.3">
      <c r="A114" s="95" t="s">
        <v>162</v>
      </c>
      <c r="B114" s="95"/>
      <c r="C114" s="95"/>
      <c r="D114" s="95"/>
      <c r="E114" s="95"/>
      <c r="F114" s="105">
        <v>5600</v>
      </c>
      <c r="G114" s="105"/>
      <c r="H114" s="105"/>
      <c r="I114" s="22" t="s">
        <v>237</v>
      </c>
    </row>
    <row r="115" spans="1:9" x14ac:dyDescent="0.3">
      <c r="A115" s="95" t="s">
        <v>161</v>
      </c>
      <c r="B115" s="95"/>
      <c r="C115" s="95"/>
      <c r="D115" s="95"/>
      <c r="E115" s="95"/>
      <c r="F115" s="105">
        <v>10500</v>
      </c>
      <c r="G115" s="105"/>
      <c r="H115" s="105"/>
    </row>
    <row r="116" spans="1:9" hidden="1" x14ac:dyDescent="0.3">
      <c r="A116" s="95" t="s">
        <v>163</v>
      </c>
      <c r="B116" s="95"/>
      <c r="C116" s="95"/>
      <c r="D116" s="95"/>
      <c r="E116" s="95"/>
      <c r="F116" s="105"/>
      <c r="G116" s="105"/>
      <c r="H116" s="105"/>
    </row>
    <row r="117" spans="1:9" s="34" customFormat="1" hidden="1" x14ac:dyDescent="0.25">
      <c r="A117" s="95" t="s">
        <v>194</v>
      </c>
      <c r="B117" s="95"/>
      <c r="C117" s="95"/>
      <c r="D117" s="95"/>
      <c r="E117" s="95"/>
      <c r="F117" s="105">
        <v>75</v>
      </c>
      <c r="G117" s="105"/>
      <c r="H117" s="105"/>
    </row>
    <row r="118" spans="1:9" s="34" customFormat="1" hidden="1" x14ac:dyDescent="0.25">
      <c r="A118" s="95" t="s">
        <v>96</v>
      </c>
      <c r="B118" s="95"/>
      <c r="C118" s="95"/>
      <c r="D118" s="95"/>
      <c r="E118" s="95"/>
      <c r="F118" s="105"/>
      <c r="G118" s="105"/>
      <c r="H118" s="105"/>
    </row>
    <row r="119" spans="1:9" x14ac:dyDescent="0.3">
      <c r="A119" s="95" t="s">
        <v>163</v>
      </c>
      <c r="B119" s="95"/>
      <c r="C119" s="95"/>
      <c r="D119" s="95"/>
      <c r="E119" s="95"/>
      <c r="F119" s="105">
        <v>8500</v>
      </c>
      <c r="G119" s="105"/>
      <c r="H119" s="105"/>
    </row>
    <row r="120" spans="1:9" s="34" customFormat="1" x14ac:dyDescent="0.25">
      <c r="A120" s="95" t="s">
        <v>97</v>
      </c>
      <c r="B120" s="95"/>
      <c r="C120" s="95"/>
      <c r="D120" s="95"/>
      <c r="E120" s="95"/>
      <c r="F120" s="105">
        <v>150000</v>
      </c>
      <c r="G120" s="105"/>
      <c r="H120" s="105"/>
    </row>
    <row r="121" spans="1:9" s="34" customFormat="1" hidden="1" x14ac:dyDescent="0.25">
      <c r="A121" s="95" t="s">
        <v>165</v>
      </c>
      <c r="B121" s="95"/>
      <c r="C121" s="95"/>
      <c r="D121" s="95"/>
      <c r="E121" s="95"/>
      <c r="F121" s="105"/>
      <c r="G121" s="105"/>
      <c r="H121" s="105"/>
    </row>
    <row r="122" spans="1:9" s="34" customFormat="1" hidden="1" x14ac:dyDescent="0.25">
      <c r="A122" s="95" t="s">
        <v>98</v>
      </c>
      <c r="B122" s="95"/>
      <c r="C122" s="95"/>
      <c r="D122" s="95"/>
      <c r="E122" s="95"/>
      <c r="F122" s="105"/>
      <c r="G122" s="105"/>
      <c r="H122" s="105"/>
    </row>
    <row r="123" spans="1:9" s="34" customFormat="1" x14ac:dyDescent="0.25">
      <c r="A123" s="95" t="s">
        <v>195</v>
      </c>
      <c r="B123" s="95"/>
      <c r="C123" s="95"/>
      <c r="D123" s="95"/>
      <c r="E123" s="95"/>
      <c r="F123" s="105">
        <v>250000</v>
      </c>
      <c r="G123" s="105"/>
      <c r="H123" s="105"/>
    </row>
    <row r="124" spans="1:9" s="34" customFormat="1" x14ac:dyDescent="0.25">
      <c r="A124" s="95" t="s">
        <v>196</v>
      </c>
      <c r="B124" s="95"/>
      <c r="C124" s="95"/>
      <c r="D124" s="95"/>
      <c r="E124" s="95"/>
      <c r="F124" s="105">
        <v>150000</v>
      </c>
      <c r="G124" s="105"/>
      <c r="H124" s="105"/>
    </row>
    <row r="125" spans="1:9" s="34" customFormat="1" hidden="1" x14ac:dyDescent="0.25">
      <c r="A125" s="95" t="s">
        <v>99</v>
      </c>
      <c r="B125" s="95"/>
      <c r="C125" s="95"/>
      <c r="D125" s="95"/>
      <c r="E125" s="95"/>
      <c r="F125" s="105"/>
      <c r="G125" s="105"/>
      <c r="H125" s="105"/>
    </row>
    <row r="126" spans="1:9" x14ac:dyDescent="0.3">
      <c r="A126" s="95" t="s">
        <v>53</v>
      </c>
      <c r="B126" s="95"/>
      <c r="C126" s="95"/>
      <c r="D126" s="95"/>
      <c r="E126" s="95"/>
      <c r="F126" s="105">
        <v>200000</v>
      </c>
      <c r="G126" s="105"/>
      <c r="H126" s="105"/>
    </row>
    <row r="127" spans="1:9" s="35" customFormat="1" x14ac:dyDescent="0.3">
      <c r="A127" s="162" t="s">
        <v>54</v>
      </c>
      <c r="B127" s="162"/>
      <c r="C127" s="162"/>
      <c r="D127" s="162"/>
      <c r="E127" s="162"/>
      <c r="F127" s="105">
        <f>F114*0.8</f>
        <v>4480</v>
      </c>
      <c r="G127" s="105"/>
      <c r="H127" s="105"/>
    </row>
    <row r="128" spans="1:9" s="36" customFormat="1" ht="15.75" customHeight="1" x14ac:dyDescent="0.3">
      <c r="A128" s="114" t="s">
        <v>231</v>
      </c>
      <c r="B128" s="114"/>
      <c r="C128" s="114"/>
      <c r="D128" s="114"/>
      <c r="E128" s="114"/>
      <c r="F128" s="114"/>
      <c r="G128" s="114"/>
      <c r="H128" s="114"/>
    </row>
    <row r="129" spans="1:14" s="36" customFormat="1" ht="15.75" customHeight="1" x14ac:dyDescent="0.3">
      <c r="A129" s="97" t="s">
        <v>55</v>
      </c>
      <c r="B129" s="97"/>
      <c r="C129" s="124" t="s">
        <v>80</v>
      </c>
      <c r="D129" s="124"/>
      <c r="E129" s="116" t="s">
        <v>56</v>
      </c>
      <c r="F129" s="116"/>
      <c r="G129" s="97" t="s">
        <v>57</v>
      </c>
      <c r="H129" s="97"/>
    </row>
    <row r="130" spans="1:14" s="36" customFormat="1" x14ac:dyDescent="0.3">
      <c r="A130" s="135" t="s">
        <v>190</v>
      </c>
      <c r="B130" s="135"/>
      <c r="C130" s="106">
        <f>COUNT(D143:D150)</f>
        <v>8</v>
      </c>
      <c r="D130" s="107"/>
      <c r="E130" s="106">
        <f>SUM(D143:D150)</f>
        <v>1622.5007760000001</v>
      </c>
      <c r="F130" s="107"/>
      <c r="G130" s="106">
        <f>SUM(F143:F150)</f>
        <v>3443.2351434000002</v>
      </c>
      <c r="H130" s="107"/>
    </row>
    <row r="131" spans="1:14" s="36" customFormat="1" x14ac:dyDescent="0.3">
      <c r="A131" s="135" t="s">
        <v>213</v>
      </c>
      <c r="B131" s="135"/>
      <c r="C131" s="106">
        <f>COUNT(D152:D154)</f>
        <v>3</v>
      </c>
      <c r="D131" s="107"/>
      <c r="E131" s="106">
        <f>SUM(D152:D154)</f>
        <v>1801.7762723999999</v>
      </c>
      <c r="F131" s="107"/>
      <c r="G131" s="106">
        <f>SUM(F152:F154)</f>
        <v>2862.3663782999997</v>
      </c>
      <c r="H131" s="107"/>
    </row>
    <row r="132" spans="1:14" s="36" customFormat="1" x14ac:dyDescent="0.3">
      <c r="A132" s="114" t="s">
        <v>154</v>
      </c>
      <c r="B132" s="114"/>
      <c r="C132" s="123">
        <f>SUM(C130:C131)</f>
        <v>11</v>
      </c>
      <c r="D132" s="124"/>
      <c r="E132" s="115">
        <f>SUM(E130:E131)</f>
        <v>3424.2770484000002</v>
      </c>
      <c r="F132" s="116"/>
      <c r="G132" s="97">
        <f>SUM(G130:G131)</f>
        <v>6305.6015217000004</v>
      </c>
      <c r="H132" s="97"/>
    </row>
    <row r="133" spans="1:14" s="36" customFormat="1" x14ac:dyDescent="0.3">
      <c r="A133" s="114" t="s">
        <v>232</v>
      </c>
      <c r="B133" s="114"/>
      <c r="C133" s="114"/>
      <c r="D133" s="114"/>
      <c r="E133" s="114"/>
      <c r="F133" s="114"/>
      <c r="G133" s="114"/>
      <c r="H133" s="114"/>
    </row>
    <row r="134" spans="1:14" s="36" customFormat="1" ht="15.75" customHeight="1" x14ac:dyDescent="0.3">
      <c r="A134" s="97" t="s">
        <v>55</v>
      </c>
      <c r="B134" s="97"/>
      <c r="C134" s="124" t="s">
        <v>80</v>
      </c>
      <c r="D134" s="124"/>
      <c r="E134" s="116" t="s">
        <v>56</v>
      </c>
      <c r="F134" s="116"/>
      <c r="G134" s="97" t="s">
        <v>57</v>
      </c>
      <c r="H134" s="97"/>
    </row>
    <row r="135" spans="1:14" s="36" customFormat="1" ht="15.6" customHeight="1" x14ac:dyDescent="0.3">
      <c r="A135" s="135" t="s">
        <v>218</v>
      </c>
      <c r="B135" s="135"/>
      <c r="C135" s="106">
        <f>COUNT(D163:D165)+COUNT(D167:D172)+COUNT(D174:D179)*11+COUNT(D181:D186)*2</f>
        <v>85</v>
      </c>
      <c r="D135" s="106"/>
      <c r="E135" s="106">
        <f>SUM(D163:D165)+SUM(D167:D172)+SUM(D174:D179)*11+SUM(D181:D186)*2</f>
        <v>41269.137249599997</v>
      </c>
      <c r="F135" s="106"/>
      <c r="G135" s="106">
        <f>SUM(F163:F165)+SUM(F167:F172)+SUM(F174:F179)*11+SUM(F181:F186)*2</f>
        <v>59840.249011919994</v>
      </c>
      <c r="H135" s="106"/>
    </row>
    <row r="136" spans="1:14" s="36" customFormat="1" x14ac:dyDescent="0.3">
      <c r="A136" s="114" t="s">
        <v>154</v>
      </c>
      <c r="B136" s="114"/>
      <c r="C136" s="123">
        <f>SUM(C135)</f>
        <v>85</v>
      </c>
      <c r="D136" s="124"/>
      <c r="E136" s="115">
        <f>SUM(E135)</f>
        <v>41269.137249599997</v>
      </c>
      <c r="F136" s="116"/>
      <c r="G136" s="97">
        <f>SUM(G135)</f>
        <v>59840.249011919994</v>
      </c>
      <c r="H136" s="97"/>
    </row>
    <row r="137" spans="1:14" s="35" customFormat="1" x14ac:dyDescent="0.3">
      <c r="A137" s="152" t="s">
        <v>58</v>
      </c>
      <c r="B137" s="152"/>
      <c r="C137" s="152"/>
      <c r="D137" s="152"/>
      <c r="E137" s="152"/>
      <c r="F137" s="152"/>
      <c r="G137" s="152"/>
      <c r="H137" s="152"/>
    </row>
    <row r="138" spans="1:14" x14ac:dyDescent="0.3">
      <c r="A138" s="152" t="s">
        <v>59</v>
      </c>
      <c r="B138" s="152"/>
      <c r="C138" s="152"/>
      <c r="D138" s="152"/>
      <c r="E138" s="152"/>
      <c r="F138" s="152"/>
      <c r="G138" s="152"/>
      <c r="H138" s="152"/>
    </row>
    <row r="139" spans="1:14" ht="47.25" customHeight="1" x14ac:dyDescent="0.3">
      <c r="A139" s="154" t="s">
        <v>120</v>
      </c>
      <c r="B139" s="154" t="s">
        <v>119</v>
      </c>
      <c r="C139" s="154" t="s">
        <v>60</v>
      </c>
      <c r="D139" s="154" t="s">
        <v>61</v>
      </c>
      <c r="E139" s="189" t="s">
        <v>227</v>
      </c>
      <c r="F139" s="44" t="s">
        <v>153</v>
      </c>
      <c r="G139" s="191" t="s">
        <v>63</v>
      </c>
      <c r="H139" s="192"/>
    </row>
    <row r="140" spans="1:14" s="38" customFormat="1" x14ac:dyDescent="0.3">
      <c r="A140" s="155"/>
      <c r="B140" s="155"/>
      <c r="C140" s="155"/>
      <c r="D140" s="155"/>
      <c r="E140" s="190"/>
      <c r="F140" s="13">
        <v>0.55000000000000004</v>
      </c>
      <c r="G140" s="193"/>
      <c r="H140" s="194"/>
    </row>
    <row r="141" spans="1:14" s="38" customFormat="1" x14ac:dyDescent="0.3">
      <c r="A141" s="156" t="s">
        <v>207</v>
      </c>
      <c r="B141" s="157"/>
      <c r="C141" s="157"/>
      <c r="D141" s="157"/>
      <c r="E141" s="157"/>
      <c r="F141" s="157"/>
      <c r="G141" s="157"/>
      <c r="H141" s="158"/>
      <c r="J141" s="37"/>
    </row>
    <row r="142" spans="1:14" s="38" customFormat="1" x14ac:dyDescent="0.3">
      <c r="A142" s="156" t="s">
        <v>222</v>
      </c>
      <c r="B142" s="157"/>
      <c r="C142" s="157"/>
      <c r="D142" s="157"/>
      <c r="E142" s="157"/>
      <c r="F142" s="157"/>
      <c r="G142" s="157"/>
      <c r="H142" s="158"/>
      <c r="J142" s="37"/>
    </row>
    <row r="143" spans="1:14" s="38" customFormat="1" ht="15.6" customHeight="1" x14ac:dyDescent="0.3">
      <c r="A143" s="83">
        <v>1</v>
      </c>
      <c r="B143" s="84"/>
      <c r="C143" s="43" t="s">
        <v>190</v>
      </c>
      <c r="D143" s="55">
        <f>(15.17)*10.764</f>
        <v>163.28987999999998</v>
      </c>
      <c r="E143" s="55">
        <f>(2.635)*10.764</f>
        <v>28.363139999999994</v>
      </c>
      <c r="F143" s="43">
        <f t="shared" ref="F143:F150" si="0">(D143+E143)*(($F$140)+1)</f>
        <v>297.06218099999995</v>
      </c>
      <c r="G143" s="85" t="str">
        <f>A142</f>
        <v>Ground Floor For Entrance Lobby, Commercial, Society Office, Drivers Room &amp; Parking</v>
      </c>
      <c r="H143" s="86"/>
      <c r="I143" s="37">
        <f>2.95*5.15</f>
        <v>15.192500000000003</v>
      </c>
      <c r="J143" s="55">
        <v>10.763999999999999</v>
      </c>
      <c r="K143" s="38">
        <f>2.95*1.55</f>
        <v>4.5725000000000007</v>
      </c>
      <c r="L143" s="82"/>
      <c r="M143" s="82"/>
      <c r="N143" s="37"/>
    </row>
    <row r="144" spans="1:14" s="38" customFormat="1" ht="15.6" customHeight="1" x14ac:dyDescent="0.3">
      <c r="A144" s="83">
        <f t="shared" ref="A144:A150" si="1">A143+1</f>
        <v>2</v>
      </c>
      <c r="B144" s="84"/>
      <c r="C144" s="43" t="s">
        <v>190</v>
      </c>
      <c r="D144" s="55">
        <f>(25.417)*10.764</f>
        <v>273.58858800000002</v>
      </c>
      <c r="E144" s="55">
        <f>(12.712)*10.764</f>
        <v>136.83196799999999</v>
      </c>
      <c r="F144" s="43">
        <f t="shared" si="0"/>
        <v>636.15186180000012</v>
      </c>
      <c r="G144" s="87"/>
      <c r="H144" s="88"/>
      <c r="I144" s="37">
        <f>4.88*5.15</f>
        <v>25.132000000000001</v>
      </c>
      <c r="J144" s="38">
        <f>4.93*2.75</f>
        <v>13.557499999999999</v>
      </c>
      <c r="K144" s="38">
        <f>4.9*2.75</f>
        <v>13.475000000000001</v>
      </c>
      <c r="L144" s="82"/>
      <c r="M144" s="82"/>
      <c r="N144" s="37"/>
    </row>
    <row r="145" spans="1:14" s="38" customFormat="1" ht="15.6" customHeight="1" x14ac:dyDescent="0.3">
      <c r="A145" s="83">
        <f t="shared" si="1"/>
        <v>3</v>
      </c>
      <c r="B145" s="84"/>
      <c r="C145" s="43" t="s">
        <v>190</v>
      </c>
      <c r="D145" s="55">
        <f>(13.816)*10.764</f>
        <v>148.71542400000001</v>
      </c>
      <c r="E145" s="55">
        <f>(2.214)*10.764</f>
        <v>23.831495999999998</v>
      </c>
      <c r="F145" s="43">
        <f t="shared" si="0"/>
        <v>267.44772599999999</v>
      </c>
      <c r="G145" s="87"/>
      <c r="H145" s="88"/>
      <c r="I145" s="37"/>
      <c r="J145" s="38">
        <f>3500000/F145</f>
        <v>13086.66950490355</v>
      </c>
      <c r="L145" s="82"/>
      <c r="M145" s="82"/>
      <c r="N145" s="37"/>
    </row>
    <row r="146" spans="1:14" s="38" customFormat="1" ht="15.6" customHeight="1" x14ac:dyDescent="0.3">
      <c r="A146" s="83">
        <f t="shared" si="1"/>
        <v>4</v>
      </c>
      <c r="B146" s="84"/>
      <c r="C146" s="43" t="s">
        <v>190</v>
      </c>
      <c r="D146" s="55">
        <f>(25.925)*10.764</f>
        <v>279.05669999999998</v>
      </c>
      <c r="E146" s="55">
        <f>(12.966)*10.764</f>
        <v>139.56602399999997</v>
      </c>
      <c r="F146" s="43">
        <f t="shared" si="0"/>
        <v>648.86522219999995</v>
      </c>
      <c r="G146" s="87"/>
      <c r="H146" s="88"/>
      <c r="I146" s="37"/>
      <c r="L146" s="82"/>
      <c r="M146" s="82"/>
      <c r="N146" s="37"/>
    </row>
    <row r="147" spans="1:14" s="38" customFormat="1" ht="15.6" customHeight="1" x14ac:dyDescent="0.3">
      <c r="A147" s="83">
        <f t="shared" si="1"/>
        <v>5</v>
      </c>
      <c r="B147" s="84"/>
      <c r="C147" s="43" t="s">
        <v>190</v>
      </c>
      <c r="D147" s="55">
        <f>(15.991)*10.764</f>
        <v>172.12712399999998</v>
      </c>
      <c r="E147" s="55">
        <f>(7.994)*10.764</f>
        <v>86.047415999999998</v>
      </c>
      <c r="F147" s="43">
        <f t="shared" si="0"/>
        <v>400.17053699999997</v>
      </c>
      <c r="G147" s="87"/>
      <c r="H147" s="88"/>
      <c r="I147" s="37"/>
      <c r="L147" s="82"/>
      <c r="M147" s="82"/>
      <c r="N147" s="37"/>
    </row>
    <row r="148" spans="1:14" s="38" customFormat="1" ht="15.6" customHeight="1" x14ac:dyDescent="0.3">
      <c r="A148" s="83">
        <f t="shared" si="1"/>
        <v>6</v>
      </c>
      <c r="B148" s="84"/>
      <c r="C148" s="43" t="s">
        <v>190</v>
      </c>
      <c r="D148" s="55">
        <f>(14.118)*10.764</f>
        <v>151.96615199999999</v>
      </c>
      <c r="E148" s="55">
        <f>(2.308)*10.764</f>
        <v>24.843311999999997</v>
      </c>
      <c r="F148" s="43">
        <f t="shared" si="0"/>
        <v>274.05466919999998</v>
      </c>
      <c r="G148" s="87"/>
      <c r="H148" s="88"/>
      <c r="I148" s="37"/>
      <c r="L148" s="82"/>
      <c r="M148" s="82"/>
      <c r="N148" s="37"/>
    </row>
    <row r="149" spans="1:14" s="38" customFormat="1" ht="15.6" customHeight="1" x14ac:dyDescent="0.3">
      <c r="A149" s="83">
        <f t="shared" si="1"/>
        <v>7</v>
      </c>
      <c r="B149" s="84"/>
      <c r="C149" s="43" t="s">
        <v>190</v>
      </c>
      <c r="D149" s="55">
        <f>(25.123)*10.764</f>
        <v>270.42397199999999</v>
      </c>
      <c r="E149" s="55">
        <f>(12.178)*10.764</f>
        <v>131.08399199999999</v>
      </c>
      <c r="F149" s="43">
        <f t="shared" si="0"/>
        <v>622.33734420000008</v>
      </c>
      <c r="G149" s="87"/>
      <c r="H149" s="88"/>
      <c r="I149" s="37"/>
      <c r="L149" s="82"/>
      <c r="M149" s="82"/>
      <c r="N149" s="37"/>
    </row>
    <row r="150" spans="1:14" s="38" customFormat="1" ht="15.6" customHeight="1" x14ac:dyDescent="0.3">
      <c r="A150" s="83">
        <f t="shared" si="1"/>
        <v>8</v>
      </c>
      <c r="B150" s="84"/>
      <c r="C150" s="43" t="s">
        <v>190</v>
      </c>
      <c r="D150" s="55">
        <f>(15.174)*10.764</f>
        <v>163.33293599999999</v>
      </c>
      <c r="E150" s="55">
        <f>(2.636)*10.764</f>
        <v>28.373904</v>
      </c>
      <c r="F150" s="43">
        <f t="shared" si="0"/>
        <v>297.145602</v>
      </c>
      <c r="G150" s="121"/>
      <c r="H150" s="122"/>
      <c r="I150" s="37"/>
      <c r="L150" s="82"/>
      <c r="M150" s="82"/>
      <c r="N150" s="37"/>
    </row>
    <row r="151" spans="1:14" s="38" customFormat="1" x14ac:dyDescent="0.3">
      <c r="A151" s="156" t="s">
        <v>212</v>
      </c>
      <c r="B151" s="157"/>
      <c r="C151" s="157"/>
      <c r="D151" s="157"/>
      <c r="E151" s="157"/>
      <c r="F151" s="157"/>
      <c r="G151" s="157"/>
      <c r="H151" s="158"/>
      <c r="I151" s="66"/>
      <c r="J151" s="67"/>
      <c r="K151" s="67"/>
    </row>
    <row r="152" spans="1:14" s="38" customFormat="1" ht="15.6" customHeight="1" x14ac:dyDescent="0.3">
      <c r="A152" s="83">
        <v>1</v>
      </c>
      <c r="B152" s="84"/>
      <c r="C152" s="43" t="s">
        <v>213</v>
      </c>
      <c r="D152" s="55">
        <f>(55.254+2.63*1.21+3.1*1)*10.764</f>
        <v>662.37673319999988</v>
      </c>
      <c r="E152" s="55">
        <v>0</v>
      </c>
      <c r="F152" s="43">
        <f t="shared" ref="F152:F154" si="2">(D152+E152)*(($F$140)+1)</f>
        <v>1026.6839364599998</v>
      </c>
      <c r="G152" s="85" t="str">
        <f>A151</f>
        <v>1st Floor for Commercial &amp; Residential</v>
      </c>
      <c r="H152" s="86"/>
      <c r="I152" s="66">
        <f>3.15*4.6+3.25*2+2.25*2+2.8*1+3.1*3.3+1.25*3.3+1.5*3.3+1.8*1.2+1.2*2.1</f>
        <v>52.274999999999999</v>
      </c>
      <c r="J152" s="67"/>
      <c r="K152" s="67"/>
      <c r="L152" s="82"/>
      <c r="M152" s="82"/>
      <c r="N152" s="37"/>
    </row>
    <row r="153" spans="1:14" s="38" customFormat="1" ht="15.6" customHeight="1" x14ac:dyDescent="0.3">
      <c r="A153" s="83">
        <f t="shared" ref="A153:A154" si="3">A152+1</f>
        <v>2</v>
      </c>
      <c r="B153" s="84"/>
      <c r="C153" s="43" t="s">
        <v>213</v>
      </c>
      <c r="D153" s="55">
        <f>(34.223+3.4*1+0.75*5.25)*10.764</f>
        <v>447.35722199999992</v>
      </c>
      <c r="E153" s="55">
        <f>(0.3*(2.779+5.05+3.4+2.679))*10.764</f>
        <v>44.911713599999992</v>
      </c>
      <c r="F153" s="43">
        <f t="shared" si="2"/>
        <v>763.01685017999989</v>
      </c>
      <c r="G153" s="87"/>
      <c r="H153" s="88"/>
      <c r="I153" s="66"/>
      <c r="J153" s="67"/>
      <c r="K153" s="67"/>
      <c r="L153" s="82"/>
      <c r="M153" s="82"/>
      <c r="N153" s="37"/>
    </row>
    <row r="154" spans="1:14" s="38" customFormat="1" ht="15.6" customHeight="1" x14ac:dyDescent="0.3">
      <c r="A154" s="83">
        <f t="shared" si="3"/>
        <v>3</v>
      </c>
      <c r="B154" s="84"/>
      <c r="C154" s="43" t="s">
        <v>213</v>
      </c>
      <c r="D154" s="55">
        <f>(55.346+2.78*1.21+3.1*1+0.75*2.2+0.45*1.85)*10.764</f>
        <v>692.04231719999996</v>
      </c>
      <c r="E154" s="55">
        <v>0</v>
      </c>
      <c r="F154" s="43">
        <f t="shared" si="2"/>
        <v>1072.66559166</v>
      </c>
      <c r="G154" s="87"/>
      <c r="H154" s="88"/>
      <c r="I154" s="66"/>
      <c r="J154" s="67"/>
      <c r="K154" s="67"/>
      <c r="L154" s="82"/>
      <c r="M154" s="82"/>
      <c r="N154" s="37"/>
    </row>
    <row r="155" spans="1:14" s="38" customFormat="1" x14ac:dyDescent="0.3">
      <c r="A155" s="83"/>
      <c r="B155" s="163"/>
      <c r="C155" s="163"/>
      <c r="D155" s="163"/>
      <c r="E155" s="163"/>
      <c r="F155" s="163"/>
      <c r="G155" s="163"/>
      <c r="H155" s="84"/>
      <c r="I155" s="37"/>
      <c r="N155" s="37"/>
    </row>
    <row r="156" spans="1:14" ht="47.25" customHeight="1" x14ac:dyDescent="0.3">
      <c r="A156" s="191" t="s">
        <v>121</v>
      </c>
      <c r="B156" s="191" t="s">
        <v>122</v>
      </c>
      <c r="C156" s="191" t="s">
        <v>60</v>
      </c>
      <c r="D156" s="191" t="s">
        <v>61</v>
      </c>
      <c r="E156" s="191" t="s">
        <v>62</v>
      </c>
      <c r="F156" s="44" t="s">
        <v>153</v>
      </c>
      <c r="G156" s="191" t="s">
        <v>63</v>
      </c>
      <c r="H156" s="192"/>
      <c r="I156" s="37"/>
    </row>
    <row r="157" spans="1:14" s="38" customFormat="1" x14ac:dyDescent="0.3">
      <c r="A157" s="193"/>
      <c r="B157" s="193"/>
      <c r="C157" s="193"/>
      <c r="D157" s="193"/>
      <c r="E157" s="193"/>
      <c r="F157" s="13">
        <v>0.45</v>
      </c>
      <c r="G157" s="193"/>
      <c r="H157" s="194"/>
    </row>
    <row r="158" spans="1:14" s="38" customFormat="1" ht="15.6" customHeight="1" x14ac:dyDescent="0.3">
      <c r="A158" s="156" t="s">
        <v>207</v>
      </c>
      <c r="B158" s="157"/>
      <c r="C158" s="157"/>
      <c r="D158" s="157"/>
      <c r="E158" s="157"/>
      <c r="F158" s="157"/>
      <c r="G158" s="157"/>
      <c r="H158" s="158"/>
      <c r="J158" s="37"/>
    </row>
    <row r="159" spans="1:14" s="38" customFormat="1" ht="15.6" customHeight="1" x14ac:dyDescent="0.3">
      <c r="A159" s="156" t="s">
        <v>212</v>
      </c>
      <c r="B159" s="157"/>
      <c r="C159" s="157"/>
      <c r="D159" s="157"/>
      <c r="E159" s="157"/>
      <c r="F159" s="157"/>
      <c r="G159" s="157"/>
      <c r="H159" s="158"/>
      <c r="J159" s="37"/>
    </row>
    <row r="160" spans="1:14" s="38" customFormat="1" ht="15.6" customHeight="1" x14ac:dyDescent="0.3">
      <c r="A160" s="76">
        <v>1</v>
      </c>
      <c r="B160" s="77"/>
      <c r="C160" s="78" t="s">
        <v>214</v>
      </c>
      <c r="D160" s="89"/>
      <c r="E160" s="89"/>
      <c r="F160" s="79"/>
      <c r="G160" s="78" t="str">
        <f>A159</f>
        <v>1st Floor for Commercial &amp; Residential</v>
      </c>
      <c r="H160" s="79"/>
      <c r="I160" s="37">
        <f>3.15*4.5+2.15*2.25+2.75*3+3*3+1.2*2.1+1.8*1.2+0.9*4.9</f>
        <v>45.352500000000006</v>
      </c>
      <c r="J160" s="38" t="e">
        <f>5008000/F160</f>
        <v>#DIV/0!</v>
      </c>
      <c r="L160" s="82"/>
      <c r="M160" s="82"/>
      <c r="N160" s="37"/>
    </row>
    <row r="161" spans="1:14" s="38" customFormat="1" ht="15.6" customHeight="1" x14ac:dyDescent="0.3">
      <c r="A161" s="76">
        <f>A160+1</f>
        <v>2</v>
      </c>
      <c r="B161" s="77"/>
      <c r="C161" s="80"/>
      <c r="D161" s="90"/>
      <c r="E161" s="90"/>
      <c r="F161" s="81"/>
      <c r="G161" s="80"/>
      <c r="H161" s="81"/>
      <c r="I161" s="37"/>
      <c r="J161" s="38" t="e">
        <f>3125000/F161</f>
        <v>#DIV/0!</v>
      </c>
      <c r="K161" s="38" t="e">
        <f>4000000/F161</f>
        <v>#DIV/0!</v>
      </c>
      <c r="L161" s="82"/>
      <c r="M161" s="82"/>
      <c r="N161" s="37"/>
    </row>
    <row r="162" spans="1:14" s="38" customFormat="1" ht="15.6" customHeight="1" x14ac:dyDescent="0.3">
      <c r="A162" s="76">
        <f>A161+1</f>
        <v>3</v>
      </c>
      <c r="B162" s="77"/>
      <c r="C162" s="91"/>
      <c r="D162" s="92"/>
      <c r="E162" s="92"/>
      <c r="F162" s="93"/>
      <c r="G162" s="80"/>
      <c r="H162" s="81"/>
      <c r="I162" s="37"/>
      <c r="L162" s="82"/>
      <c r="M162" s="82"/>
      <c r="N162" s="37"/>
    </row>
    <row r="163" spans="1:14" s="38" customFormat="1" ht="15.6" customHeight="1" x14ac:dyDescent="0.3">
      <c r="A163" s="76">
        <f>A162+1</f>
        <v>4</v>
      </c>
      <c r="B163" s="77"/>
      <c r="C163" s="69" t="s">
        <v>192</v>
      </c>
      <c r="D163" s="55">
        <f>(31.022+3.1*1+0.75*(2.95+2))*10.764</f>
        <v>407.25055799999996</v>
      </c>
      <c r="E163" s="69">
        <v>0</v>
      </c>
      <c r="F163" s="69">
        <f>D163*1.45</f>
        <v>590.5133090999999</v>
      </c>
      <c r="G163" s="80"/>
      <c r="H163" s="81"/>
      <c r="I163" s="37">
        <f>3*3.51+2*1.75+2.95*2.75+1.2*1.2+1.2*0.9+0.9*0.9+2*0.9</f>
        <v>27.272500000000001</v>
      </c>
      <c r="J163" s="38">
        <f>F163/D163</f>
        <v>1.45</v>
      </c>
      <c r="K163" s="38">
        <f>F163*5500+350000</f>
        <v>3597823.2000499996</v>
      </c>
      <c r="L163" s="82">
        <f>F163/D163</f>
        <v>1.45</v>
      </c>
      <c r="M163" s="82"/>
      <c r="N163" s="37"/>
    </row>
    <row r="164" spans="1:14" s="38" customFormat="1" ht="15.6" customHeight="1" x14ac:dyDescent="0.3">
      <c r="A164" s="76">
        <f>A163+1</f>
        <v>5</v>
      </c>
      <c r="B164" s="77"/>
      <c r="C164" s="69" t="s">
        <v>192</v>
      </c>
      <c r="D164" s="55">
        <f>(35.964+3.15*1.1+0.75*(2.9+2.65))*10.764</f>
        <v>469.218906</v>
      </c>
      <c r="E164" s="69">
        <v>0</v>
      </c>
      <c r="F164" s="69">
        <f t="shared" ref="F164:F165" si="4">D164*1.45</f>
        <v>680.36741369999993</v>
      </c>
      <c r="G164" s="80"/>
      <c r="H164" s="81"/>
      <c r="I164" s="37"/>
      <c r="L164" s="82">
        <f t="shared" ref="L164:L165" si="5">F164/D164</f>
        <v>1.4499999999999997</v>
      </c>
      <c r="M164" s="82"/>
      <c r="N164" s="37"/>
    </row>
    <row r="165" spans="1:14" s="38" customFormat="1" ht="15.6" customHeight="1" x14ac:dyDescent="0.3">
      <c r="A165" s="76">
        <f>A164+1</f>
        <v>6</v>
      </c>
      <c r="B165" s="77"/>
      <c r="C165" s="69" t="s">
        <v>192</v>
      </c>
      <c r="D165" s="55">
        <f>(31.088+3.1*1+0.75*(2.95+2))*10.764</f>
        <v>407.960982</v>
      </c>
      <c r="E165" s="69">
        <v>0</v>
      </c>
      <c r="F165" s="69">
        <f t="shared" si="4"/>
        <v>591.54342389999999</v>
      </c>
      <c r="G165" s="91"/>
      <c r="H165" s="93"/>
      <c r="I165" s="37"/>
      <c r="L165" s="82">
        <f t="shared" si="5"/>
        <v>1.45</v>
      </c>
      <c r="M165" s="82"/>
      <c r="N165" s="37"/>
    </row>
    <row r="166" spans="1:14" s="38" customFormat="1" x14ac:dyDescent="0.3">
      <c r="A166" s="73" t="s">
        <v>215</v>
      </c>
      <c r="B166" s="74"/>
      <c r="C166" s="74"/>
      <c r="D166" s="74"/>
      <c r="E166" s="74"/>
      <c r="F166" s="74"/>
      <c r="G166" s="74"/>
      <c r="H166" s="75"/>
      <c r="J166" s="37"/>
    </row>
    <row r="167" spans="1:14" s="38" customFormat="1" ht="15.6" customHeight="1" x14ac:dyDescent="0.3">
      <c r="A167" s="76">
        <v>1</v>
      </c>
      <c r="B167" s="77"/>
      <c r="C167" s="69" t="s">
        <v>191</v>
      </c>
      <c r="D167" s="55">
        <f>(46.495+2.63*1.21+3.1*1+0.75*2.15+0.45*1.85)*10.764</f>
        <v>594.4128371999999</v>
      </c>
      <c r="E167" s="69">
        <v>0</v>
      </c>
      <c r="F167" s="69">
        <f t="shared" ref="F167:F172" si="6">D167*1.45</f>
        <v>861.89861393999979</v>
      </c>
      <c r="G167" s="78" t="str">
        <f>A166</f>
        <v>2nd Floor for Residential</v>
      </c>
      <c r="H167" s="79"/>
      <c r="I167" s="68">
        <f>3.15*4.5+2.15*2.25+2.75*3+3*3+1.8*1.2+1.2*2.1+0.9*3+0.9*1.25</f>
        <v>44.767500000000005</v>
      </c>
      <c r="K167" s="38">
        <f>F167/D167</f>
        <v>1.45</v>
      </c>
      <c r="L167" s="82"/>
      <c r="M167" s="82"/>
      <c r="N167" s="37"/>
    </row>
    <row r="168" spans="1:14" s="38" customFormat="1" ht="15.6" customHeight="1" x14ac:dyDescent="0.3">
      <c r="A168" s="76">
        <f>A167+1</f>
        <v>2</v>
      </c>
      <c r="B168" s="77"/>
      <c r="C168" s="69" t="s">
        <v>192</v>
      </c>
      <c r="D168" s="55">
        <f>(31.763+3.4*1+0.75*(2+2.95))*10.764</f>
        <v>418.45588199999997</v>
      </c>
      <c r="E168" s="69">
        <v>0</v>
      </c>
      <c r="F168" s="69">
        <f t="shared" si="6"/>
        <v>606.76102889999993</v>
      </c>
      <c r="G168" s="80"/>
      <c r="H168" s="81"/>
      <c r="I168" s="37"/>
      <c r="K168" s="38">
        <f t="shared" ref="K168:K178" si="7">F168/D168</f>
        <v>1.45</v>
      </c>
      <c r="L168" s="82"/>
      <c r="M168" s="82"/>
      <c r="N168" s="37"/>
    </row>
    <row r="169" spans="1:14" s="38" customFormat="1" ht="15.6" customHeight="1" x14ac:dyDescent="0.3">
      <c r="A169" s="76">
        <f>A168+1</f>
        <v>3</v>
      </c>
      <c r="B169" s="77"/>
      <c r="C169" s="69" t="s">
        <v>191</v>
      </c>
      <c r="D169" s="55">
        <f>(46.409+2.63*1.21+3.1*1+0.75*2.15+0.45*1.85)*10.764</f>
        <v>593.4871331999999</v>
      </c>
      <c r="E169" s="69">
        <v>0</v>
      </c>
      <c r="F169" s="69">
        <f t="shared" si="6"/>
        <v>860.55634313999985</v>
      </c>
      <c r="G169" s="80"/>
      <c r="H169" s="81"/>
      <c r="I169" s="37"/>
      <c r="J169" s="68">
        <f>F169/D169</f>
        <v>1.45</v>
      </c>
      <c r="K169" s="38">
        <f t="shared" si="7"/>
        <v>1.45</v>
      </c>
      <c r="L169" s="82"/>
      <c r="M169" s="82"/>
      <c r="N169" s="37"/>
    </row>
    <row r="170" spans="1:14" s="38" customFormat="1" ht="15.6" customHeight="1" x14ac:dyDescent="0.3">
      <c r="A170" s="76">
        <f>A169+1</f>
        <v>4</v>
      </c>
      <c r="B170" s="77"/>
      <c r="C170" s="69" t="s">
        <v>192</v>
      </c>
      <c r="D170" s="55">
        <f>(31.021+3.1*1+0.75*(2+2.95))*10.764</f>
        <v>407.23979399999996</v>
      </c>
      <c r="E170" s="69">
        <v>0</v>
      </c>
      <c r="F170" s="69">
        <f t="shared" si="6"/>
        <v>590.4977012999999</v>
      </c>
      <c r="G170" s="80"/>
      <c r="H170" s="81"/>
      <c r="I170" s="37"/>
      <c r="K170" s="38">
        <f t="shared" si="7"/>
        <v>1.45</v>
      </c>
      <c r="L170" s="82"/>
      <c r="M170" s="82"/>
      <c r="N170" s="37"/>
    </row>
    <row r="171" spans="1:14" s="38" customFormat="1" ht="15.6" customHeight="1" x14ac:dyDescent="0.3">
      <c r="A171" s="76">
        <f>A170+1</f>
        <v>5</v>
      </c>
      <c r="B171" s="77"/>
      <c r="C171" s="69" t="s">
        <v>192</v>
      </c>
      <c r="D171" s="55">
        <f>(35.964+3.15*1.1+0.75*(2.65+2.9))*10.764</f>
        <v>469.218906</v>
      </c>
      <c r="E171" s="69">
        <v>0</v>
      </c>
      <c r="F171" s="69">
        <f t="shared" si="6"/>
        <v>680.36741369999993</v>
      </c>
      <c r="G171" s="80"/>
      <c r="H171" s="81"/>
      <c r="I171" s="37"/>
      <c r="J171" s="38">
        <f>3815000/F171</f>
        <v>5607.2644326881</v>
      </c>
      <c r="K171" s="38">
        <f t="shared" si="7"/>
        <v>1.4499999999999997</v>
      </c>
      <c r="L171" s="82"/>
      <c r="M171" s="82"/>
      <c r="N171" s="37"/>
    </row>
    <row r="172" spans="1:14" s="38" customFormat="1" ht="15.6" customHeight="1" x14ac:dyDescent="0.3">
      <c r="A172" s="76">
        <f>A171+1</f>
        <v>6</v>
      </c>
      <c r="B172" s="77"/>
      <c r="C172" s="69" t="s">
        <v>192</v>
      </c>
      <c r="D172" s="55">
        <f>(31.088+3.1*1+0.75*(2+2.95))*10.764</f>
        <v>407.960982</v>
      </c>
      <c r="E172" s="69">
        <v>0</v>
      </c>
      <c r="F172" s="69">
        <f t="shared" si="6"/>
        <v>591.54342389999999</v>
      </c>
      <c r="G172" s="91"/>
      <c r="H172" s="93"/>
      <c r="I172" s="37"/>
      <c r="K172" s="38">
        <f t="shared" si="7"/>
        <v>1.45</v>
      </c>
      <c r="L172" s="82"/>
      <c r="M172" s="82"/>
      <c r="N172" s="37"/>
    </row>
    <row r="173" spans="1:14" s="38" customFormat="1" x14ac:dyDescent="0.3">
      <c r="A173" s="73" t="s">
        <v>216</v>
      </c>
      <c r="B173" s="74"/>
      <c r="C173" s="74"/>
      <c r="D173" s="74"/>
      <c r="E173" s="74"/>
      <c r="F173" s="74"/>
      <c r="G173" s="74"/>
      <c r="H173" s="75"/>
      <c r="J173" s="37"/>
      <c r="K173" s="38" t="e">
        <f t="shared" si="7"/>
        <v>#DIV/0!</v>
      </c>
    </row>
    <row r="174" spans="1:14" s="38" customFormat="1" ht="15.6" customHeight="1" x14ac:dyDescent="0.3">
      <c r="A174" s="76">
        <v>1</v>
      </c>
      <c r="B174" s="77"/>
      <c r="C174" s="69" t="s">
        <v>191</v>
      </c>
      <c r="D174" s="55">
        <f>(47.895+2.63*1.21+3.1*1+0.75*2.15+0.45*1.85)*10.764</f>
        <v>609.48243719999994</v>
      </c>
      <c r="E174" s="69">
        <v>0</v>
      </c>
      <c r="F174" s="69">
        <f t="shared" ref="F174:F179" si="8">D174*1.45</f>
        <v>883.74953393999988</v>
      </c>
      <c r="G174" s="78" t="str">
        <f>A173</f>
        <v>3rd to 7th, 9th to 11th &amp; 13th to 15th Floor</v>
      </c>
      <c r="H174" s="79"/>
      <c r="I174" s="68"/>
      <c r="K174" s="38">
        <f t="shared" si="7"/>
        <v>1.45</v>
      </c>
      <c r="L174" s="82"/>
      <c r="M174" s="82"/>
      <c r="N174" s="37"/>
    </row>
    <row r="175" spans="1:14" s="38" customFormat="1" ht="15.6" customHeight="1" x14ac:dyDescent="0.3">
      <c r="A175" s="76">
        <f>A174+1</f>
        <v>2</v>
      </c>
      <c r="B175" s="77"/>
      <c r="C175" s="69" t="s">
        <v>192</v>
      </c>
      <c r="D175" s="55">
        <f>(31.134+3.4*1+0.75*(2+2.95))*10.764</f>
        <v>411.68532599999998</v>
      </c>
      <c r="E175" s="69">
        <v>0</v>
      </c>
      <c r="F175" s="69">
        <f t="shared" si="8"/>
        <v>596.94372269999997</v>
      </c>
      <c r="G175" s="80"/>
      <c r="H175" s="81"/>
      <c r="I175" s="37"/>
      <c r="K175" s="38">
        <f>F175/D175</f>
        <v>1.45</v>
      </c>
      <c r="L175" s="82"/>
      <c r="M175" s="82"/>
      <c r="N175" s="37"/>
    </row>
    <row r="176" spans="1:14" s="38" customFormat="1" ht="15.6" customHeight="1" x14ac:dyDescent="0.3">
      <c r="A176" s="76">
        <f>A175+1</f>
        <v>3</v>
      </c>
      <c r="B176" s="77"/>
      <c r="C176" s="69" t="s">
        <v>191</v>
      </c>
      <c r="D176" s="55">
        <f>(47.809+2.78*1.21+3.1*1+0.75*2.15+0.45*1.85)*10.764</f>
        <v>610.51039919999994</v>
      </c>
      <c r="E176" s="69">
        <v>0</v>
      </c>
      <c r="F176" s="69">
        <f t="shared" si="8"/>
        <v>885.24007883999991</v>
      </c>
      <c r="G176" s="80"/>
      <c r="H176" s="81"/>
      <c r="I176" s="37"/>
      <c r="J176" s="68">
        <f>F176/D176</f>
        <v>1.45</v>
      </c>
      <c r="K176" s="38">
        <f t="shared" si="7"/>
        <v>1.45</v>
      </c>
      <c r="L176" s="82"/>
      <c r="M176" s="82"/>
      <c r="N176" s="37"/>
    </row>
    <row r="177" spans="1:14" s="38" customFormat="1" ht="15.6" customHeight="1" x14ac:dyDescent="0.3">
      <c r="A177" s="76">
        <f>A176+1</f>
        <v>4</v>
      </c>
      <c r="B177" s="77"/>
      <c r="C177" s="69" t="s">
        <v>192</v>
      </c>
      <c r="D177" s="55">
        <f>(31.021+3.1*1+0.75*(2+2.95))*10.764</f>
        <v>407.23979399999996</v>
      </c>
      <c r="E177" s="69">
        <v>0</v>
      </c>
      <c r="F177" s="69">
        <f t="shared" si="8"/>
        <v>590.4977012999999</v>
      </c>
      <c r="G177" s="80"/>
      <c r="H177" s="81"/>
      <c r="I177" s="37"/>
      <c r="K177" s="38">
        <f t="shared" si="7"/>
        <v>1.45</v>
      </c>
      <c r="L177" s="82"/>
      <c r="M177" s="82"/>
      <c r="N177" s="37"/>
    </row>
    <row r="178" spans="1:14" s="38" customFormat="1" ht="15.6" customHeight="1" x14ac:dyDescent="0.3">
      <c r="A178" s="76">
        <f>A177+1</f>
        <v>5</v>
      </c>
      <c r="B178" s="77"/>
      <c r="C178" s="69" t="s">
        <v>192</v>
      </c>
      <c r="D178" s="55">
        <f>(35.964+3.15*1.1+0.75*(2.65+2.9))*10.764</f>
        <v>469.218906</v>
      </c>
      <c r="E178" s="69">
        <v>0</v>
      </c>
      <c r="F178" s="69">
        <f t="shared" si="8"/>
        <v>680.36741369999993</v>
      </c>
      <c r="G178" s="80"/>
      <c r="H178" s="81"/>
      <c r="I178" s="37"/>
      <c r="J178" s="38">
        <f>3815000/F178</f>
        <v>5607.2644326881</v>
      </c>
      <c r="K178" s="38">
        <f t="shared" si="7"/>
        <v>1.4499999999999997</v>
      </c>
      <c r="L178" s="82"/>
      <c r="M178" s="82"/>
      <c r="N178" s="37"/>
    </row>
    <row r="179" spans="1:14" s="38" customFormat="1" ht="15.6" customHeight="1" x14ac:dyDescent="0.3">
      <c r="A179" s="76">
        <f>A178+1</f>
        <v>6</v>
      </c>
      <c r="B179" s="77"/>
      <c r="C179" s="69" t="s">
        <v>192</v>
      </c>
      <c r="D179" s="55">
        <f>(31.088+3.1*1+0.75*(2+2.95))*10.764</f>
        <v>407.960982</v>
      </c>
      <c r="E179" s="69">
        <v>0</v>
      </c>
      <c r="F179" s="69">
        <f t="shared" si="8"/>
        <v>591.54342389999999</v>
      </c>
      <c r="G179" s="91"/>
      <c r="H179" s="93"/>
      <c r="I179" s="37"/>
      <c r="L179" s="82"/>
      <c r="M179" s="82"/>
      <c r="N179" s="37"/>
    </row>
    <row r="180" spans="1:14" s="38" customFormat="1" x14ac:dyDescent="0.3">
      <c r="A180" s="73" t="s">
        <v>217</v>
      </c>
      <c r="B180" s="74"/>
      <c r="C180" s="74"/>
      <c r="D180" s="74"/>
      <c r="E180" s="74"/>
      <c r="F180" s="74"/>
      <c r="G180" s="74"/>
      <c r="H180" s="75"/>
      <c r="J180" s="37"/>
    </row>
    <row r="181" spans="1:14" s="38" customFormat="1" ht="15.6" customHeight="1" x14ac:dyDescent="0.3">
      <c r="A181" s="76">
        <v>1</v>
      </c>
      <c r="B181" s="77"/>
      <c r="C181" s="69" t="s">
        <v>191</v>
      </c>
      <c r="D181" s="55">
        <f>(47.895+2.63*1.21+3.1*1+0.75*2.15+0.45*1.85)*10.764</f>
        <v>609.48243719999994</v>
      </c>
      <c r="E181" s="69">
        <v>0</v>
      </c>
      <c r="F181" s="69">
        <f t="shared" ref="F181:F183" si="9">D181*1.45</f>
        <v>883.74953393999988</v>
      </c>
      <c r="G181" s="78" t="str">
        <f>A180</f>
        <v>8th &amp; 12th Floor (Part Refuge Area)</v>
      </c>
      <c r="H181" s="79"/>
      <c r="I181" s="68"/>
      <c r="L181" s="82"/>
      <c r="M181" s="82"/>
      <c r="N181" s="37"/>
    </row>
    <row r="182" spans="1:14" s="38" customFormat="1" ht="15.6" customHeight="1" x14ac:dyDescent="0.3">
      <c r="A182" s="76">
        <f>A181+1</f>
        <v>2</v>
      </c>
      <c r="B182" s="77"/>
      <c r="C182" s="69" t="s">
        <v>192</v>
      </c>
      <c r="D182" s="55">
        <f>(31.134+3.4*1+0.75*(2+2.95))*10.764</f>
        <v>411.68532599999998</v>
      </c>
      <c r="E182" s="69">
        <v>0</v>
      </c>
      <c r="F182" s="69">
        <f t="shared" si="9"/>
        <v>596.94372269999997</v>
      </c>
      <c r="G182" s="80"/>
      <c r="H182" s="81"/>
      <c r="I182" s="37"/>
      <c r="L182" s="82"/>
      <c r="M182" s="82"/>
      <c r="N182" s="37"/>
    </row>
    <row r="183" spans="1:14" s="38" customFormat="1" ht="15.6" customHeight="1" x14ac:dyDescent="0.3">
      <c r="A183" s="76">
        <f>A182+1</f>
        <v>3</v>
      </c>
      <c r="B183" s="77"/>
      <c r="C183" s="69" t="s">
        <v>191</v>
      </c>
      <c r="D183" s="55">
        <f>(47.809+2.78*1.21+3.1*1+0.75*2.15+0.45*1.85)*10.764</f>
        <v>610.51039919999994</v>
      </c>
      <c r="E183" s="69">
        <v>0</v>
      </c>
      <c r="F183" s="69">
        <f t="shared" si="9"/>
        <v>885.24007883999991</v>
      </c>
      <c r="G183" s="80"/>
      <c r="H183" s="81"/>
      <c r="I183" s="37"/>
      <c r="J183" s="68">
        <f>F183/D183</f>
        <v>1.45</v>
      </c>
      <c r="L183" s="82"/>
      <c r="M183" s="82"/>
      <c r="N183" s="37"/>
    </row>
    <row r="184" spans="1:14" s="38" customFormat="1" ht="15.6" customHeight="1" x14ac:dyDescent="0.3">
      <c r="A184" s="76" t="s">
        <v>223</v>
      </c>
      <c r="B184" s="77"/>
      <c r="C184" s="76" t="s">
        <v>224</v>
      </c>
      <c r="D184" s="159"/>
      <c r="E184" s="159"/>
      <c r="F184" s="77"/>
      <c r="G184" s="80"/>
      <c r="H184" s="81"/>
      <c r="I184" s="37"/>
      <c r="J184" s="68" t="e">
        <f>F184/D184</f>
        <v>#DIV/0!</v>
      </c>
      <c r="L184" s="82"/>
      <c r="M184" s="82"/>
      <c r="N184" s="37"/>
    </row>
    <row r="185" spans="1:14" s="38" customFormat="1" ht="15.6" customHeight="1" x14ac:dyDescent="0.3">
      <c r="A185" s="76">
        <f>A183+1</f>
        <v>4</v>
      </c>
      <c r="B185" s="77"/>
      <c r="C185" s="69" t="s">
        <v>192</v>
      </c>
      <c r="D185" s="55">
        <f>(35.964+3.15*1.1+0.75*(2.65+2.9))*10.764</f>
        <v>469.218906</v>
      </c>
      <c r="E185" s="69">
        <v>0</v>
      </c>
      <c r="F185" s="69">
        <f t="shared" ref="F185:F186" si="10">D185*1.45</f>
        <v>680.36741369999993</v>
      </c>
      <c r="G185" s="80"/>
      <c r="H185" s="81"/>
      <c r="I185" s="37"/>
      <c r="L185" s="82"/>
      <c r="M185" s="82"/>
      <c r="N185" s="37"/>
    </row>
    <row r="186" spans="1:14" s="38" customFormat="1" ht="15.6" customHeight="1" x14ac:dyDescent="0.3">
      <c r="A186" s="76">
        <f>A185+1</f>
        <v>5</v>
      </c>
      <c r="B186" s="77"/>
      <c r="C186" s="69" t="s">
        <v>192</v>
      </c>
      <c r="D186" s="55">
        <f>(31.048+3.1*1+0.75*(2+2.95))*10.764</f>
        <v>407.53042199999993</v>
      </c>
      <c r="E186" s="69">
        <v>0</v>
      </c>
      <c r="F186" s="69">
        <f t="shared" si="10"/>
        <v>590.91911189999985</v>
      </c>
      <c r="G186" s="80"/>
      <c r="H186" s="81"/>
      <c r="I186" s="37"/>
      <c r="J186" s="38">
        <f>3815000/F186</f>
        <v>6456.0443606799527</v>
      </c>
      <c r="L186" s="82"/>
      <c r="M186" s="82"/>
      <c r="N186" s="37"/>
    </row>
    <row r="187" spans="1:14" s="38" customFormat="1" hidden="1" x14ac:dyDescent="0.3">
      <c r="A187" s="118" t="s">
        <v>193</v>
      </c>
      <c r="B187" s="119"/>
      <c r="C187" s="119"/>
      <c r="D187" s="119"/>
      <c r="E187" s="119"/>
      <c r="F187" s="119"/>
      <c r="G187" s="119"/>
      <c r="H187" s="120"/>
      <c r="J187" s="37"/>
    </row>
    <row r="188" spans="1:14" s="38" customFormat="1" hidden="1" x14ac:dyDescent="0.3">
      <c r="A188" s="83">
        <v>1</v>
      </c>
      <c r="B188" s="84"/>
      <c r="C188" s="43" t="s">
        <v>191</v>
      </c>
      <c r="D188" s="55">
        <f>(45.231+0.75*2.15+1.21*2.63+1*3.1)*10.764</f>
        <v>571.8461112</v>
      </c>
      <c r="E188" s="43">
        <v>0</v>
      </c>
      <c r="F188" s="43">
        <v>1122.5999999999999</v>
      </c>
      <c r="G188" s="83" t="str">
        <f>A187</f>
        <v>2nd to 7th Floor</v>
      </c>
      <c r="H188" s="84"/>
      <c r="I188" s="37">
        <f>3.15*4.5+2.15*2.25+2.75*3+3*3+1.2*2.1+1.8*1.2+0.9*4.9</f>
        <v>45.352500000000006</v>
      </c>
      <c r="L188" s="82"/>
      <c r="M188" s="82"/>
      <c r="N188" s="37"/>
    </row>
    <row r="189" spans="1:14" s="38" customFormat="1" hidden="1" x14ac:dyDescent="0.3">
      <c r="A189" s="83">
        <f>A188+1</f>
        <v>2</v>
      </c>
      <c r="B189" s="84"/>
      <c r="C189" s="43" t="s">
        <v>192</v>
      </c>
      <c r="D189" s="55">
        <f>(30+1*3.4+0.75*(2+2.95))*10.764</f>
        <v>399.47894999999994</v>
      </c>
      <c r="E189" s="43">
        <v>0</v>
      </c>
      <c r="F189" s="43">
        <v>691.08</v>
      </c>
      <c r="G189" s="83" t="str">
        <f>G188</f>
        <v>2nd to 7th Floor</v>
      </c>
      <c r="H189" s="84"/>
      <c r="I189" s="37"/>
      <c r="L189" s="82"/>
      <c r="M189" s="82"/>
      <c r="N189" s="37"/>
    </row>
    <row r="190" spans="1:14" s="38" customFormat="1" hidden="1" x14ac:dyDescent="0.3">
      <c r="A190" s="83">
        <f>A189+1</f>
        <v>3</v>
      </c>
      <c r="B190" s="84"/>
      <c r="C190" s="43" t="s">
        <v>191</v>
      </c>
      <c r="D190" s="55">
        <f>(45.231+1.21*2.78+0.75*2.15+1*3.1)*10.764</f>
        <v>573.79977719999999</v>
      </c>
      <c r="E190" s="43">
        <v>0</v>
      </c>
      <c r="F190" s="43">
        <v>1121.4000000000001</v>
      </c>
      <c r="G190" s="83" t="str">
        <f>G189</f>
        <v>2nd to 7th Floor</v>
      </c>
      <c r="H190" s="84"/>
      <c r="I190" s="37"/>
      <c r="J190" s="68">
        <f>F190/D190</f>
        <v>1.9543402499599298</v>
      </c>
      <c r="L190" s="82"/>
      <c r="M190" s="82"/>
      <c r="N190" s="37"/>
    </row>
    <row r="191" spans="1:14" s="38" customFormat="1" hidden="1" x14ac:dyDescent="0.3">
      <c r="A191" s="83">
        <f>A190+1</f>
        <v>4</v>
      </c>
      <c r="B191" s="84"/>
      <c r="C191" s="43" t="s">
        <v>192</v>
      </c>
      <c r="D191" s="55">
        <f>(30+1*3.1+0.75*(2+2.95))*10.764</f>
        <v>396.24974999999995</v>
      </c>
      <c r="E191" s="43">
        <v>0</v>
      </c>
      <c r="F191" s="43">
        <v>690</v>
      </c>
      <c r="G191" s="83" t="str">
        <f>G190</f>
        <v>2nd to 7th Floor</v>
      </c>
      <c r="H191" s="84"/>
      <c r="I191" s="37"/>
      <c r="L191" s="82"/>
      <c r="M191" s="82"/>
      <c r="N191" s="37"/>
    </row>
    <row r="192" spans="1:14" s="38" customFormat="1" hidden="1" x14ac:dyDescent="0.3">
      <c r="A192" s="83">
        <f>A191+1</f>
        <v>5</v>
      </c>
      <c r="B192" s="84"/>
      <c r="C192" s="43" t="s">
        <v>192</v>
      </c>
      <c r="D192" s="55">
        <f>(36.909+1.1*3.15+0.75*(2.65+2.9))*10.764</f>
        <v>479.39088600000002</v>
      </c>
      <c r="E192" s="43">
        <v>0</v>
      </c>
      <c r="F192" s="43">
        <v>848.4</v>
      </c>
      <c r="G192" s="83" t="str">
        <f>G191</f>
        <v>2nd to 7th Floor</v>
      </c>
      <c r="H192" s="84"/>
      <c r="I192" s="37"/>
      <c r="J192" s="38">
        <f>3815000/F192</f>
        <v>4496.6996699669971</v>
      </c>
      <c r="L192" s="82"/>
      <c r="M192" s="82"/>
      <c r="N192" s="37"/>
    </row>
    <row r="193" spans="1:14" s="38" customFormat="1" hidden="1" x14ac:dyDescent="0.3">
      <c r="A193" s="83">
        <f>A192+1</f>
        <v>6</v>
      </c>
      <c r="B193" s="84"/>
      <c r="C193" s="43" t="s">
        <v>192</v>
      </c>
      <c r="D193" s="55">
        <f>(30+1*3.1+0.75*(2+2.95))*10.764</f>
        <v>396.24974999999995</v>
      </c>
      <c r="E193" s="43">
        <v>0</v>
      </c>
      <c r="F193" s="43">
        <v>690</v>
      </c>
      <c r="G193" s="83" t="str">
        <f>G192</f>
        <v>2nd to 7th Floor</v>
      </c>
      <c r="H193" s="84"/>
      <c r="I193" s="37"/>
      <c r="L193" s="82"/>
      <c r="M193" s="82"/>
      <c r="N193" s="37"/>
    </row>
    <row r="194" spans="1:14" s="36" customFormat="1" x14ac:dyDescent="0.3">
      <c r="A194" s="153" t="s">
        <v>71</v>
      </c>
      <c r="B194" s="153"/>
      <c r="C194" s="153"/>
      <c r="D194" s="153"/>
      <c r="E194" s="153"/>
      <c r="F194" s="153"/>
      <c r="G194" s="153"/>
      <c r="H194" s="153"/>
    </row>
    <row r="195" spans="1:14" s="36" customFormat="1" x14ac:dyDescent="0.3">
      <c r="A195" s="48" t="s">
        <v>157</v>
      </c>
      <c r="B195" s="149" t="s">
        <v>241</v>
      </c>
      <c r="C195" s="150"/>
      <c r="D195" s="150"/>
      <c r="E195" s="150"/>
      <c r="F195" s="150"/>
      <c r="G195" s="150"/>
      <c r="H195" s="151"/>
    </row>
    <row r="196" spans="1:14" s="36" customFormat="1" x14ac:dyDescent="0.3">
      <c r="A196" s="48" t="s">
        <v>157</v>
      </c>
      <c r="B196" s="149" t="str">
        <f>(IF(F156="Saleable area Loading :","We have considered Saleable area of Flats as per our Calculation.","We considered Saleable area of Flat as per Builder area Sheet."))</f>
        <v>We have considered Saleable area of Flats as per our Calculation.</v>
      </c>
      <c r="C196" s="150"/>
      <c r="D196" s="150"/>
      <c r="E196" s="150"/>
      <c r="F196" s="150"/>
      <c r="G196" s="150"/>
      <c r="H196" s="151"/>
    </row>
    <row r="197" spans="1:14" s="36" customFormat="1" x14ac:dyDescent="0.3">
      <c r="A197" s="48" t="s">
        <v>157</v>
      </c>
      <c r="B197" s="149" t="str">
        <f>(IF(F139="Saleable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7" s="150"/>
      <c r="D197" s="150"/>
      <c r="E197" s="150"/>
      <c r="F197" s="150"/>
      <c r="G197" s="150"/>
      <c r="H197" s="151"/>
    </row>
    <row r="198" spans="1:14" s="36" customFormat="1" x14ac:dyDescent="0.3">
      <c r="A198" s="48" t="s">
        <v>157</v>
      </c>
      <c r="B198" s="70" t="s">
        <v>125</v>
      </c>
      <c r="C198" s="71"/>
      <c r="D198" s="71"/>
      <c r="E198" s="71"/>
      <c r="F198" s="71"/>
      <c r="G198" s="71"/>
      <c r="H198" s="72"/>
    </row>
    <row r="199" spans="1:14" s="36" customFormat="1" x14ac:dyDescent="0.3">
      <c r="A199" s="48" t="s">
        <v>157</v>
      </c>
      <c r="B199" s="70" t="s">
        <v>202</v>
      </c>
      <c r="C199" s="71"/>
      <c r="D199" s="71"/>
      <c r="E199" s="71"/>
      <c r="F199" s="71"/>
      <c r="G199" s="71"/>
      <c r="H199" s="72"/>
    </row>
    <row r="200" spans="1:14" s="36" customFormat="1" x14ac:dyDescent="0.3">
      <c r="A200" s="48" t="s">
        <v>157</v>
      </c>
      <c r="B200" s="70" t="s">
        <v>156</v>
      </c>
      <c r="C200" s="71"/>
      <c r="D200" s="71"/>
      <c r="E200" s="71"/>
      <c r="F200" s="71"/>
      <c r="G200" s="71"/>
      <c r="H200" s="72"/>
    </row>
    <row r="201" spans="1:14" s="36" customFormat="1" x14ac:dyDescent="0.3">
      <c r="A201" s="48" t="s">
        <v>157</v>
      </c>
      <c r="B201" s="70" t="s">
        <v>126</v>
      </c>
      <c r="C201" s="71"/>
      <c r="D201" s="71"/>
      <c r="E201" s="71"/>
      <c r="F201" s="71"/>
      <c r="G201" s="71"/>
      <c r="H201" s="72"/>
    </row>
    <row r="202" spans="1:14" s="36" customFormat="1" ht="34.5" customHeight="1" x14ac:dyDescent="0.3">
      <c r="A202" s="48" t="s">
        <v>157</v>
      </c>
      <c r="B202" s="70" t="s">
        <v>158</v>
      </c>
      <c r="C202" s="71"/>
      <c r="D202" s="71"/>
      <c r="E202" s="71"/>
      <c r="F202" s="71"/>
      <c r="G202" s="71"/>
      <c r="H202" s="72"/>
    </row>
    <row r="203" spans="1:14" s="36" customFormat="1" x14ac:dyDescent="0.3">
      <c r="A203" s="48" t="s">
        <v>157</v>
      </c>
      <c r="B203" s="70" t="s">
        <v>127</v>
      </c>
      <c r="C203" s="71"/>
      <c r="D203" s="71"/>
      <c r="E203" s="71"/>
      <c r="F203" s="71"/>
      <c r="G203" s="71"/>
      <c r="H203" s="72"/>
    </row>
    <row r="204" spans="1:14" s="36" customFormat="1" x14ac:dyDescent="0.3">
      <c r="A204" s="48" t="s">
        <v>157</v>
      </c>
      <c r="B204" s="70" t="s">
        <v>220</v>
      </c>
      <c r="C204" s="71"/>
      <c r="D204" s="71"/>
      <c r="E204" s="71"/>
      <c r="F204" s="71"/>
      <c r="G204" s="71"/>
      <c r="H204" s="72"/>
    </row>
    <row r="205" spans="1:14" s="36" customFormat="1" ht="31.2" customHeight="1" x14ac:dyDescent="0.3">
      <c r="A205" s="48" t="s">
        <v>157</v>
      </c>
      <c r="B205" s="70" t="s">
        <v>226</v>
      </c>
      <c r="C205" s="71"/>
      <c r="D205" s="71"/>
      <c r="E205" s="71"/>
      <c r="F205" s="71"/>
      <c r="G205" s="71"/>
      <c r="H205" s="72"/>
    </row>
    <row r="206" spans="1:14" s="36" customFormat="1" x14ac:dyDescent="0.3">
      <c r="A206" s="48" t="s">
        <v>157</v>
      </c>
      <c r="B206" s="70" t="s">
        <v>238</v>
      </c>
      <c r="C206" s="71"/>
      <c r="D206" s="71"/>
      <c r="E206" s="71"/>
      <c r="F206" s="71"/>
      <c r="G206" s="71"/>
      <c r="H206" s="72"/>
    </row>
    <row r="207" spans="1:14" x14ac:dyDescent="0.3">
      <c r="A207" s="164" t="s">
        <v>64</v>
      </c>
      <c r="B207" s="164"/>
      <c r="C207" s="164"/>
      <c r="D207" s="164"/>
      <c r="E207" s="164"/>
      <c r="F207" s="164"/>
      <c r="G207" s="164"/>
      <c r="H207" s="164"/>
    </row>
    <row r="208" spans="1:14" x14ac:dyDescent="0.3">
      <c r="A208" s="95" t="s">
        <v>65</v>
      </c>
      <c r="B208" s="95"/>
      <c r="C208" s="95"/>
      <c r="D208" s="95"/>
      <c r="E208" s="95"/>
      <c r="F208" s="95"/>
      <c r="G208" s="95"/>
      <c r="H208" s="95"/>
    </row>
    <row r="209" spans="1:8" ht="15.75" customHeight="1" x14ac:dyDescent="0.3">
      <c r="A209" s="96" t="s">
        <v>66</v>
      </c>
      <c r="B209" s="96"/>
      <c r="C209" s="96"/>
      <c r="D209" s="96"/>
      <c r="E209" s="96"/>
      <c r="F209" s="96"/>
      <c r="G209" s="96"/>
      <c r="H209" s="96"/>
    </row>
    <row r="210" spans="1:8" x14ac:dyDescent="0.3">
      <c r="A210" s="95" t="s">
        <v>67</v>
      </c>
      <c r="B210" s="95"/>
      <c r="C210" s="95"/>
      <c r="D210" s="95"/>
      <c r="E210" s="95"/>
      <c r="F210" s="95"/>
      <c r="G210" s="95"/>
      <c r="H210" s="95"/>
    </row>
    <row r="211" spans="1:8" x14ac:dyDescent="0.3">
      <c r="A211" s="95" t="s">
        <v>68</v>
      </c>
      <c r="B211" s="95"/>
      <c r="C211" s="95"/>
      <c r="D211" s="95"/>
      <c r="E211" s="95"/>
      <c r="F211" s="95"/>
      <c r="G211" s="95"/>
      <c r="H211" s="95"/>
    </row>
    <row r="212" spans="1:8" ht="15" customHeight="1" x14ac:dyDescent="0.3">
      <c r="A212" s="95" t="s">
        <v>128</v>
      </c>
      <c r="B212" s="95"/>
      <c r="C212" s="95"/>
      <c r="D212" s="95"/>
      <c r="E212" s="95"/>
      <c r="F212" s="95"/>
      <c r="G212" s="95"/>
      <c r="H212" s="95"/>
    </row>
    <row r="213" spans="1:8" x14ac:dyDescent="0.3">
      <c r="A213" s="125" t="s">
        <v>129</v>
      </c>
      <c r="B213" s="125"/>
      <c r="C213" s="125"/>
      <c r="D213" s="125"/>
      <c r="E213" s="125"/>
      <c r="F213" s="125"/>
      <c r="G213" s="125"/>
      <c r="H213" s="125"/>
    </row>
    <row r="214" spans="1:8" x14ac:dyDescent="0.3">
      <c r="A214" s="161" t="s">
        <v>79</v>
      </c>
      <c r="B214" s="161"/>
      <c r="C214" s="161" t="s">
        <v>173</v>
      </c>
      <c r="D214" s="161"/>
      <c r="E214" s="161" t="s">
        <v>106</v>
      </c>
      <c r="F214" s="161"/>
      <c r="G214" s="161" t="s">
        <v>240</v>
      </c>
      <c r="H214" s="161"/>
    </row>
    <row r="215" spans="1:8" x14ac:dyDescent="0.3">
      <c r="A215" s="160" t="s">
        <v>81</v>
      </c>
      <c r="B215" s="160"/>
      <c r="C215" s="160"/>
      <c r="D215" s="160"/>
      <c r="E215" s="160"/>
      <c r="F215" s="160"/>
      <c r="G215" s="160"/>
      <c r="H215" s="160"/>
    </row>
    <row r="216" spans="1:8" x14ac:dyDescent="0.3">
      <c r="A216" s="160"/>
      <c r="B216" s="160"/>
      <c r="C216" s="160"/>
      <c r="D216" s="160"/>
      <c r="E216" s="160"/>
      <c r="F216" s="160"/>
      <c r="G216" s="160"/>
      <c r="H216" s="160"/>
    </row>
    <row r="217" spans="1:8" x14ac:dyDescent="0.3">
      <c r="A217" s="160"/>
      <c r="B217" s="160"/>
      <c r="C217" s="160"/>
      <c r="D217" s="160"/>
      <c r="E217" s="160"/>
      <c r="F217" s="160"/>
      <c r="G217" s="160"/>
      <c r="H217" s="160"/>
    </row>
    <row r="218" spans="1:8" x14ac:dyDescent="0.3">
      <c r="A218" s="39" t="s">
        <v>69</v>
      </c>
      <c r="B218" s="40"/>
      <c r="C218" s="40"/>
      <c r="D218" s="39" t="str">
        <f>E8</f>
        <v>The Greens</v>
      </c>
      <c r="F218" s="40"/>
      <c r="G218" s="40"/>
      <c r="H218" s="40"/>
    </row>
    <row r="219" spans="1:8" x14ac:dyDescent="0.3">
      <c r="A219" s="40"/>
      <c r="B219" s="40"/>
      <c r="C219" s="40"/>
      <c r="D219" s="40"/>
      <c r="E219" s="40"/>
      <c r="F219" s="40"/>
      <c r="G219" s="40"/>
      <c r="H219" s="40"/>
    </row>
    <row r="220" spans="1:8" x14ac:dyDescent="0.3">
      <c r="A220" s="40"/>
      <c r="B220" s="40"/>
      <c r="C220" s="40"/>
      <c r="D220" s="40"/>
      <c r="E220" s="40"/>
      <c r="F220" s="40"/>
      <c r="G220" s="40"/>
      <c r="H220" s="40"/>
    </row>
    <row r="221" spans="1:8" ht="15" customHeight="1" x14ac:dyDescent="0.3"/>
    <row r="260" spans="1:1" x14ac:dyDescent="0.3">
      <c r="A260" s="42" t="s">
        <v>170</v>
      </c>
    </row>
    <row r="296" spans="1:1" x14ac:dyDescent="0.3">
      <c r="A296" s="42" t="s">
        <v>70</v>
      </c>
    </row>
  </sheetData>
  <mergeCells count="413">
    <mergeCell ref="I11:L11"/>
    <mergeCell ref="B206:H206"/>
    <mergeCell ref="I10:L10"/>
    <mergeCell ref="A119:E119"/>
    <mergeCell ref="F119:H119"/>
    <mergeCell ref="A156:A157"/>
    <mergeCell ref="B156:B157"/>
    <mergeCell ref="C156:C157"/>
    <mergeCell ref="D156:D157"/>
    <mergeCell ref="E156:E157"/>
    <mergeCell ref="G156:H157"/>
    <mergeCell ref="A54:B55"/>
    <mergeCell ref="C54:E54"/>
    <mergeCell ref="G54:H54"/>
    <mergeCell ref="C55:H55"/>
    <mergeCell ref="F117:H117"/>
    <mergeCell ref="G102:H102"/>
    <mergeCell ref="A99:B99"/>
    <mergeCell ref="C99:H99"/>
    <mergeCell ref="A89:B89"/>
    <mergeCell ref="E89:F98"/>
    <mergeCell ref="A96:B96"/>
    <mergeCell ref="A97:B97"/>
    <mergeCell ref="A98:B98"/>
    <mergeCell ref="A103:B103"/>
    <mergeCell ref="E103:F112"/>
    <mergeCell ref="F113:H113"/>
    <mergeCell ref="B204:H204"/>
    <mergeCell ref="A71:B71"/>
    <mergeCell ref="C71:H71"/>
    <mergeCell ref="A73:B73"/>
    <mergeCell ref="C73:H73"/>
    <mergeCell ref="A74:B74"/>
    <mergeCell ref="E74:F74"/>
    <mergeCell ref="G74:H74"/>
    <mergeCell ref="A75:B75"/>
    <mergeCell ref="E75:F84"/>
    <mergeCell ref="G75:H84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E88:F88"/>
    <mergeCell ref="A101:B101"/>
    <mergeCell ref="C101:H101"/>
    <mergeCell ref="A102:B102"/>
    <mergeCell ref="C38:H38"/>
    <mergeCell ref="B202:H202"/>
    <mergeCell ref="A47:B47"/>
    <mergeCell ref="C47:H47"/>
    <mergeCell ref="B200:H200"/>
    <mergeCell ref="A104:B104"/>
    <mergeCell ref="A105:B105"/>
    <mergeCell ref="G89:H98"/>
    <mergeCell ref="A90:B90"/>
    <mergeCell ref="A91:B91"/>
    <mergeCell ref="A92:B92"/>
    <mergeCell ref="F115:H115"/>
    <mergeCell ref="A115:E115"/>
    <mergeCell ref="D139:D140"/>
    <mergeCell ref="A117:E117"/>
    <mergeCell ref="A143:B143"/>
    <mergeCell ref="A144:B144"/>
    <mergeCell ref="A145:B145"/>
    <mergeCell ref="A106:B106"/>
    <mergeCell ref="A107:B107"/>
    <mergeCell ref="A108:B108"/>
    <mergeCell ref="A110:B110"/>
    <mergeCell ref="A118:E118"/>
    <mergeCell ref="A87:B87"/>
    <mergeCell ref="E45:H45"/>
    <mergeCell ref="A43:D43"/>
    <mergeCell ref="A44:D44"/>
    <mergeCell ref="A45:D45"/>
    <mergeCell ref="A46:H46"/>
    <mergeCell ref="L146:M146"/>
    <mergeCell ref="L145:M145"/>
    <mergeCell ref="L144:M144"/>
    <mergeCell ref="L143:M143"/>
    <mergeCell ref="C135:D135"/>
    <mergeCell ref="E135:F135"/>
    <mergeCell ref="G135:H135"/>
    <mergeCell ref="F121:H121"/>
    <mergeCell ref="A114:E114"/>
    <mergeCell ref="A142:H142"/>
    <mergeCell ref="E139:E140"/>
    <mergeCell ref="G139:H140"/>
    <mergeCell ref="F118:H118"/>
    <mergeCell ref="C129:D129"/>
    <mergeCell ref="F125:H125"/>
    <mergeCell ref="G129:H129"/>
    <mergeCell ref="A124:E124"/>
    <mergeCell ref="C130:D130"/>
    <mergeCell ref="E130:F130"/>
    <mergeCell ref="A36:H36"/>
    <mergeCell ref="A35:B35"/>
    <mergeCell ref="C35:E35"/>
    <mergeCell ref="A40:D40"/>
    <mergeCell ref="E40:H40"/>
    <mergeCell ref="F32:H32"/>
    <mergeCell ref="F33:H33"/>
    <mergeCell ref="A39:H39"/>
    <mergeCell ref="A64:C64"/>
    <mergeCell ref="F35:H35"/>
    <mergeCell ref="A37:B37"/>
    <mergeCell ref="E37:F37"/>
    <mergeCell ref="C37:D37"/>
    <mergeCell ref="A38:B38"/>
    <mergeCell ref="G37:H37"/>
    <mergeCell ref="D60:H60"/>
    <mergeCell ref="A60:C60"/>
    <mergeCell ref="G49:H49"/>
    <mergeCell ref="A50:B51"/>
    <mergeCell ref="D64:H64"/>
    <mergeCell ref="A42:D42"/>
    <mergeCell ref="E42:H42"/>
    <mergeCell ref="E43:H43"/>
    <mergeCell ref="E44:H44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C50:E50"/>
    <mergeCell ref="C49:E49"/>
    <mergeCell ref="A56:B56"/>
    <mergeCell ref="C56:E56"/>
    <mergeCell ref="A49:B49"/>
    <mergeCell ref="A57:H57"/>
    <mergeCell ref="A58:C58"/>
    <mergeCell ref="A59:C59"/>
    <mergeCell ref="D59:H59"/>
    <mergeCell ref="G56:H56"/>
    <mergeCell ref="C51:H51"/>
    <mergeCell ref="A52:B53"/>
    <mergeCell ref="C52:E52"/>
    <mergeCell ref="G52:H52"/>
    <mergeCell ref="C53:E53"/>
    <mergeCell ref="G53:H53"/>
    <mergeCell ref="A215:H217"/>
    <mergeCell ref="A214:B214"/>
    <mergeCell ref="E214:F214"/>
    <mergeCell ref="C214:D214"/>
    <mergeCell ref="G214:H214"/>
    <mergeCell ref="A128:H128"/>
    <mergeCell ref="A126:E126"/>
    <mergeCell ref="F126:H126"/>
    <mergeCell ref="A127:E127"/>
    <mergeCell ref="F127:H127"/>
    <mergeCell ref="A135:B135"/>
    <mergeCell ref="A130:B130"/>
    <mergeCell ref="A210:H210"/>
    <mergeCell ref="A133:H133"/>
    <mergeCell ref="A213:H213"/>
    <mergeCell ref="A211:H211"/>
    <mergeCell ref="A155:H155"/>
    <mergeCell ref="A146:B146"/>
    <mergeCell ref="A207:H207"/>
    <mergeCell ref="A208:H208"/>
    <mergeCell ref="E134:F134"/>
    <mergeCell ref="B203:H203"/>
    <mergeCell ref="A161:B161"/>
    <mergeCell ref="A162:B162"/>
    <mergeCell ref="B201:H201"/>
    <mergeCell ref="B197:H197"/>
    <mergeCell ref="A137:H137"/>
    <mergeCell ref="B195:H195"/>
    <mergeCell ref="B196:H196"/>
    <mergeCell ref="B198:H198"/>
    <mergeCell ref="B199:H199"/>
    <mergeCell ref="A194:H194"/>
    <mergeCell ref="C139:C140"/>
    <mergeCell ref="A147:B147"/>
    <mergeCell ref="A164:B164"/>
    <mergeCell ref="A190:B190"/>
    <mergeCell ref="B139:B140"/>
    <mergeCell ref="A139:A140"/>
    <mergeCell ref="A159:H159"/>
    <mergeCell ref="A138:H138"/>
    <mergeCell ref="A141:H141"/>
    <mergeCell ref="A158:H158"/>
    <mergeCell ref="A151:H151"/>
    <mergeCell ref="A163:B163"/>
    <mergeCell ref="A160:B160"/>
    <mergeCell ref="A184:B184"/>
    <mergeCell ref="C184:F184"/>
    <mergeCell ref="A188:B188"/>
    <mergeCell ref="A61:C63"/>
    <mergeCell ref="D61:H61"/>
    <mergeCell ref="D62:H62"/>
    <mergeCell ref="A132:B132"/>
    <mergeCell ref="C132:D132"/>
    <mergeCell ref="E132:F132"/>
    <mergeCell ref="G132:H132"/>
    <mergeCell ref="G134:H134"/>
    <mergeCell ref="A66:C66"/>
    <mergeCell ref="D66:H66"/>
    <mergeCell ref="A67:C67"/>
    <mergeCell ref="D67:H67"/>
    <mergeCell ref="A70:C70"/>
    <mergeCell ref="D70:H70"/>
    <mergeCell ref="D63:H63"/>
    <mergeCell ref="A65:C65"/>
    <mergeCell ref="D65:H65"/>
    <mergeCell ref="C134:D134"/>
    <mergeCell ref="C131:D131"/>
    <mergeCell ref="E131:F131"/>
    <mergeCell ref="E102:F102"/>
    <mergeCell ref="A111:B111"/>
    <mergeCell ref="A116:E116"/>
    <mergeCell ref="A113:E113"/>
    <mergeCell ref="C136:D136"/>
    <mergeCell ref="A68:C68"/>
    <mergeCell ref="D68:H68"/>
    <mergeCell ref="A69:C69"/>
    <mergeCell ref="D69:H69"/>
    <mergeCell ref="G103:H112"/>
    <mergeCell ref="G88:H88"/>
    <mergeCell ref="A120:E120"/>
    <mergeCell ref="F120:H120"/>
    <mergeCell ref="A121:E121"/>
    <mergeCell ref="A123:E123"/>
    <mergeCell ref="F116:H116"/>
    <mergeCell ref="A122:E122"/>
    <mergeCell ref="F124:H124"/>
    <mergeCell ref="E129:F129"/>
    <mergeCell ref="A129:B129"/>
    <mergeCell ref="A131:B131"/>
    <mergeCell ref="A125:E125"/>
    <mergeCell ref="G136:H136"/>
    <mergeCell ref="G131:H131"/>
    <mergeCell ref="F122:H122"/>
    <mergeCell ref="F123:H123"/>
    <mergeCell ref="C87:H87"/>
    <mergeCell ref="A88:B88"/>
    <mergeCell ref="E41:H41"/>
    <mergeCell ref="A41:D41"/>
    <mergeCell ref="A212:H212"/>
    <mergeCell ref="A209:H209"/>
    <mergeCell ref="A134:B134"/>
    <mergeCell ref="A93:B93"/>
    <mergeCell ref="A94:B94"/>
    <mergeCell ref="A95:B95"/>
    <mergeCell ref="A85:B85"/>
    <mergeCell ref="C85:H85"/>
    <mergeCell ref="A109:B109"/>
    <mergeCell ref="F114:H114"/>
    <mergeCell ref="G130:H130"/>
    <mergeCell ref="A112:B112"/>
    <mergeCell ref="A48:B48"/>
    <mergeCell ref="C48:E48"/>
    <mergeCell ref="G48:H48"/>
    <mergeCell ref="G50:H50"/>
    <mergeCell ref="A136:B136"/>
    <mergeCell ref="E136:F136"/>
    <mergeCell ref="D58:H58"/>
    <mergeCell ref="A187:H187"/>
    <mergeCell ref="G188:H188"/>
    <mergeCell ref="G143:H150"/>
    <mergeCell ref="L188:M188"/>
    <mergeCell ref="A189:B189"/>
    <mergeCell ref="G189:H189"/>
    <mergeCell ref="L189:M189"/>
    <mergeCell ref="A166:H166"/>
    <mergeCell ref="A167:B167"/>
    <mergeCell ref="L167:M167"/>
    <mergeCell ref="A168:B168"/>
    <mergeCell ref="L168:M168"/>
    <mergeCell ref="A169:B169"/>
    <mergeCell ref="L169:M169"/>
    <mergeCell ref="A170:B170"/>
    <mergeCell ref="L170:M170"/>
    <mergeCell ref="L184:M184"/>
    <mergeCell ref="A171:B171"/>
    <mergeCell ref="L171:M171"/>
    <mergeCell ref="A172:B172"/>
    <mergeCell ref="L172:M172"/>
    <mergeCell ref="G167:H172"/>
    <mergeCell ref="A173:H173"/>
    <mergeCell ref="A174:B174"/>
    <mergeCell ref="G174:H179"/>
    <mergeCell ref="L174:M174"/>
    <mergeCell ref="A175:B175"/>
    <mergeCell ref="L147:M147"/>
    <mergeCell ref="A148:B148"/>
    <mergeCell ref="L148:M148"/>
    <mergeCell ref="A149:B149"/>
    <mergeCell ref="L149:M149"/>
    <mergeCell ref="A150:B150"/>
    <mergeCell ref="L150:M150"/>
    <mergeCell ref="L163:M163"/>
    <mergeCell ref="L160:M160"/>
    <mergeCell ref="L161:M161"/>
    <mergeCell ref="L162:M162"/>
    <mergeCell ref="G152:H154"/>
    <mergeCell ref="C160:F162"/>
    <mergeCell ref="G160:H165"/>
    <mergeCell ref="A152:B152"/>
    <mergeCell ref="L152:M152"/>
    <mergeCell ref="A153:B153"/>
    <mergeCell ref="L153:M153"/>
    <mergeCell ref="A154:B154"/>
    <mergeCell ref="L154:M154"/>
    <mergeCell ref="L164:M164"/>
    <mergeCell ref="A165:B165"/>
    <mergeCell ref="L165:M165"/>
    <mergeCell ref="L175:M175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B205:H205"/>
    <mergeCell ref="A180:H180"/>
    <mergeCell ref="A181:B181"/>
    <mergeCell ref="G181:H186"/>
    <mergeCell ref="L181:M181"/>
    <mergeCell ref="A182:B182"/>
    <mergeCell ref="L182:M182"/>
    <mergeCell ref="A183:B183"/>
    <mergeCell ref="L183:M183"/>
    <mergeCell ref="A185:B185"/>
    <mergeCell ref="L185:M185"/>
    <mergeCell ref="A186:B186"/>
    <mergeCell ref="L186:M186"/>
    <mergeCell ref="L190:M190"/>
    <mergeCell ref="A191:B191"/>
    <mergeCell ref="G191:H191"/>
    <mergeCell ref="L191:M191"/>
    <mergeCell ref="A192:B192"/>
    <mergeCell ref="G192:H192"/>
    <mergeCell ref="L192:M192"/>
    <mergeCell ref="A193:B193"/>
    <mergeCell ref="G193:H193"/>
    <mergeCell ref="L193:M193"/>
    <mergeCell ref="G190:H190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0" max="7" man="1"/>
    <brk id="217" max="16383" man="1"/>
    <brk id="259" max="16383" man="1"/>
    <brk id="29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M45" sqref="M45"/>
    </sheetView>
  </sheetViews>
  <sheetFormatPr defaultColWidth="8.6640625" defaultRowHeight="14.4" x14ac:dyDescent="0.3"/>
  <cols>
    <col min="1" max="1" width="8.6640625" style="1"/>
    <col min="2" max="2" width="22.3320312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9" t="s">
        <v>107</v>
      </c>
      <c r="C3" s="219"/>
      <c r="D3" s="219"/>
      <c r="E3" s="219"/>
      <c r="F3" s="219"/>
      <c r="G3" s="219"/>
      <c r="H3" s="219"/>
    </row>
    <row r="4" spans="1:9" x14ac:dyDescent="0.3">
      <c r="A4" s="2"/>
      <c r="B4" s="3" t="s">
        <v>108</v>
      </c>
      <c r="C4" s="3" t="s">
        <v>109</v>
      </c>
      <c r="D4" s="3" t="s">
        <v>72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J4" sqref="J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2025-08-15T06:52:26Z</cp:lastPrinted>
  <dcterms:created xsi:type="dcterms:W3CDTF">2019-07-16T09:29:46Z</dcterms:created>
  <dcterms:modified xsi:type="dcterms:W3CDTF">2025-08-15T06:56:17Z</dcterms:modified>
</cp:coreProperties>
</file>