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E1C35E93-9FB3-49BF-A0C0-1B206DCDABD0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3" i="1" l="1"/>
  <c r="I113" i="1"/>
  <c r="D165" i="1" l="1"/>
  <c r="F165" i="1" s="1"/>
  <c r="D164" i="1"/>
  <c r="F164" i="1" s="1"/>
  <c r="D163" i="1"/>
  <c r="F163" i="1" s="1"/>
  <c r="D162" i="1"/>
  <c r="F162" i="1" s="1"/>
  <c r="D161" i="1"/>
  <c r="F161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2" i="1"/>
  <c r="F152" i="1" s="1"/>
  <c r="D151" i="1"/>
  <c r="F151" i="1" s="1"/>
  <c r="D150" i="1"/>
  <c r="F150" i="1" s="1"/>
  <c r="K150" i="1" s="1"/>
  <c r="D149" i="1"/>
  <c r="F149" i="1" s="1"/>
  <c r="D148" i="1"/>
  <c r="F148" i="1" s="1"/>
  <c r="K148" i="1" s="1"/>
  <c r="D147" i="1"/>
  <c r="F147" i="1" s="1"/>
  <c r="K147" i="1" s="1"/>
  <c r="D146" i="1"/>
  <c r="F146" i="1" s="1"/>
  <c r="K146" i="1" s="1"/>
  <c r="D145" i="1"/>
  <c r="F145" i="1" s="1"/>
  <c r="L145" i="1" s="1"/>
  <c r="D144" i="1"/>
  <c r="F144" i="1" s="1"/>
  <c r="D143" i="1"/>
  <c r="F143" i="1" s="1"/>
  <c r="D142" i="1"/>
  <c r="F142" i="1" s="1"/>
  <c r="I142" i="1" s="1"/>
  <c r="D141" i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J154" i="1"/>
  <c r="I154" i="1"/>
  <c r="G154" i="1"/>
  <c r="J141" i="1"/>
  <c r="I141" i="1"/>
  <c r="A142" i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G141" i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J126" i="1"/>
  <c r="I126" i="1"/>
  <c r="G126" i="1"/>
  <c r="D126" i="1"/>
  <c r="F126" i="1" s="1"/>
  <c r="D124" i="1"/>
  <c r="F124" i="1" s="1"/>
  <c r="K124" i="1" s="1"/>
  <c r="D123" i="1"/>
  <c r="F123" i="1" s="1"/>
  <c r="D122" i="1"/>
  <c r="F122" i="1" s="1"/>
  <c r="K122" i="1" s="1"/>
  <c r="D121" i="1"/>
  <c r="F121" i="1" s="1"/>
  <c r="K121" i="1" s="1"/>
  <c r="D120" i="1"/>
  <c r="F120" i="1" s="1"/>
  <c r="K120" i="1" s="1"/>
  <c r="D119" i="1"/>
  <c r="F119" i="1" s="1"/>
  <c r="K119" i="1" s="1"/>
  <c r="D118" i="1"/>
  <c r="D117" i="1"/>
  <c r="D116" i="1"/>
  <c r="D115" i="1"/>
  <c r="D114" i="1"/>
  <c r="D113" i="1"/>
  <c r="J113" i="1"/>
  <c r="D61" i="1"/>
  <c r="C103" i="1" l="1"/>
  <c r="E103" i="1"/>
  <c r="F141" i="1"/>
  <c r="E104" i="1"/>
  <c r="K149" i="1"/>
  <c r="I149" i="1"/>
  <c r="K123" i="1"/>
  <c r="J123" i="1"/>
  <c r="K151" i="1"/>
  <c r="I151" i="1"/>
  <c r="L144" i="1"/>
  <c r="I144" i="1"/>
  <c r="K152" i="1"/>
  <c r="I152" i="1"/>
  <c r="K142" i="1"/>
  <c r="L143" i="1"/>
  <c r="K143" i="1"/>
  <c r="C104" i="1"/>
  <c r="K145" i="1"/>
  <c r="K144" i="1"/>
  <c r="F114" i="1"/>
  <c r="C105" i="1" l="1"/>
  <c r="K141" i="1"/>
  <c r="K153" i="1" s="1"/>
  <c r="G104" i="1"/>
  <c r="K114" i="1"/>
  <c r="I114" i="1"/>
  <c r="E105" i="1"/>
  <c r="F113" i="1"/>
  <c r="L113" i="1" l="1"/>
  <c r="M113" i="1" s="1"/>
  <c r="K113" i="1"/>
  <c r="F118" i="1"/>
  <c r="K118" i="1" s="1"/>
  <c r="F117" i="1"/>
  <c r="K117" i="1" s="1"/>
  <c r="C14" i="1" l="1"/>
  <c r="E29" i="1" l="1"/>
  <c r="F115" i="1" l="1"/>
  <c r="F116" i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G113" i="1"/>
  <c r="L116" i="1" l="1"/>
  <c r="K116" i="1"/>
  <c r="K115" i="1"/>
  <c r="G103" i="1"/>
  <c r="G105" i="1" s="1"/>
  <c r="F100" i="1"/>
  <c r="K126" i="1" l="1"/>
  <c r="B16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D188" i="1"/>
  <c r="J92" i="1"/>
  <c r="J91" i="1"/>
  <c r="J90" i="1"/>
  <c r="J89" i="1"/>
  <c r="C81" i="1"/>
  <c r="J78" i="1"/>
  <c r="J77" i="1"/>
  <c r="J76" i="1"/>
  <c r="J75" i="1"/>
  <c r="C67" i="1"/>
  <c r="D55" i="1"/>
  <c r="G49" i="1"/>
  <c r="C49" i="1"/>
  <c r="E42" i="1"/>
  <c r="E43" i="1" s="1"/>
  <c r="E26" i="1"/>
  <c r="E24" i="1"/>
  <c r="E7" i="1"/>
  <c r="E3" i="1"/>
  <c r="H68" i="1"/>
  <c r="H82" i="1"/>
  <c r="G12" i="5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7" i="1"/>
  <c r="J88" i="1" s="1"/>
  <c r="J93" i="1" s="1"/>
  <c r="J94" i="1" s="1"/>
  <c r="C86" i="1" s="1"/>
  <c r="J85" i="1"/>
  <c r="J86" i="1"/>
  <c r="C85" i="1" s="1"/>
  <c r="J84" i="1"/>
  <c r="J80" i="1" l="1"/>
  <c r="E71" i="1"/>
  <c r="D87" i="1"/>
  <c r="J83" i="1"/>
  <c r="D73" i="1"/>
  <c r="J69" i="1"/>
  <c r="D71" i="1"/>
  <c r="E85" i="1"/>
  <c r="D86" i="1"/>
  <c r="G85" i="1"/>
  <c r="D85" i="1"/>
  <c r="J68" i="1" l="1"/>
  <c r="G71" i="1"/>
  <c r="D65" i="1" s="1"/>
  <c r="D66" i="1" s="1"/>
  <c r="D72" i="1"/>
  <c r="I68" i="1" s="1"/>
  <c r="I82" i="1"/>
  <c r="I83" i="1" s="1"/>
  <c r="J82" i="1"/>
  <c r="F66" i="1" l="1"/>
  <c r="I81" i="1"/>
  <c r="I69" i="1"/>
  <c r="I67" i="1" s="1"/>
  <c r="C69" i="1" s="1"/>
</calcChain>
</file>

<file path=xl/sharedStrings.xml><?xml version="1.0" encoding="utf-8"?>
<sst xmlns="http://schemas.openxmlformats.org/spreadsheetml/2006/main" count="287" uniqueCount="211">
  <si>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</si>
  <si>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</si>
  <si>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</si>
  <si>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</si>
  <si>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</si>
  <si>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</si>
  <si>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</si>
  <si>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</si>
  <si>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</si>
  <si>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</si>
  <si>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</si>
  <si>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</si>
  <si>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</si>
  <si>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</si>
  <si>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</si>
  <si>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</si>
  <si>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</si>
  <si>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</si>
  <si>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</si>
  <si>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</si>
  <si>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</si>
  <si>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</si>
  <si>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</si>
  <si>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</si>
  <si>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</si>
  <si>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</si>
  <si>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</si>
  <si>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</si>
  <si>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</si>
  <si>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</si>
  <si>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</si>
  <si>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</si>
  <si>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</si>
  <si>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</si>
  <si>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</si>
  <si>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</si>
  <si>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</si>
  <si>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</si>
  <si>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</si>
  <si>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</si>
  <si>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</si>
  <si>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</si>
  <si>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</si>
  <si>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</si>
  <si>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</si>
  <si>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</si>
  <si>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</si>
  <si>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</si>
  <si>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</si>
  <si>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</si>
  <si>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</si>
  <si>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</si>
  <si>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</si>
  <si>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</si>
  <si>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</si>
  <si>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</si>
  <si>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</si>
  <si>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</si>
  <si>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</si>
  <si>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</si>
  <si>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</si>
  <si>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</si>
  <si>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</si>
  <si>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</si>
  <si>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</si>
  <si>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</si>
  <si>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</si>
  <si>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</si>
  <si>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</si>
  <si>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</si>
  <si>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</si>
  <si>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</si>
  <si>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</si>
  <si>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</si>
  <si>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</si>
  <si>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</si>
  <si>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</si>
  <si>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</si>
  <si>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</si>
  <si>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</si>
  <si>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</si>
  <si>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</si>
  <si>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</si>
  <si>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</si>
  <si>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</si>
  <si>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</si>
  <si>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</si>
  <si>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</si>
  <si>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</si>
  <si>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</si>
  <si>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</si>
  <si>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</si>
  <si>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</si>
  <si>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</si>
  <si>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</si>
  <si>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</si>
  <si>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</si>
  <si>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</si>
  <si>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</si>
  <si>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</si>
  <si>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</si>
  <si>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</si>
  <si>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</si>
  <si>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</si>
  <si>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</si>
  <si>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</si>
  <si>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</si>
  <si>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</si>
  <si>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</si>
  <si>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</si>
  <si>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</si>
  <si>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</si>
  <si>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</si>
  <si>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</si>
  <si>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</si>
  <si>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</si>
  <si>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</si>
  <si>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</si>
  <si>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</si>
  <si>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</si>
  <si>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</si>
  <si>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</si>
  <si>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</si>
  <si>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</si>
  <si>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</si>
  <si>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</si>
  <si>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</si>
  <si>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</si>
  <si>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</si>
  <si>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</si>
  <si>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</si>
  <si>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</si>
  <si>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</si>
  <si>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</si>
  <si>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</si>
  <si>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</si>
  <si>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</si>
  <si>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</si>
  <si>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</si>
  <si>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</si>
  <si>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</si>
  <si>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</si>
  <si>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</si>
  <si>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</si>
  <si>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</si>
  <si>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</si>
  <si>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</si>
  <si>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</si>
  <si>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</si>
  <si>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</si>
  <si>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</si>
  <si>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</si>
  <si>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</si>
  <si>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</si>
  <si>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</si>
  <si>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</si>
  <si>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</si>
  <si>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</si>
  <si>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Raj Group</t>
  </si>
  <si>
    <t>Tulsi Aanand</t>
  </si>
  <si>
    <t>Wing A &amp; B</t>
  </si>
  <si>
    <t>P51700032811</t>
  </si>
  <si>
    <t>Approved Plans, CC</t>
  </si>
  <si>
    <t>Kulgoan Badlapur Municipal Council</t>
  </si>
  <si>
    <t>Wing A = Gr/Stilt + 1st to 14th Floor
Wing B = Gr/Stilt + 1st to 13th Floor</t>
  </si>
  <si>
    <t>KBNP/NRV/BP/1965-87</t>
  </si>
  <si>
    <t>As per RERA - 31/12/2025</t>
  </si>
  <si>
    <t>https://goo.gl/maps/Z3E5kwAJeTqLXA4n9</t>
  </si>
  <si>
    <t>Tulsi Aadvik</t>
  </si>
  <si>
    <t>Neral Badlapur Road</t>
  </si>
  <si>
    <t>Aastha- Shivaji - Kids Garden</t>
  </si>
  <si>
    <t>Tulsi Aahan</t>
  </si>
  <si>
    <t>Survey No</t>
  </si>
  <si>
    <t>Kharvai</t>
  </si>
  <si>
    <t>Thane</t>
  </si>
  <si>
    <t>Ambarnath</t>
  </si>
  <si>
    <t>Badlapur East</t>
  </si>
  <si>
    <t>Tulsi Aadvik Apartment building</t>
  </si>
  <si>
    <t>Tulsi City Road</t>
  </si>
  <si>
    <t>3.5KM from Badlapur Railway Station</t>
  </si>
  <si>
    <t>Axis Badlapur</t>
  </si>
  <si>
    <t xml:space="preserve">Ground Floor for Parking </t>
  </si>
  <si>
    <t>Wing A</t>
  </si>
  <si>
    <t>1st to 7th &amp; 9th to 12th &amp; 14th Floor for Residentail</t>
  </si>
  <si>
    <t>Wing B</t>
  </si>
  <si>
    <t>Refuge Area</t>
  </si>
  <si>
    <t>8th &amp; 13th Floor (Part Refuge Area)</t>
  </si>
  <si>
    <t>1st to 7th &amp; 9th to 12th Floor for Residentail</t>
  </si>
  <si>
    <t>We considered Gross carpet area = Net carpet + Enclose balcony.</t>
  </si>
  <si>
    <t>Flats - 320</t>
  </si>
  <si>
    <t>Inspection Sheet</t>
  </si>
  <si>
    <t>1BHK</t>
  </si>
  <si>
    <t xml:space="preserve">Layout Plan : </t>
  </si>
  <si>
    <t>Mr. Vilas Thale - 8888622474</t>
  </si>
  <si>
    <t>40,H.No.1, S.No. 40, H.No.2</t>
  </si>
  <si>
    <t>2 Wings</t>
  </si>
  <si>
    <t>Wing A = Gr/Stilt + 1st to 14th Floor</t>
  </si>
  <si>
    <t>market</t>
  </si>
  <si>
    <t>Site Meet Person Details ( Name &amp; Contact No.)</t>
  </si>
  <si>
    <t>Society, Development Charges</t>
  </si>
  <si>
    <t>1. Vitrified tiles flooring 2. Granite Kitchen Platform 3. Decorative Enternace etc.</t>
  </si>
  <si>
    <t>Wing B = Gr/Stilt + 1st to 13th Floor</t>
  </si>
  <si>
    <t>On Site, we meet Mr. Kadam - 8080885588.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</si>
  <si>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E mail : vsjcapf@gmail.com. Web site : www.vsjadon.com
</t>
  </si>
  <si>
    <t>Latitude,Longitude</t>
  </si>
  <si>
    <t>19.1512626,73.2471643</t>
  </si>
  <si>
    <t>Sudhir Bhosale</t>
  </si>
  <si>
    <t>KBNP/NRV/BP/1965/2020-2021/
Unique No.87</t>
  </si>
  <si>
    <t>Pranita Mhatre</t>
  </si>
  <si>
    <t>Wing A = Construction work is in process at the time of Visit.
Wing B = All work completed. Provide OC.</t>
  </si>
  <si>
    <t>All work completed.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</si>
</sst>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7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7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9" fillId="0" borderId="1" xfId="1" applyFont="1" applyBorder="1" applyAlignment="1" applyProtection="1">
      <alignment vertical="top"/>
      <protection locked="0"/>
    </xf>
    <xf numFmtId="169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" fontId="8" fillId="0" borderId="0" xfId="1" applyNumberFormat="1" applyFont="1" applyAlignment="1">
      <alignment vertical="center"/>
    </xf>
    <xf numFmtId="0" fontId="28" fillId="0" borderId="0" xfId="1" applyFont="1" applyProtection="1"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9" fontId="9" fillId="0" borderId="1" xfId="8" applyFont="1" applyFill="1" applyBorder="1" applyAlignment="1" applyProtection="1">
      <alignment horizontal="center" vertical="top" wrapText="1"/>
      <protection locked="0"/>
    </xf>
    <xf numFmtId="0" fontId="25" fillId="2" borderId="15" xfId="0" applyFont="1" applyFill="1" applyBorder="1"/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9" fillId="0" borderId="8" xfId="1" applyNumberFormat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168" fontId="14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66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7" fillId="0" borderId="17" xfId="0" applyNumberFormat="1" applyFont="1" applyBorder="1" applyAlignment="1" applyProtection="1">
      <alignment horizontal="center" vertical="center" wrapText="1"/>
      <protection locked="0"/>
    </xf>
    <xf numFmtId="1" fontId="7" fillId="0" borderId="18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14" fontId="7" fillId="0" borderId="9" xfId="1" applyNumberFormat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18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29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10" xfId="8" applyFont="1" applyFill="1" applyBorder="1" applyAlignment="1" applyProtection="1">
      <alignment horizontal="center" vertical="center" wrapText="1"/>
      <protection locked="0"/>
    </xf>
    <xf numFmtId="9" fontId="8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6" xfId="1" applyFont="1" applyBorder="1" applyAlignment="1" applyProtection="1">
      <alignment horizontal="center" vertical="top"/>
      <protection locked="0"/>
    </xf>
    <xf numFmtId="0" fontId="9" fillId="0" borderId="16" xfId="1" applyFont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69" fontId="7" fillId="0" borderId="8" xfId="1" applyNumberFormat="1" applyFont="1" applyBorder="1" applyAlignment="1" applyProtection="1">
      <alignment horizontal="center" vertical="center" wrapText="1"/>
      <protection locked="0"/>
    </xf>
    <xf numFmtId="169" fontId="7" fillId="0" borderId="21" xfId="1" applyNumberFormat="1" applyFont="1" applyBorder="1" applyAlignment="1" applyProtection="1">
      <alignment horizontal="center" vertical="center" wrapText="1"/>
      <protection locked="0"/>
    </xf>
    <xf numFmtId="169" fontId="7" fillId="0" borderId="9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251</xdr:row>
      <xdr:rowOff>35015</xdr:rowOff>
    </xdr:from>
    <xdr:to>
      <xdr:col>7</xdr:col>
      <xdr:colOff>106680</xdr:colOff>
      <xdr:row>269</xdr:row>
      <xdr:rowOff>154213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7200" y="52742555"/>
          <a:ext cx="5494020" cy="36853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457200</xdr:colOff>
      <xdr:row>230</xdr:row>
      <xdr:rowOff>104775</xdr:rowOff>
    </xdr:from>
    <xdr:to>
      <xdr:col>7</xdr:col>
      <xdr:colOff>462150</xdr:colOff>
      <xdr:row>250</xdr:row>
      <xdr:rowOff>64274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7200" y="51130200"/>
          <a:ext cx="612000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532355</xdr:colOff>
      <xdr:row>187</xdr:row>
      <xdr:rowOff>0</xdr:rowOff>
    </xdr:from>
    <xdr:to>
      <xdr:col>9</xdr:col>
      <xdr:colOff>47215</xdr:colOff>
      <xdr:row>188</xdr:row>
      <xdr:rowOff>158750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5AE1F1A-A254-BAB3-CB19-948632EA2F2C}"/>
            </a:ext>
          </a:extLst>
        </xdr:cNvPr>
        <xdr:cNvSpPr txBox="1"/>
      </xdr:nvSpPr>
      <xdr:spPr>
        <a:xfrm>
          <a:off x="7345905" y="39839900"/>
          <a:ext cx="73406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0" kern="120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twoCellAnchor>
  <xdr:twoCellAnchor>
    <xdr:from>
      <xdr:col>8</xdr:col>
      <xdr:colOff>0</xdr:colOff>
      <xdr:row>201</xdr:row>
      <xdr:rowOff>50580</xdr:rowOff>
    </xdr:from>
    <xdr:to>
      <xdr:col>8</xdr:col>
      <xdr:colOff>734060</xdr:colOff>
      <xdr:row>203</xdr:row>
      <xdr:rowOff>12480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5AE1F1A-A254-BAB3-CB19-948632EA2F2C}"/>
            </a:ext>
          </a:extLst>
        </xdr:cNvPr>
        <xdr:cNvSpPr txBox="1"/>
      </xdr:nvSpPr>
      <xdr:spPr>
        <a:xfrm>
          <a:off x="6813550" y="42640030"/>
          <a:ext cx="73406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0" kern="120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8</xdr:col>
      <xdr:colOff>520700</xdr:colOff>
      <xdr:row>187</xdr:row>
      <xdr:rowOff>44450</xdr:rowOff>
    </xdr:from>
    <xdr:to>
      <xdr:col>16</xdr:col>
      <xdr:colOff>302781</xdr:colOff>
      <xdr:row>228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226300" y="40231158"/>
          <a:ext cx="6376312" cy="8234973"/>
          <a:chOff x="177800" y="40043100"/>
          <a:chExt cx="6464821" cy="8134350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98623" y="46742602"/>
            <a:ext cx="2149043" cy="14348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0826" y="46742602"/>
            <a:ext cx="1213313" cy="14348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3117" y="44970268"/>
            <a:ext cx="1516218" cy="170223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701" y="40081200"/>
            <a:ext cx="203064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8501" y="42880434"/>
            <a:ext cx="151621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6404" y="42880434"/>
            <a:ext cx="151621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7452" y="42880434"/>
            <a:ext cx="1516218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9343" y="40081200"/>
            <a:ext cx="203064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8022" y="40081200"/>
            <a:ext cx="203064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3819" y="44970268"/>
            <a:ext cx="1516218" cy="170223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42880434"/>
            <a:ext cx="151621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2770" y="44970268"/>
            <a:ext cx="2674361" cy="170223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25AE1F1A-A254-BAB3-CB19-948632EA2F2C}"/>
              </a:ext>
            </a:extLst>
          </xdr:cNvPr>
          <xdr:cNvSpPr txBox="1"/>
        </xdr:nvSpPr>
        <xdr:spPr>
          <a:xfrm>
            <a:off x="1001401" y="40106600"/>
            <a:ext cx="734060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0" kern="120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25AE1F1A-A254-BAB3-CB19-948632EA2F2C}"/>
              </a:ext>
            </a:extLst>
          </xdr:cNvPr>
          <xdr:cNvSpPr txBox="1"/>
        </xdr:nvSpPr>
        <xdr:spPr>
          <a:xfrm>
            <a:off x="3105572" y="40043100"/>
            <a:ext cx="734060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0" kern="120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25AE1F1A-A254-BAB3-CB19-948632EA2F2C}"/>
              </a:ext>
            </a:extLst>
          </xdr:cNvPr>
          <xdr:cNvSpPr txBox="1"/>
        </xdr:nvSpPr>
        <xdr:spPr>
          <a:xfrm>
            <a:off x="5410200" y="40176450"/>
            <a:ext cx="787603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0" kern="120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25AE1F1A-A254-BAB3-CB19-948632EA2F2C}"/>
              </a:ext>
            </a:extLst>
          </xdr:cNvPr>
          <xdr:cNvSpPr txBox="1"/>
        </xdr:nvSpPr>
        <xdr:spPr>
          <a:xfrm>
            <a:off x="177800" y="42880434"/>
            <a:ext cx="787603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0" kern="120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  <xdr:twoCellAnchor>
    <xdr:from>
      <xdr:col>0</xdr:col>
      <xdr:colOff>214464</xdr:colOff>
      <xdr:row>188</xdr:row>
      <xdr:rowOff>46547</xdr:rowOff>
    </xdr:from>
    <xdr:to>
      <xdr:col>7</xdr:col>
      <xdr:colOff>703385</xdr:colOff>
      <xdr:row>228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D5E37F3-4198-56E5-7693-E1CF6499765A}"/>
            </a:ext>
          </a:extLst>
        </xdr:cNvPr>
        <xdr:cNvGrpSpPr/>
      </xdr:nvGrpSpPr>
      <xdr:grpSpPr>
        <a:xfrm>
          <a:off x="214464" y="40432547"/>
          <a:ext cx="6338736" cy="7919284"/>
          <a:chOff x="351532" y="518514"/>
          <a:chExt cx="6506468" cy="8276968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3773683-AE48-8007-BB5E-760183E71D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17958" y="7029635"/>
            <a:ext cx="2342518" cy="17658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0959ACF-53A0-C3D5-95E9-8B16B47637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1532" y="534596"/>
            <a:ext cx="2082282" cy="27686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1CCB53D-C69F-2EB5-AFC0-4A93015C5A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29435" y="3400038"/>
            <a:ext cx="1353765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7C13D917-1F41-DA06-2A18-8433B48B67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78236" y="3409329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F0B28A2-4671-4397-FD43-853C25CCA8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5718" y="518514"/>
            <a:ext cx="2082282" cy="27686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FFB5BB2-893D-2DAA-D484-59801B728F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8798" y="5313944"/>
            <a:ext cx="2168022" cy="16343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30CAB346-274D-8033-BB26-92192D9132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61927" y="3409329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8C199BBE-3A17-2491-745D-A1541EF0A3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0727" y="3409329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0E2FE64-E401-9A00-D21D-54F2FC39EE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8305" y="5291214"/>
            <a:ext cx="1229151" cy="16343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B838CB1-A88A-1C9E-021D-40A46CFB88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7279" y="5312078"/>
            <a:ext cx="1229151" cy="16343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4BAFA297-D8FF-7E83-D40B-F0AEFBBF92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43575" y="5312077"/>
            <a:ext cx="1229151" cy="16343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469B6AF3-1646-E083-E627-884A66CCCD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85018" y="534596"/>
            <a:ext cx="2082282" cy="27686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84B2D186-64D6-5CBB-F7E7-D47D70C3F0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7053" y="7029635"/>
            <a:ext cx="1322547" cy="17658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9</xdr:col>
      <xdr:colOff>191748</xdr:colOff>
      <xdr:row>42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9604689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32881</xdr:colOff>
      <xdr:row>14</xdr:row>
      <xdr:rowOff>60215</xdr:rowOff>
    </xdr:from>
    <xdr:to>
      <xdr:col>26</xdr:col>
      <xdr:colOff>301033</xdr:colOff>
      <xdr:row>42</xdr:row>
      <xdr:rowOff>126215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4290" y="2744533"/>
          <a:ext cx="9689243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6</xdr:col>
      <xdr:colOff>2325</xdr:colOff>
      <xdr:row>62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839152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63</xdr:row>
      <xdr:rowOff>179629</xdr:rowOff>
    </xdr:from>
    <xdr:to>
      <xdr:col>6</xdr:col>
      <xdr:colOff>2326</xdr:colOff>
      <xdr:row>82</xdr:row>
      <xdr:rowOff>160129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12190654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179295</xdr:colOff>
      <xdr:row>63</xdr:row>
      <xdr:rowOff>154641</xdr:rowOff>
    </xdr:from>
    <xdr:to>
      <xdr:col>15</xdr:col>
      <xdr:colOff>86370</xdr:colOff>
      <xdr:row>82</xdr:row>
      <xdr:rowOff>135141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1120" y="1216566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179296</xdr:colOff>
      <xdr:row>44</xdr:row>
      <xdr:rowOff>0</xdr:rowOff>
    </xdr:from>
    <xdr:to>
      <xdr:col>15</xdr:col>
      <xdr:colOff>86371</xdr:colOff>
      <xdr:row>62</xdr:row>
      <xdr:rowOff>171000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1121" y="839152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3E5kwAJeTqLXA4n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15"/>
  <sheetViews>
    <sheetView tabSelected="1" view="pageBreakPreview" topLeftCell="A159" zoomScale="130" zoomScaleNormal="100" zoomScaleSheetLayoutView="130" zoomScalePageLayoutView="85" workbookViewId="0">
      <selection activeCell="I164" sqref="I164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13" t="s">
        <v>203</v>
      </c>
      <c r="B1" s="113"/>
      <c r="C1" s="113"/>
      <c r="D1" s="113"/>
      <c r="E1" s="113"/>
      <c r="F1" s="113"/>
      <c r="G1" s="113"/>
      <c r="H1" s="113"/>
    </row>
    <row r="2" spans="1:8" ht="16.5" customHeight="1" x14ac:dyDescent="0.3">
      <c r="A2" s="114" t="s">
        <v>0</v>
      </c>
      <c r="B2" s="114"/>
      <c r="C2" s="114"/>
      <c r="D2" s="114"/>
      <c r="E2" s="114"/>
      <c r="F2" s="114"/>
      <c r="G2" s="114"/>
      <c r="H2" s="114"/>
    </row>
    <row r="3" spans="1:8" x14ac:dyDescent="0.3">
      <c r="A3" s="74" t="s">
        <v>1</v>
      </c>
      <c r="B3" s="74"/>
      <c r="C3" s="74"/>
      <c r="D3" s="74"/>
      <c r="E3" s="74" t="str">
        <f ca="1">TEXT(TODAY(),"DD/MM/YYYY")</f>
        <v>15/08/2025</v>
      </c>
      <c r="F3" s="74"/>
      <c r="G3" s="74"/>
      <c r="H3" s="74"/>
    </row>
    <row r="4" spans="1:8" ht="15" customHeight="1" x14ac:dyDescent="0.3">
      <c r="A4" s="74" t="s">
        <v>2</v>
      </c>
      <c r="B4" s="74"/>
      <c r="C4" s="74"/>
      <c r="D4" s="74"/>
      <c r="E4" s="74" t="s">
        <v>180</v>
      </c>
      <c r="F4" s="74"/>
      <c r="G4" s="74"/>
      <c r="H4" s="74"/>
    </row>
    <row r="5" spans="1:8" x14ac:dyDescent="0.3">
      <c r="A5" s="74" t="s">
        <v>3</v>
      </c>
      <c r="B5" s="74"/>
      <c r="C5" s="74"/>
      <c r="D5" s="74"/>
      <c r="E5" s="116">
        <v>45881</v>
      </c>
      <c r="F5" s="74"/>
      <c r="G5" s="74"/>
      <c r="H5" s="74"/>
    </row>
    <row r="6" spans="1:8" ht="16.5" customHeight="1" x14ac:dyDescent="0.3">
      <c r="A6" s="74" t="s">
        <v>4</v>
      </c>
      <c r="B6" s="74"/>
      <c r="C6" s="74"/>
      <c r="D6" s="74"/>
      <c r="E6" s="74" t="s">
        <v>158</v>
      </c>
      <c r="F6" s="74"/>
      <c r="G6" s="74"/>
      <c r="H6" s="74"/>
    </row>
    <row r="7" spans="1:8" ht="15" customHeight="1" x14ac:dyDescent="0.3">
      <c r="A7" s="74" t="s">
        <v>5</v>
      </c>
      <c r="B7" s="74"/>
      <c r="C7" s="74"/>
      <c r="D7" s="74"/>
      <c r="E7" s="74" t="str">
        <f>E6</f>
        <v>Raj Group</v>
      </c>
      <c r="F7" s="74"/>
      <c r="G7" s="74"/>
      <c r="H7" s="74"/>
    </row>
    <row r="8" spans="1:8" x14ac:dyDescent="0.3">
      <c r="A8" s="74" t="s">
        <v>6</v>
      </c>
      <c r="B8" s="74"/>
      <c r="C8" s="74"/>
      <c r="D8" s="74"/>
      <c r="E8" s="115" t="s">
        <v>159</v>
      </c>
      <c r="F8" s="115"/>
      <c r="G8" s="115"/>
      <c r="H8" s="115"/>
    </row>
    <row r="9" spans="1:8" x14ac:dyDescent="0.3">
      <c r="A9" s="74" t="s">
        <v>115</v>
      </c>
      <c r="B9" s="74"/>
      <c r="C9" s="74"/>
      <c r="D9" s="74"/>
      <c r="E9" s="74" t="s">
        <v>193</v>
      </c>
      <c r="F9" s="74"/>
      <c r="G9" s="74"/>
      <c r="H9" s="74"/>
    </row>
    <row r="10" spans="1:8" hidden="1" x14ac:dyDescent="0.3">
      <c r="A10" s="74" t="s">
        <v>198</v>
      </c>
      <c r="B10" s="74"/>
      <c r="C10" s="74"/>
      <c r="D10" s="74"/>
      <c r="E10" s="74" t="s">
        <v>193</v>
      </c>
      <c r="F10" s="74"/>
      <c r="G10" s="74"/>
      <c r="H10" s="74"/>
    </row>
    <row r="11" spans="1:8" x14ac:dyDescent="0.3">
      <c r="A11" s="74" t="s">
        <v>7</v>
      </c>
      <c r="B11" s="74"/>
      <c r="C11" s="74"/>
      <c r="D11" s="74"/>
      <c r="E11" s="74" t="s">
        <v>160</v>
      </c>
      <c r="F11" s="74"/>
      <c r="G11" s="74"/>
      <c r="H11" s="74"/>
    </row>
    <row r="12" spans="1:8" x14ac:dyDescent="0.3">
      <c r="A12" s="72" t="s">
        <v>8</v>
      </c>
      <c r="B12" s="72"/>
      <c r="C12" s="72"/>
      <c r="D12" s="72"/>
      <c r="E12" s="73" t="s">
        <v>162</v>
      </c>
      <c r="F12" s="117"/>
      <c r="G12" s="117"/>
      <c r="H12" s="117"/>
    </row>
    <row r="13" spans="1:8" x14ac:dyDescent="0.3">
      <c r="A13" s="72" t="s">
        <v>9</v>
      </c>
      <c r="B13" s="72"/>
      <c r="C13" s="72"/>
      <c r="D13" s="72"/>
      <c r="E13" s="73" t="s">
        <v>161</v>
      </c>
      <c r="F13" s="74"/>
      <c r="G13" s="74"/>
      <c r="H13" s="74"/>
    </row>
    <row r="14" spans="1:8" ht="48" customHeight="1" x14ac:dyDescent="0.3">
      <c r="A14" s="70" t="s">
        <v>10</v>
      </c>
      <c r="B14" s="70"/>
      <c r="C14" s="7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Tulsi Aanand, Survey No.40,H.No.1, S.No. 40, H.No.2, near Tulsi Aadvik Apartment building, Tulsi City Road, Kharvai, Kharvai, Badlapur East, Ambarnath, Thane - 421503.</v>
      </c>
      <c r="D14" s="70"/>
      <c r="E14" s="70"/>
      <c r="F14" s="70"/>
      <c r="G14" s="70"/>
      <c r="H14" s="70"/>
    </row>
    <row r="15" spans="1:8" x14ac:dyDescent="0.3">
      <c r="A15" s="73" t="s">
        <v>172</v>
      </c>
      <c r="B15" s="73"/>
      <c r="C15" s="73" t="s">
        <v>194</v>
      </c>
      <c r="D15" s="73"/>
      <c r="E15" s="73"/>
      <c r="F15" s="73"/>
      <c r="G15" s="73"/>
      <c r="H15" s="73"/>
    </row>
    <row r="16" spans="1:8" ht="15.75" customHeight="1" x14ac:dyDescent="0.3">
      <c r="A16" s="110" t="s">
        <v>155</v>
      </c>
      <c r="B16" s="111"/>
      <c r="C16" s="110" t="s">
        <v>173</v>
      </c>
      <c r="D16" s="112"/>
      <c r="E16" s="112"/>
      <c r="F16" s="112"/>
      <c r="G16" s="112"/>
      <c r="H16" s="111"/>
    </row>
    <row r="17" spans="1:8" ht="15.75" customHeight="1" x14ac:dyDescent="0.3">
      <c r="A17" s="70" t="s">
        <v>11</v>
      </c>
      <c r="B17" s="70"/>
      <c r="C17" s="74" t="s">
        <v>178</v>
      </c>
      <c r="D17" s="74"/>
      <c r="E17" s="70" t="s">
        <v>156</v>
      </c>
      <c r="F17" s="70"/>
      <c r="G17" s="73" t="s">
        <v>173</v>
      </c>
      <c r="H17" s="73"/>
    </row>
    <row r="18" spans="1:8" x14ac:dyDescent="0.3">
      <c r="A18" s="72" t="s">
        <v>13</v>
      </c>
      <c r="B18" s="72"/>
      <c r="C18" s="73" t="s">
        <v>176</v>
      </c>
      <c r="D18" s="73"/>
      <c r="E18" s="70" t="s">
        <v>12</v>
      </c>
      <c r="F18" s="70"/>
      <c r="G18" s="118" t="s">
        <v>174</v>
      </c>
      <c r="H18" s="118"/>
    </row>
    <row r="19" spans="1:8" x14ac:dyDescent="0.3">
      <c r="A19" s="72" t="s">
        <v>74</v>
      </c>
      <c r="B19" s="72"/>
      <c r="C19" s="73" t="s">
        <v>175</v>
      </c>
      <c r="D19" s="73"/>
      <c r="E19" s="70" t="s">
        <v>14</v>
      </c>
      <c r="F19" s="70"/>
      <c r="G19" s="73">
        <v>421503</v>
      </c>
      <c r="H19" s="73"/>
    </row>
    <row r="20" spans="1:8" ht="32.25" customHeight="1" x14ac:dyDescent="0.3">
      <c r="A20" s="72" t="s">
        <v>116</v>
      </c>
      <c r="B20" s="72"/>
      <c r="C20" s="73" t="s">
        <v>177</v>
      </c>
      <c r="D20" s="73"/>
      <c r="E20" s="70" t="s">
        <v>15</v>
      </c>
      <c r="F20" s="70"/>
      <c r="G20" s="73" t="s">
        <v>179</v>
      </c>
      <c r="H20" s="73"/>
    </row>
    <row r="21" spans="1:8" ht="15" customHeight="1" x14ac:dyDescent="0.3">
      <c r="A21" s="70" t="s">
        <v>76</v>
      </c>
      <c r="B21" s="70"/>
      <c r="C21" s="70"/>
      <c r="D21" s="70"/>
      <c r="E21" s="74" t="s">
        <v>16</v>
      </c>
      <c r="F21" s="74"/>
      <c r="G21" s="74"/>
      <c r="H21" s="74"/>
    </row>
    <row r="22" spans="1:8" ht="18.75" customHeight="1" x14ac:dyDescent="0.3">
      <c r="A22" s="70"/>
      <c r="B22" s="70"/>
      <c r="C22" s="70"/>
      <c r="D22" s="70"/>
      <c r="E22" s="74"/>
      <c r="F22" s="74"/>
      <c r="G22" s="74"/>
      <c r="H22" s="74"/>
    </row>
    <row r="23" spans="1:8" ht="15" customHeight="1" x14ac:dyDescent="0.3">
      <c r="A23" s="70" t="s">
        <v>17</v>
      </c>
      <c r="B23" s="70"/>
      <c r="C23" s="70"/>
      <c r="D23" s="70"/>
      <c r="E23" s="73" t="s">
        <v>18</v>
      </c>
      <c r="F23" s="73"/>
      <c r="G23" s="73"/>
      <c r="H23" s="73"/>
    </row>
    <row r="24" spans="1:8" ht="15" customHeight="1" x14ac:dyDescent="0.3">
      <c r="A24" s="72" t="s">
        <v>19</v>
      </c>
      <c r="B24" s="72"/>
      <c r="C24" s="72"/>
      <c r="D24" s="72"/>
      <c r="E24" s="73" t="str">
        <f>IF(AND(G18="Mumbai"),"Upper Class","Middle Class")</f>
        <v>Middle Class</v>
      </c>
      <c r="F24" s="73"/>
      <c r="G24" s="73"/>
      <c r="H24" s="73"/>
    </row>
    <row r="25" spans="1:8" x14ac:dyDescent="0.3">
      <c r="A25" s="72" t="s">
        <v>20</v>
      </c>
      <c r="B25" s="72"/>
      <c r="C25" s="72"/>
      <c r="D25" s="72"/>
      <c r="E25" s="73" t="s">
        <v>21</v>
      </c>
      <c r="F25" s="73"/>
      <c r="G25" s="73"/>
      <c r="H25" s="73"/>
    </row>
    <row r="26" spans="1:8" ht="15.75" customHeight="1" x14ac:dyDescent="0.3">
      <c r="A26" s="72" t="s">
        <v>22</v>
      </c>
      <c r="B26" s="72"/>
      <c r="C26" s="72"/>
      <c r="D26" s="72"/>
      <c r="E26" s="73" t="str">
        <f>IF(AND(G18="Mumbai"),"Developed","Developing")</f>
        <v>Developing</v>
      </c>
      <c r="F26" s="73"/>
      <c r="G26" s="73"/>
      <c r="H26" s="73"/>
    </row>
    <row r="27" spans="1:8" x14ac:dyDescent="0.3">
      <c r="A27" s="72" t="s">
        <v>23</v>
      </c>
      <c r="B27" s="72"/>
      <c r="C27" s="72"/>
      <c r="D27" s="72"/>
      <c r="E27" s="73" t="s">
        <v>24</v>
      </c>
      <c r="F27" s="73"/>
      <c r="G27" s="73"/>
      <c r="H27" s="73"/>
    </row>
    <row r="28" spans="1:8" ht="15.75" customHeight="1" x14ac:dyDescent="0.3">
      <c r="A28" s="72" t="s">
        <v>81</v>
      </c>
      <c r="B28" s="72"/>
      <c r="C28" s="72"/>
      <c r="D28" s="72"/>
      <c r="E28" s="73" t="s">
        <v>82</v>
      </c>
      <c r="F28" s="73"/>
      <c r="G28" s="73"/>
      <c r="H28" s="73"/>
    </row>
    <row r="29" spans="1:8" ht="15" customHeight="1" x14ac:dyDescent="0.3">
      <c r="A29" s="72" t="s">
        <v>33</v>
      </c>
      <c r="B29" s="72"/>
      <c r="C29" s="72"/>
      <c r="D29" s="72"/>
      <c r="E29" s="7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73"/>
      <c r="G29" s="73"/>
      <c r="H29" s="73"/>
    </row>
    <row r="30" spans="1:8" ht="15.75" customHeight="1" x14ac:dyDescent="0.3">
      <c r="A30" s="72" t="s">
        <v>93</v>
      </c>
      <c r="B30" s="72"/>
      <c r="C30" s="72"/>
      <c r="D30" s="72"/>
      <c r="E30" s="73" t="s">
        <v>34</v>
      </c>
      <c r="F30" s="73"/>
      <c r="G30" s="73"/>
      <c r="H30" s="73"/>
    </row>
    <row r="31" spans="1:8" s="21" customFormat="1" x14ac:dyDescent="0.3">
      <c r="A31" s="122" t="s">
        <v>94</v>
      </c>
      <c r="B31" s="122"/>
      <c r="C31" s="119" t="s">
        <v>29</v>
      </c>
      <c r="D31" s="119"/>
      <c r="E31" s="119"/>
      <c r="F31" s="119" t="s">
        <v>31</v>
      </c>
      <c r="G31" s="119"/>
      <c r="H31" s="119"/>
    </row>
    <row r="32" spans="1:8" s="21" customFormat="1" x14ac:dyDescent="0.3">
      <c r="A32" s="121" t="s">
        <v>25</v>
      </c>
      <c r="B32" s="121" t="s">
        <v>30</v>
      </c>
      <c r="C32" s="120" t="s">
        <v>30</v>
      </c>
      <c r="D32" s="120"/>
      <c r="E32" s="120"/>
      <c r="F32" s="120" t="s">
        <v>168</v>
      </c>
      <c r="G32" s="120"/>
      <c r="H32" s="120"/>
    </row>
    <row r="33" spans="1:8" x14ac:dyDescent="0.3">
      <c r="A33" s="121" t="s">
        <v>26</v>
      </c>
      <c r="B33" s="121" t="s">
        <v>30</v>
      </c>
      <c r="C33" s="120" t="s">
        <v>30</v>
      </c>
      <c r="D33" s="120"/>
      <c r="E33" s="120"/>
      <c r="F33" s="120" t="s">
        <v>169</v>
      </c>
      <c r="G33" s="120"/>
      <c r="H33" s="120"/>
    </row>
    <row r="34" spans="1:8" s="21" customFormat="1" x14ac:dyDescent="0.3">
      <c r="A34" s="121" t="s">
        <v>28</v>
      </c>
      <c r="B34" s="121" t="s">
        <v>30</v>
      </c>
      <c r="C34" s="120" t="s">
        <v>30</v>
      </c>
      <c r="D34" s="120"/>
      <c r="E34" s="120"/>
      <c r="F34" s="120" t="s">
        <v>170</v>
      </c>
      <c r="G34" s="120"/>
      <c r="H34" s="120"/>
    </row>
    <row r="35" spans="1:8" x14ac:dyDescent="0.3">
      <c r="A35" s="121" t="s">
        <v>27</v>
      </c>
      <c r="B35" s="121" t="s">
        <v>30</v>
      </c>
      <c r="C35" s="120" t="s">
        <v>30</v>
      </c>
      <c r="D35" s="120"/>
      <c r="E35" s="120"/>
      <c r="F35" s="120" t="s">
        <v>171</v>
      </c>
      <c r="G35" s="120"/>
      <c r="H35" s="120"/>
    </row>
    <row r="36" spans="1:8" x14ac:dyDescent="0.3">
      <c r="A36" s="72" t="s">
        <v>32</v>
      </c>
      <c r="B36" s="72"/>
      <c r="C36" s="72"/>
      <c r="D36" s="72"/>
      <c r="E36" s="72"/>
      <c r="F36" s="72"/>
      <c r="G36" s="72"/>
      <c r="H36" s="72"/>
    </row>
    <row r="37" spans="1:8" ht="15.75" customHeight="1" x14ac:dyDescent="0.3">
      <c r="A37" s="72" t="s">
        <v>204</v>
      </c>
      <c r="B37" s="72"/>
      <c r="C37" s="190" t="s">
        <v>205</v>
      </c>
      <c r="D37" s="190"/>
      <c r="E37" s="190"/>
      <c r="F37" s="190"/>
      <c r="G37" s="190"/>
      <c r="H37" s="190"/>
    </row>
    <row r="38" spans="1:8" x14ac:dyDescent="0.3">
      <c r="A38" s="72" t="s">
        <v>154</v>
      </c>
      <c r="B38" s="72"/>
      <c r="C38" s="182" t="s">
        <v>167</v>
      </c>
      <c r="D38" s="183"/>
      <c r="E38" s="183"/>
      <c r="F38" s="183"/>
      <c r="G38" s="183"/>
      <c r="H38" s="183"/>
    </row>
    <row r="39" spans="1:8" x14ac:dyDescent="0.3">
      <c r="A39" s="101" t="s">
        <v>35</v>
      </c>
      <c r="B39" s="101"/>
      <c r="C39" s="101"/>
      <c r="D39" s="101"/>
      <c r="E39" s="101"/>
      <c r="F39" s="101"/>
      <c r="G39" s="101"/>
      <c r="H39" s="101"/>
    </row>
    <row r="40" spans="1:8" x14ac:dyDescent="0.3">
      <c r="A40" s="72" t="s">
        <v>36</v>
      </c>
      <c r="B40" s="72"/>
      <c r="C40" s="72"/>
      <c r="D40" s="72"/>
      <c r="E40" s="123">
        <v>7552.5</v>
      </c>
      <c r="F40" s="123"/>
      <c r="G40" s="123"/>
      <c r="H40" s="123"/>
    </row>
    <row r="41" spans="1:8" x14ac:dyDescent="0.3">
      <c r="A41" s="72" t="s">
        <v>37</v>
      </c>
      <c r="B41" s="72"/>
      <c r="C41" s="72"/>
      <c r="D41" s="72"/>
      <c r="E41" s="96">
        <v>1.1000000000000001</v>
      </c>
      <c r="F41" s="96"/>
      <c r="G41" s="96"/>
      <c r="H41" s="96"/>
    </row>
    <row r="42" spans="1:8" x14ac:dyDescent="0.3">
      <c r="A42" s="72" t="s">
        <v>38</v>
      </c>
      <c r="B42" s="72"/>
      <c r="C42" s="72"/>
      <c r="D42" s="72"/>
      <c r="E42" s="96">
        <f>E44/E40-E41</f>
        <v>1.3827408142999009</v>
      </c>
      <c r="F42" s="96"/>
      <c r="G42" s="96"/>
      <c r="H42" s="96"/>
    </row>
    <row r="43" spans="1:8" x14ac:dyDescent="0.3">
      <c r="A43" s="72" t="s">
        <v>39</v>
      </c>
      <c r="B43" s="72"/>
      <c r="C43" s="72"/>
      <c r="D43" s="72"/>
      <c r="E43" s="96">
        <f>E41+E42</f>
        <v>2.482740814299901</v>
      </c>
      <c r="F43" s="96"/>
      <c r="G43" s="96"/>
      <c r="H43" s="96"/>
    </row>
    <row r="44" spans="1:8" x14ac:dyDescent="0.3">
      <c r="A44" s="72" t="s">
        <v>92</v>
      </c>
      <c r="B44" s="72"/>
      <c r="C44" s="72"/>
      <c r="D44" s="72"/>
      <c r="E44" s="97">
        <v>18750.900000000001</v>
      </c>
      <c r="F44" s="97"/>
      <c r="G44" s="97"/>
      <c r="H44" s="97"/>
    </row>
    <row r="45" spans="1:8" x14ac:dyDescent="0.3">
      <c r="A45" s="74" t="s">
        <v>40</v>
      </c>
      <c r="B45" s="74"/>
      <c r="C45" s="74"/>
      <c r="D45" s="74"/>
      <c r="E45" s="74" t="s">
        <v>195</v>
      </c>
      <c r="F45" s="74"/>
      <c r="G45" s="74"/>
      <c r="H45" s="74"/>
    </row>
    <row r="46" spans="1:8" x14ac:dyDescent="0.3">
      <c r="A46" s="101" t="s">
        <v>41</v>
      </c>
      <c r="B46" s="101"/>
      <c r="C46" s="101"/>
      <c r="D46" s="101"/>
      <c r="E46" s="101"/>
      <c r="F46" s="101"/>
      <c r="G46" s="101"/>
      <c r="H46" s="101"/>
    </row>
    <row r="47" spans="1:8" ht="33.75" customHeight="1" x14ac:dyDescent="0.3">
      <c r="A47" s="63" t="s">
        <v>145</v>
      </c>
      <c r="B47" s="65"/>
      <c r="C47" s="175" t="s">
        <v>163</v>
      </c>
      <c r="D47" s="176"/>
      <c r="E47" s="176"/>
      <c r="F47" s="176"/>
      <c r="G47" s="176"/>
      <c r="H47" s="177"/>
    </row>
    <row r="48" spans="1:8" ht="15.75" customHeight="1" x14ac:dyDescent="0.3">
      <c r="A48" s="63" t="s">
        <v>42</v>
      </c>
      <c r="B48" s="65"/>
      <c r="C48" s="63" t="s">
        <v>165</v>
      </c>
      <c r="D48" s="64"/>
      <c r="E48" s="65"/>
      <c r="F48" s="17" t="s">
        <v>43</v>
      </c>
      <c r="G48" s="71">
        <v>44259</v>
      </c>
      <c r="H48" s="65"/>
    </row>
    <row r="49" spans="1:14" x14ac:dyDescent="0.3">
      <c r="A49" s="63" t="s">
        <v>44</v>
      </c>
      <c r="B49" s="65"/>
      <c r="C49" s="63" t="str">
        <f>C48</f>
        <v>KBNP/NRV/BP/1965-87</v>
      </c>
      <c r="D49" s="64"/>
      <c r="E49" s="65"/>
      <c r="F49" s="17" t="s">
        <v>43</v>
      </c>
      <c r="G49" s="71">
        <f>G48</f>
        <v>44259</v>
      </c>
      <c r="H49" s="129"/>
    </row>
    <row r="50" spans="1:14" s="22" customFormat="1" ht="30.75" customHeight="1" x14ac:dyDescent="0.3">
      <c r="A50" s="130" t="s">
        <v>149</v>
      </c>
      <c r="B50" s="131"/>
      <c r="C50" s="63" t="s">
        <v>207</v>
      </c>
      <c r="D50" s="64"/>
      <c r="E50" s="65"/>
      <c r="F50" s="17" t="s">
        <v>43</v>
      </c>
      <c r="G50" s="71">
        <v>44259</v>
      </c>
      <c r="H50" s="65"/>
    </row>
    <row r="51" spans="1:14" s="22" customFormat="1" ht="33.75" customHeight="1" x14ac:dyDescent="0.3">
      <c r="A51" s="132"/>
      <c r="B51" s="133"/>
      <c r="C51" s="63" t="s">
        <v>164</v>
      </c>
      <c r="D51" s="64"/>
      <c r="E51" s="64"/>
      <c r="F51" s="64"/>
      <c r="G51" s="64"/>
      <c r="H51" s="65"/>
    </row>
    <row r="52" spans="1:14" x14ac:dyDescent="0.3">
      <c r="A52" s="77" t="s">
        <v>157</v>
      </c>
      <c r="B52" s="78"/>
      <c r="C52" s="66" t="s">
        <v>30</v>
      </c>
      <c r="D52" s="67"/>
      <c r="E52" s="68"/>
      <c r="F52" s="49" t="s">
        <v>43</v>
      </c>
      <c r="G52" s="75" t="s">
        <v>30</v>
      </c>
      <c r="H52" s="76"/>
    </row>
    <row r="53" spans="1:14" hidden="1" x14ac:dyDescent="0.3">
      <c r="A53" s="79"/>
      <c r="B53" s="80"/>
      <c r="C53" s="66" t="s">
        <v>30</v>
      </c>
      <c r="D53" s="67"/>
      <c r="E53" s="67"/>
      <c r="F53" s="67"/>
      <c r="G53" s="67"/>
      <c r="H53" s="68"/>
    </row>
    <row r="54" spans="1:14" x14ac:dyDescent="0.3">
      <c r="A54" s="69" t="s">
        <v>46</v>
      </c>
      <c r="B54" s="69"/>
      <c r="C54" s="69"/>
      <c r="D54" s="69"/>
      <c r="E54" s="69"/>
      <c r="F54" s="69"/>
      <c r="G54" s="69"/>
      <c r="H54" s="69"/>
    </row>
    <row r="55" spans="1:14" x14ac:dyDescent="0.3">
      <c r="A55" s="70" t="s">
        <v>91</v>
      </c>
      <c r="B55" s="70"/>
      <c r="C55" s="70"/>
      <c r="D55" s="72">
        <f>E44</f>
        <v>18750.900000000001</v>
      </c>
      <c r="E55" s="72"/>
      <c r="F55" s="72"/>
      <c r="G55" s="72"/>
      <c r="H55" s="72"/>
    </row>
    <row r="56" spans="1:14" x14ac:dyDescent="0.3">
      <c r="A56" s="73" t="s">
        <v>47</v>
      </c>
      <c r="B56" s="74"/>
      <c r="C56" s="74"/>
      <c r="D56" s="74" t="s">
        <v>189</v>
      </c>
      <c r="E56" s="74"/>
      <c r="F56" s="74"/>
      <c r="G56" s="74"/>
      <c r="H56" s="74"/>
      <c r="I56" s="23"/>
    </row>
    <row r="57" spans="1:14" ht="31.5" customHeight="1" x14ac:dyDescent="0.3">
      <c r="A57" s="126" t="s">
        <v>48</v>
      </c>
      <c r="B57" s="127"/>
      <c r="C57" s="128"/>
      <c r="D57" s="124" t="s">
        <v>164</v>
      </c>
      <c r="E57" s="125"/>
      <c r="F57" s="125"/>
      <c r="G57" s="125"/>
      <c r="H57" s="125"/>
    </row>
    <row r="58" spans="1:14" ht="15.75" customHeight="1" x14ac:dyDescent="0.3">
      <c r="A58" s="126" t="s">
        <v>89</v>
      </c>
      <c r="B58" s="127"/>
      <c r="C58" s="127"/>
      <c r="D58" s="136" t="s">
        <v>196</v>
      </c>
      <c r="E58" s="137"/>
      <c r="F58" s="137"/>
      <c r="G58" s="137"/>
      <c r="H58" s="138"/>
    </row>
    <row r="59" spans="1:14" ht="15.75" customHeight="1" x14ac:dyDescent="0.3">
      <c r="A59" s="134"/>
      <c r="B59" s="135"/>
      <c r="C59" s="135"/>
      <c r="D59" s="139" t="s">
        <v>201</v>
      </c>
      <c r="E59" s="140"/>
      <c r="F59" s="140"/>
      <c r="G59" s="140"/>
      <c r="H59" s="141"/>
    </row>
    <row r="60" spans="1:14" ht="15.75" customHeight="1" x14ac:dyDescent="0.3">
      <c r="A60" s="72" t="s">
        <v>45</v>
      </c>
      <c r="B60" s="72"/>
      <c r="C60" s="72"/>
      <c r="D60" s="143" t="s">
        <v>166</v>
      </c>
      <c r="E60" s="143"/>
      <c r="F60" s="143"/>
      <c r="G60" s="143"/>
      <c r="H60" s="143"/>
      <c r="J60" s="24"/>
      <c r="K60" s="23"/>
      <c r="N60" s="23"/>
    </row>
    <row r="61" spans="1:14" ht="15.75" customHeight="1" x14ac:dyDescent="0.3">
      <c r="A61" s="72" t="s">
        <v>87</v>
      </c>
      <c r="B61" s="72"/>
      <c r="C61" s="72"/>
      <c r="D61" s="155" t="str">
        <f>(IF(G52="NA","60 Years After Completion",IF(G52&lt;&gt;"NA",""&amp;60-ROUNDDOWN((E3-G52)/360,0)&amp;" Years"," ")))</f>
        <v>60 Years After Completion</v>
      </c>
      <c r="E61" s="155"/>
      <c r="F61" s="155"/>
      <c r="G61" s="155"/>
      <c r="H61" s="155"/>
      <c r="N61" s="23"/>
    </row>
    <row r="62" spans="1:14" ht="15.75" customHeight="1" x14ac:dyDescent="0.3">
      <c r="A62" s="72" t="s">
        <v>88</v>
      </c>
      <c r="B62" s="72"/>
      <c r="C62" s="72"/>
      <c r="D62" s="70" t="s">
        <v>24</v>
      </c>
      <c r="E62" s="70"/>
      <c r="F62" s="70"/>
      <c r="G62" s="70"/>
      <c r="H62" s="70"/>
      <c r="J62" s="25"/>
      <c r="K62" s="25"/>
    </row>
    <row r="63" spans="1:14" ht="30.75" customHeight="1" x14ac:dyDescent="0.3">
      <c r="A63" s="72" t="s">
        <v>75</v>
      </c>
      <c r="B63" s="72"/>
      <c r="C63" s="72"/>
      <c r="D63" s="73" t="s">
        <v>200</v>
      </c>
      <c r="E63" s="70"/>
      <c r="F63" s="70"/>
      <c r="G63" s="70"/>
      <c r="H63" s="70"/>
    </row>
    <row r="64" spans="1:14" x14ac:dyDescent="0.3">
      <c r="A64" s="70" t="s">
        <v>142</v>
      </c>
      <c r="B64" s="70"/>
      <c r="C64" s="70"/>
      <c r="D64" s="70" t="s">
        <v>30</v>
      </c>
      <c r="E64" s="70"/>
      <c r="F64" s="70"/>
      <c r="G64" s="70"/>
      <c r="H64" s="70"/>
      <c r="I64" s="26"/>
      <c r="J64" s="26"/>
      <c r="K64" s="26"/>
      <c r="L64" s="26"/>
      <c r="M64" s="26"/>
      <c r="N64" s="26"/>
    </row>
    <row r="65" spans="1:10" ht="15.75" customHeight="1" x14ac:dyDescent="0.3">
      <c r="A65" s="72" t="s">
        <v>86</v>
      </c>
      <c r="B65" s="72"/>
      <c r="C65" s="72"/>
      <c r="D65" s="73" t="str">
        <f ca="1">(IF(G71&gt;95%,"Nothing",IF(G71&gt;0%,"Cement, Aggregate, Steel, etc",IF(G71=0%,"Work not yet Started"))))</f>
        <v>Cement, Aggregate, Steel, etc</v>
      </c>
      <c r="E65" s="73"/>
      <c r="F65" s="73"/>
      <c r="G65" s="73"/>
      <c r="H65" s="73"/>
      <c r="J65" s="25"/>
    </row>
    <row r="66" spans="1:10" ht="33.75" customHeight="1" thickBot="1" x14ac:dyDescent="0.35">
      <c r="A66" s="70" t="s">
        <v>112</v>
      </c>
      <c r="B66" s="70"/>
      <c r="C66" s="70"/>
      <c r="D66" s="73" t="str">
        <f ca="1">(IF(D65="Nothing","Yes",IF(D65="Cement, Aggregate, Steel, etc","Under Construction",IF(D65="Work not yet Started","Work not yet Started"))))</f>
        <v>Under Construction</v>
      </c>
      <c r="E66" s="73"/>
      <c r="F66" s="73" t="str">
        <f ca="1">(IF(D65="Nothing","Yes",IF(D65="Cement, Aggregate, Steel, etc","Under Construction",IF(D65="Work not yet Started","Work not yet Started"))))</f>
        <v>Under Construction</v>
      </c>
      <c r="G66" s="73"/>
      <c r="H66" s="73"/>
    </row>
    <row r="67" spans="1:10" ht="15.75" customHeight="1" x14ac:dyDescent="0.3">
      <c r="A67" s="157" t="s">
        <v>134</v>
      </c>
      <c r="B67" s="157"/>
      <c r="C67" s="157" t="str">
        <f>D58</f>
        <v>Wing A = Gr/Stilt + 1st to 14th Floor</v>
      </c>
      <c r="D67" s="157"/>
      <c r="E67" s="157"/>
      <c r="F67" s="157"/>
      <c r="G67" s="157"/>
      <c r="H67" s="157"/>
      <c r="I67" s="62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9 Floor, Painting upto 8 Floor, Finishing upto 3 Floor Completed</v>
      </c>
      <c r="J67" s="46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9 Floor, Painting upto 8 Floor, Finishing upto 3 Floor</v>
      </c>
    </row>
    <row r="68" spans="1:10" x14ac:dyDescent="0.3">
      <c r="A68" s="15" t="s">
        <v>136</v>
      </c>
      <c r="B68" s="51">
        <v>0</v>
      </c>
      <c r="C68" s="51" t="s">
        <v>73</v>
      </c>
      <c r="D68" s="51">
        <v>1</v>
      </c>
      <c r="E68" s="51" t="s">
        <v>72</v>
      </c>
      <c r="F68" s="51">
        <v>0</v>
      </c>
      <c r="G68" s="51" t="s">
        <v>80</v>
      </c>
      <c r="H68" s="16">
        <f ca="1">--TRIM(RIGHT(SUBSTITUTE(LEFT(C67,_xlfn.AGGREGATE(16,6,FIND({0,1,2,3,4,5,6,7,8,9},C67,ROW(INDIRECT("1:"&amp;LEN(C67)))),1))," ",REPT(" ",LEN(C67))),LEN(C67)))</f>
        <v>14</v>
      </c>
      <c r="I68" s="4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8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6.2" customHeight="1" x14ac:dyDescent="0.3">
      <c r="A69" s="156" t="s">
        <v>90</v>
      </c>
      <c r="B69" s="115"/>
      <c r="C69" s="158" t="str">
        <f ca="1">(IF($C$53=C67,"All work Completed. OC Received.",I67))</f>
        <v>Excavation, Plinth, RCC Slab, Brickwork, Internal Plaster, External Plaster Completed, Flooring upto 9 Floor, Painting upto 8 Floor, Finishing upto 3 Floor Completed</v>
      </c>
      <c r="D69" s="158"/>
      <c r="E69" s="158"/>
      <c r="F69" s="158"/>
      <c r="G69" s="158"/>
      <c r="H69" s="159"/>
      <c r="I69" s="47" t="str">
        <f ca="1">IF(I68&lt;&gt;""," Completed","")</f>
        <v xml:space="preserve"> Completed</v>
      </c>
      <c r="J69" s="48" t="str">
        <f ca="1">IF(J67&lt;&gt;"","Completed","")</f>
        <v>Completed</v>
      </c>
    </row>
    <row r="70" spans="1:10" ht="15.75" customHeight="1" x14ac:dyDescent="0.3">
      <c r="A70" s="85" t="s">
        <v>49</v>
      </c>
      <c r="B70" s="86"/>
      <c r="C70" s="41" t="s">
        <v>133</v>
      </c>
      <c r="D70" s="41" t="s">
        <v>83</v>
      </c>
      <c r="E70" s="86" t="s">
        <v>85</v>
      </c>
      <c r="F70" s="86"/>
      <c r="G70" s="86" t="s">
        <v>84</v>
      </c>
      <c r="H70" s="142"/>
      <c r="I70" s="13" t="s">
        <v>135</v>
      </c>
      <c r="J70" s="27">
        <f ca="1">H68*25%</f>
        <v>3.5</v>
      </c>
    </row>
    <row r="71" spans="1:10" x14ac:dyDescent="0.3">
      <c r="A71" s="85" t="s">
        <v>122</v>
      </c>
      <c r="B71" s="86"/>
      <c r="C71" s="41">
        <f ca="1">J72</f>
        <v>14</v>
      </c>
      <c r="D71" s="18">
        <f ca="1">((100/H68)*C71)/100</f>
        <v>1</v>
      </c>
      <c r="E71" s="144">
        <f ca="1">(((C72/H68*10)+(40/(D68+F68+H68)*C73)+(7.5/(H68)*C74)+(7.5/(H68)*C75)+(10/H68*C76)+(10/H68*C77)+(5/H68*C78)+(5/H68*C79)+(5/H68*C80))/100)</f>
        <v>0.85357142857142865</v>
      </c>
      <c r="F71" s="145"/>
      <c r="G71" s="144">
        <f ca="1">((((C71/H68)*20)+((C72/H68)*25)+(30/(H68+F68+D68)*C73)+(5/H68*C74)+(5/H68*C75)+(5/H68*C76)+(5/H68*C77)+(0/H68*C78)+(0/H68*C79)+(5/H68*C80))/100)</f>
        <v>0.93214285714285705</v>
      </c>
      <c r="H71" s="150"/>
      <c r="I71" s="13" t="s">
        <v>95</v>
      </c>
      <c r="J71" s="28">
        <f ca="1">H68*50%</f>
        <v>7</v>
      </c>
    </row>
    <row r="72" spans="1:10" x14ac:dyDescent="0.3">
      <c r="A72" s="85" t="s">
        <v>50</v>
      </c>
      <c r="B72" s="86"/>
      <c r="C72" s="52">
        <v>14</v>
      </c>
      <c r="D72" s="18">
        <f ca="1">((100/H68)*C72)/100</f>
        <v>1</v>
      </c>
      <c r="E72" s="146"/>
      <c r="F72" s="147"/>
      <c r="G72" s="146"/>
      <c r="H72" s="151"/>
      <c r="I72" s="13" t="s">
        <v>96</v>
      </c>
      <c r="J72" s="28">
        <f ca="1">H68</f>
        <v>14</v>
      </c>
    </row>
    <row r="73" spans="1:10" ht="15.75" customHeight="1" x14ac:dyDescent="0.3">
      <c r="A73" s="85" t="s">
        <v>123</v>
      </c>
      <c r="B73" s="86"/>
      <c r="C73" s="41">
        <v>15</v>
      </c>
      <c r="D73" s="18">
        <f ca="1">((100/(D68+F68+H68))*C73)/100</f>
        <v>1</v>
      </c>
      <c r="E73" s="146"/>
      <c r="F73" s="147"/>
      <c r="G73" s="146"/>
      <c r="H73" s="151"/>
      <c r="I73" s="13" t="s">
        <v>97</v>
      </c>
      <c r="J73" s="29">
        <f ca="1">(IF(B68&gt;1,(H68/(B68+2)),H68/4))</f>
        <v>3.5</v>
      </c>
    </row>
    <row r="74" spans="1:10" ht="15.75" customHeight="1" x14ac:dyDescent="0.3">
      <c r="A74" s="85" t="s">
        <v>130</v>
      </c>
      <c r="B74" s="86" t="s">
        <v>124</v>
      </c>
      <c r="C74" s="41">
        <v>14</v>
      </c>
      <c r="D74" s="18">
        <f ca="1">((100/H68)*C74)/100</f>
        <v>1</v>
      </c>
      <c r="E74" s="146"/>
      <c r="F74" s="147"/>
      <c r="G74" s="146"/>
      <c r="H74" s="151"/>
      <c r="I74" s="13" t="s">
        <v>98</v>
      </c>
      <c r="J74" s="29">
        <f ca="1">(IF(B68&gt;1,(H68/(B68+2)+J73),H68/4+J73))</f>
        <v>7</v>
      </c>
    </row>
    <row r="75" spans="1:10" ht="15.75" customHeight="1" x14ac:dyDescent="0.3">
      <c r="A75" s="85" t="s">
        <v>131</v>
      </c>
      <c r="B75" s="86" t="s">
        <v>124</v>
      </c>
      <c r="C75" s="41">
        <v>14</v>
      </c>
      <c r="D75" s="18">
        <f ca="1">((100/H68)*C75)/100</f>
        <v>1</v>
      </c>
      <c r="E75" s="146"/>
      <c r="F75" s="147"/>
      <c r="G75" s="146"/>
      <c r="H75" s="151"/>
      <c r="I75" s="13" t="s">
        <v>140</v>
      </c>
      <c r="J75" s="29">
        <f>(IF(B68&gt;1,(H68/(B68+2)+J74),0))</f>
        <v>0</v>
      </c>
    </row>
    <row r="76" spans="1:10" ht="15" customHeight="1" x14ac:dyDescent="0.3">
      <c r="A76" s="85" t="s">
        <v>129</v>
      </c>
      <c r="B76" s="86" t="s">
        <v>126</v>
      </c>
      <c r="C76" s="41">
        <v>14</v>
      </c>
      <c r="D76" s="18">
        <f ca="1">((100/(H68))*C76)/100</f>
        <v>1</v>
      </c>
      <c r="E76" s="146"/>
      <c r="F76" s="147"/>
      <c r="G76" s="146"/>
      <c r="H76" s="151"/>
      <c r="I76" s="13" t="s">
        <v>137</v>
      </c>
      <c r="J76" s="29">
        <f>(IF(B68&gt;2,(H68/(B68+2)+J75),0))</f>
        <v>0</v>
      </c>
    </row>
    <row r="77" spans="1:10" ht="15.75" customHeight="1" x14ac:dyDescent="0.3">
      <c r="A77" s="85" t="s">
        <v>125</v>
      </c>
      <c r="B77" s="86" t="s">
        <v>125</v>
      </c>
      <c r="C77" s="41">
        <v>9</v>
      </c>
      <c r="D77" s="18">
        <f ca="1">((100/H68)*C77)/100</f>
        <v>0.6428571428571429</v>
      </c>
      <c r="E77" s="146"/>
      <c r="F77" s="147"/>
      <c r="G77" s="146"/>
      <c r="H77" s="151"/>
      <c r="I77" s="13" t="s">
        <v>138</v>
      </c>
      <c r="J77" s="30">
        <f>(IF(B68&gt;3,(H68/(B68+2)+J76),0))</f>
        <v>0</v>
      </c>
    </row>
    <row r="78" spans="1:10" ht="15.75" customHeight="1" x14ac:dyDescent="0.3">
      <c r="A78" s="85" t="s">
        <v>132</v>
      </c>
      <c r="B78" s="86"/>
      <c r="C78" s="41">
        <v>8</v>
      </c>
      <c r="D78" s="18">
        <f ca="1">((100/H68)*C78)/100</f>
        <v>0.57142857142857151</v>
      </c>
      <c r="E78" s="146"/>
      <c r="F78" s="147"/>
      <c r="G78" s="146"/>
      <c r="H78" s="151"/>
      <c r="I78" s="13" t="s">
        <v>139</v>
      </c>
      <c r="J78" s="29">
        <f>(IF(B68&gt;4,(H68/(B68+2)+J77),0))</f>
        <v>0</v>
      </c>
    </row>
    <row r="79" spans="1:10" ht="15.75" customHeight="1" x14ac:dyDescent="0.3">
      <c r="A79" s="85" t="s">
        <v>127</v>
      </c>
      <c r="B79" s="86" t="s">
        <v>127</v>
      </c>
      <c r="C79" s="41">
        <v>3</v>
      </c>
      <c r="D79" s="18">
        <f ca="1">((100/(H68))*C79)/100</f>
        <v>0.2142857142857143</v>
      </c>
      <c r="E79" s="146"/>
      <c r="F79" s="147"/>
      <c r="G79" s="146"/>
      <c r="H79" s="151"/>
      <c r="I79" s="13" t="s">
        <v>141</v>
      </c>
      <c r="J79" s="29">
        <f ca="1">(IF(B68=1,(H68/(B68+3)+J74),IF(B68=0,(H68/4+J74),IF(B68&gt;1,0))))</f>
        <v>10.5</v>
      </c>
    </row>
    <row r="80" spans="1:10" ht="16.2" thickBot="1" x14ac:dyDescent="0.35">
      <c r="A80" s="153" t="s">
        <v>128</v>
      </c>
      <c r="B80" s="154"/>
      <c r="C80" s="42">
        <v>0</v>
      </c>
      <c r="D80" s="19">
        <f ca="1">((100/(H68))*C80)/100</f>
        <v>0</v>
      </c>
      <c r="E80" s="148"/>
      <c r="F80" s="149"/>
      <c r="G80" s="148"/>
      <c r="H80" s="152"/>
      <c r="I80" s="14" t="s">
        <v>99</v>
      </c>
      <c r="J80" s="31">
        <f ca="1">(IF(B68&gt;1.5,(H68/(B68+2)+J74+MAX(0,J75-J74)+MAX(0,J76-J75)+MAX(0,J77-J76)+MAX(0,J78-J77)+MAX(0,J79-J78)),IF(B68=1,(H68/(B68+3)+J79),IF(B68=0,H68/4+J79))))</f>
        <v>14</v>
      </c>
    </row>
    <row r="81" spans="1:12" ht="15.75" customHeight="1" x14ac:dyDescent="0.3">
      <c r="A81" s="87" t="s">
        <v>134</v>
      </c>
      <c r="B81" s="88"/>
      <c r="C81" s="89" t="str">
        <f>D59</f>
        <v>Wing B = Gr/Stilt + 1st to 13th Floor</v>
      </c>
      <c r="D81" s="90"/>
      <c r="E81" s="90"/>
      <c r="F81" s="90"/>
      <c r="G81" s="90"/>
      <c r="H81" s="91"/>
      <c r="I81" s="45" t="str">
        <f ca="1">IF(D94=100%,"All work Completed. Possession granted to the Building.",IF(D93=100%,"All work Completed, Waiting for OC",I82&amp;""&amp;I83&amp;""&amp;J82&amp;""&amp;J81&amp;" "&amp;J83))</f>
        <v>All work Completed. Possession granted to the Building.</v>
      </c>
      <c r="J81" s="46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2" x14ac:dyDescent="0.3">
      <c r="A82" s="15" t="s">
        <v>136</v>
      </c>
      <c r="B82" s="51">
        <v>0</v>
      </c>
      <c r="C82" s="51" t="s">
        <v>73</v>
      </c>
      <c r="D82" s="51">
        <v>1</v>
      </c>
      <c r="E82" s="51" t="s">
        <v>72</v>
      </c>
      <c r="F82" s="51">
        <v>0</v>
      </c>
      <c r="G82" s="51" t="s">
        <v>80</v>
      </c>
      <c r="H82" s="16">
        <f ca="1">--TRIM(RIGHT(SUBSTITUTE(LEFT(C81,_xlfn.AGGREGATE(16,6,FIND({0,1,2,3,4,5,6,7,8,9},C81,ROW(INDIRECT("1:"&amp;LEN(C81)))),1))," ",REPT(" ",LEN(C81))),LEN(C81)))</f>
        <v>13</v>
      </c>
      <c r="I82" s="47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2" s="48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2" x14ac:dyDescent="0.3">
      <c r="A83" s="156" t="s">
        <v>90</v>
      </c>
      <c r="B83" s="115"/>
      <c r="C83" s="158" t="s">
        <v>210</v>
      </c>
      <c r="D83" s="158"/>
      <c r="E83" s="158"/>
      <c r="F83" s="158"/>
      <c r="G83" s="158"/>
      <c r="H83" s="159"/>
      <c r="I83" s="47" t="str">
        <f ca="1">IF(I82&lt;&gt;""," Completed","")</f>
        <v xml:space="preserve"> Completed</v>
      </c>
      <c r="J83" s="48" t="str">
        <f ca="1">IF(J81&lt;&gt;"","Completed","")</f>
        <v/>
      </c>
    </row>
    <row r="84" spans="1:12" ht="15.75" customHeight="1" x14ac:dyDescent="0.3">
      <c r="A84" s="85" t="s">
        <v>49</v>
      </c>
      <c r="B84" s="86"/>
      <c r="C84" s="41" t="s">
        <v>133</v>
      </c>
      <c r="D84" s="41" t="s">
        <v>83</v>
      </c>
      <c r="E84" s="86" t="s">
        <v>85</v>
      </c>
      <c r="F84" s="86"/>
      <c r="G84" s="86" t="s">
        <v>84</v>
      </c>
      <c r="H84" s="142"/>
      <c r="I84" s="13" t="s">
        <v>135</v>
      </c>
      <c r="J84" s="27">
        <f ca="1">H82*25%</f>
        <v>3.25</v>
      </c>
    </row>
    <row r="85" spans="1:12" x14ac:dyDescent="0.3">
      <c r="A85" s="85" t="s">
        <v>122</v>
      </c>
      <c r="B85" s="86"/>
      <c r="C85" s="41">
        <f ca="1">J86</f>
        <v>13</v>
      </c>
      <c r="D85" s="18">
        <f ca="1">((100/H82)*C85)/100</f>
        <v>1</v>
      </c>
      <c r="E85" s="144">
        <f ca="1">(((C86/H82*10)+(40/(D82+F82+H82)*C87)+(7.5/(H82)*C88)+(7.5/(H82)*C89)+(10/H82*C90)+(10/H82*C91)+(5/H82*C92)+(5/H82*C93)+(5/H82*C94))/100)</f>
        <v>1</v>
      </c>
      <c r="F85" s="145"/>
      <c r="G85" s="144">
        <f ca="1">((((C85/H82)*20)+((C86/H82)*25)+(30/(H82+F82+D82)*C87)+(5/H82*C88)+(5/H82*C89)+(5/H82*C90)+(5/H82*C91)+(0/H82*C92)+(0/H82*C93)+(5/H82*C94))/100)</f>
        <v>1</v>
      </c>
      <c r="H85" s="150"/>
      <c r="I85" s="13" t="s">
        <v>95</v>
      </c>
      <c r="J85" s="28">
        <f ca="1">H82*50%</f>
        <v>6.5</v>
      </c>
    </row>
    <row r="86" spans="1:12" x14ac:dyDescent="0.3">
      <c r="A86" s="85" t="s">
        <v>50</v>
      </c>
      <c r="B86" s="86"/>
      <c r="C86" s="41">
        <f ca="1">J94</f>
        <v>13</v>
      </c>
      <c r="D86" s="18">
        <f ca="1">((100/H82)*C86)/100</f>
        <v>1</v>
      </c>
      <c r="E86" s="146"/>
      <c r="F86" s="147"/>
      <c r="G86" s="146"/>
      <c r="H86" s="151"/>
      <c r="I86" s="13" t="s">
        <v>96</v>
      </c>
      <c r="J86" s="28">
        <f ca="1">H82</f>
        <v>13</v>
      </c>
    </row>
    <row r="87" spans="1:12" ht="15.75" customHeight="1" x14ac:dyDescent="0.3">
      <c r="A87" s="85" t="s">
        <v>123</v>
      </c>
      <c r="B87" s="86"/>
      <c r="C87" s="41">
        <v>14</v>
      </c>
      <c r="D87" s="18">
        <f ca="1">((100/(D82+F82+H82))*C87)/100</f>
        <v>1</v>
      </c>
      <c r="E87" s="146"/>
      <c r="F87" s="147"/>
      <c r="G87" s="146"/>
      <c r="H87" s="151"/>
      <c r="I87" s="13" t="s">
        <v>97</v>
      </c>
      <c r="J87" s="29">
        <f ca="1">(IF(B82&gt;1,(H82/(B82+2)),H82/4))</f>
        <v>3.25</v>
      </c>
    </row>
    <row r="88" spans="1:12" ht="15.75" customHeight="1" x14ac:dyDescent="0.3">
      <c r="A88" s="85" t="s">
        <v>130</v>
      </c>
      <c r="B88" s="86" t="s">
        <v>124</v>
      </c>
      <c r="C88" s="41">
        <v>13</v>
      </c>
      <c r="D88" s="18">
        <f ca="1">((100/H82)*C88)/100</f>
        <v>1</v>
      </c>
      <c r="E88" s="146"/>
      <c r="F88" s="147"/>
      <c r="G88" s="146"/>
      <c r="H88" s="151"/>
      <c r="I88" s="13" t="s">
        <v>98</v>
      </c>
      <c r="J88" s="29">
        <f ca="1">(IF(B82&gt;1,(H82/(B82+2)+J87),H82/4+J87))</f>
        <v>6.5</v>
      </c>
    </row>
    <row r="89" spans="1:12" ht="15.75" customHeight="1" x14ac:dyDescent="0.3">
      <c r="A89" s="85" t="s">
        <v>131</v>
      </c>
      <c r="B89" s="86" t="s">
        <v>124</v>
      </c>
      <c r="C89" s="41">
        <v>13</v>
      </c>
      <c r="D89" s="18">
        <f ca="1">((100/H82)*C89)/100</f>
        <v>1</v>
      </c>
      <c r="E89" s="146"/>
      <c r="F89" s="147"/>
      <c r="G89" s="146"/>
      <c r="H89" s="151"/>
      <c r="I89" s="13" t="s">
        <v>140</v>
      </c>
      <c r="J89" s="29">
        <f>(IF(B82&gt;1,(H82/(B82+2)+J88),0))</f>
        <v>0</v>
      </c>
    </row>
    <row r="90" spans="1:12" ht="15" customHeight="1" x14ac:dyDescent="0.3">
      <c r="A90" s="85" t="s">
        <v>129</v>
      </c>
      <c r="B90" s="86" t="s">
        <v>126</v>
      </c>
      <c r="C90" s="41">
        <v>13</v>
      </c>
      <c r="D90" s="18">
        <f ca="1">((100/(H82))*C90)/100</f>
        <v>1</v>
      </c>
      <c r="E90" s="146"/>
      <c r="F90" s="147"/>
      <c r="G90" s="146"/>
      <c r="H90" s="151"/>
      <c r="I90" s="13" t="s">
        <v>137</v>
      </c>
      <c r="J90" s="29">
        <f>(IF(B82&gt;2,(H82/(B82+2)+J89),0))</f>
        <v>0</v>
      </c>
    </row>
    <row r="91" spans="1:12" ht="15.75" customHeight="1" x14ac:dyDescent="0.3">
      <c r="A91" s="85" t="s">
        <v>125</v>
      </c>
      <c r="B91" s="86" t="s">
        <v>125</v>
      </c>
      <c r="C91" s="41">
        <v>13</v>
      </c>
      <c r="D91" s="18">
        <f ca="1">((100/H82)*C91)/100</f>
        <v>1</v>
      </c>
      <c r="E91" s="146"/>
      <c r="F91" s="147"/>
      <c r="G91" s="146"/>
      <c r="H91" s="151"/>
      <c r="I91" s="13" t="s">
        <v>138</v>
      </c>
      <c r="J91" s="30">
        <f>(IF(B82&gt;3,(H82/(B82+2)+J90),0))</f>
        <v>0</v>
      </c>
    </row>
    <row r="92" spans="1:12" ht="15.75" customHeight="1" x14ac:dyDescent="0.3">
      <c r="A92" s="85" t="s">
        <v>132</v>
      </c>
      <c r="B92" s="86"/>
      <c r="C92" s="41">
        <v>13</v>
      </c>
      <c r="D92" s="18">
        <f ca="1">((100/H82)*C92)/100</f>
        <v>1</v>
      </c>
      <c r="E92" s="146"/>
      <c r="F92" s="147"/>
      <c r="G92" s="146"/>
      <c r="H92" s="151"/>
      <c r="I92" s="13" t="s">
        <v>139</v>
      </c>
      <c r="J92" s="29">
        <f>(IF(B82&gt;4,(H82/(B82+2)+J91),0))</f>
        <v>0</v>
      </c>
    </row>
    <row r="93" spans="1:12" ht="15.75" customHeight="1" x14ac:dyDescent="0.3">
      <c r="A93" s="85" t="s">
        <v>127</v>
      </c>
      <c r="B93" s="86" t="s">
        <v>127</v>
      </c>
      <c r="C93" s="41">
        <v>13</v>
      </c>
      <c r="D93" s="18">
        <f ca="1">((100/(H82))*C93)/100</f>
        <v>1</v>
      </c>
      <c r="E93" s="146"/>
      <c r="F93" s="147"/>
      <c r="G93" s="146"/>
      <c r="H93" s="151"/>
      <c r="I93" s="13" t="s">
        <v>141</v>
      </c>
      <c r="J93" s="29">
        <f ca="1">(IF(B82=1,(H82/(B82+3)+J88),IF(B82=0,(H82/4+J88),IF(B82&gt;1,0))))</f>
        <v>9.75</v>
      </c>
    </row>
    <row r="94" spans="1:12" ht="16.2" thickBot="1" x14ac:dyDescent="0.35">
      <c r="A94" s="153" t="s">
        <v>128</v>
      </c>
      <c r="B94" s="154"/>
      <c r="C94" s="42">
        <v>13</v>
      </c>
      <c r="D94" s="19">
        <f ca="1">((100/(H82))*C94)/100</f>
        <v>1</v>
      </c>
      <c r="E94" s="148"/>
      <c r="F94" s="149"/>
      <c r="G94" s="148"/>
      <c r="H94" s="152"/>
      <c r="I94" s="14" t="s">
        <v>99</v>
      </c>
      <c r="J94" s="31">
        <f ca="1">(IF(B82&gt;1.5,(H82/(B82+2)+J88+MAX(0,J89-J88)+MAX(0,J90-J89)+MAX(0,J91-J90)+MAX(0,J92-J91)+MAX(0,J93-J92)),IF(B82=1,(H82/(B82+3)+J93),IF(B82=0,H82/4+J93))))</f>
        <v>13</v>
      </c>
    </row>
    <row r="95" spans="1:12" x14ac:dyDescent="0.3">
      <c r="A95" s="164" t="s">
        <v>150</v>
      </c>
      <c r="B95" s="164"/>
      <c r="C95" s="164"/>
      <c r="D95" s="164"/>
      <c r="E95" s="164"/>
      <c r="F95" s="163" t="s">
        <v>152</v>
      </c>
      <c r="G95" s="163"/>
      <c r="H95" s="163"/>
    </row>
    <row r="96" spans="1:12" x14ac:dyDescent="0.3">
      <c r="A96" s="72" t="s">
        <v>151</v>
      </c>
      <c r="B96" s="72"/>
      <c r="C96" s="72"/>
      <c r="D96" s="72"/>
      <c r="E96" s="72"/>
      <c r="F96" s="92">
        <v>4000</v>
      </c>
      <c r="G96" s="92"/>
      <c r="H96" s="92"/>
      <c r="J96" s="21" t="s">
        <v>190</v>
      </c>
      <c r="K96" s="21"/>
      <c r="L96" s="21">
        <v>4000</v>
      </c>
    </row>
    <row r="97" spans="1:11" s="32" customFormat="1" x14ac:dyDescent="0.25">
      <c r="A97" s="72" t="s">
        <v>199</v>
      </c>
      <c r="B97" s="72"/>
      <c r="C97" s="72"/>
      <c r="D97" s="72"/>
      <c r="E97" s="72"/>
      <c r="F97" s="100">
        <v>250000</v>
      </c>
      <c r="G97" s="100"/>
      <c r="H97" s="100"/>
    </row>
    <row r="98" spans="1:11" s="32" customFormat="1" hidden="1" x14ac:dyDescent="0.25">
      <c r="A98" s="72" t="s">
        <v>153</v>
      </c>
      <c r="B98" s="72"/>
      <c r="C98" s="72"/>
      <c r="D98" s="72"/>
      <c r="E98" s="72"/>
      <c r="F98" s="100">
        <v>15000</v>
      </c>
      <c r="G98" s="100"/>
      <c r="H98" s="100"/>
    </row>
    <row r="99" spans="1:11" x14ac:dyDescent="0.3">
      <c r="A99" s="72" t="s">
        <v>51</v>
      </c>
      <c r="B99" s="72"/>
      <c r="C99" s="72"/>
      <c r="D99" s="72"/>
      <c r="E99" s="72"/>
      <c r="F99" s="100">
        <v>150000</v>
      </c>
      <c r="G99" s="100"/>
      <c r="H99" s="100"/>
    </row>
    <row r="100" spans="1:11" s="33" customFormat="1" x14ac:dyDescent="0.3">
      <c r="A100" s="101" t="s">
        <v>52</v>
      </c>
      <c r="B100" s="101"/>
      <c r="C100" s="101"/>
      <c r="D100" s="101"/>
      <c r="E100" s="101"/>
      <c r="F100" s="100">
        <f>F96*0.8</f>
        <v>3200</v>
      </c>
      <c r="G100" s="100"/>
      <c r="H100" s="100"/>
    </row>
    <row r="101" spans="1:11" s="34" customFormat="1" x14ac:dyDescent="0.3">
      <c r="A101" s="102" t="s">
        <v>71</v>
      </c>
      <c r="B101" s="102"/>
      <c r="C101" s="102"/>
      <c r="D101" s="102"/>
      <c r="E101" s="102"/>
      <c r="F101" s="102"/>
      <c r="G101" s="102"/>
      <c r="H101" s="102"/>
    </row>
    <row r="102" spans="1:11" s="34" customFormat="1" ht="15.75" customHeight="1" x14ac:dyDescent="0.3">
      <c r="A102" s="82" t="s">
        <v>53</v>
      </c>
      <c r="B102" s="82"/>
      <c r="C102" s="180" t="s">
        <v>78</v>
      </c>
      <c r="D102" s="180"/>
      <c r="E102" s="103" t="s">
        <v>54</v>
      </c>
      <c r="F102" s="103"/>
      <c r="G102" s="82" t="s">
        <v>55</v>
      </c>
      <c r="H102" s="82"/>
      <c r="K102" s="34" t="s">
        <v>197</v>
      </c>
    </row>
    <row r="103" spans="1:11" s="34" customFormat="1" x14ac:dyDescent="0.3">
      <c r="A103" s="107" t="s">
        <v>182</v>
      </c>
      <c r="B103" s="108"/>
      <c r="C103" s="178">
        <f>COUNT(D113:D124)*12+COUNT(D126:D136)*2</f>
        <v>166</v>
      </c>
      <c r="D103" s="178"/>
      <c r="E103" s="162">
        <f>SUM(D113:D124)*12+SUM(D126:D136)*2</f>
        <v>74280.211199999991</v>
      </c>
      <c r="F103" s="162"/>
      <c r="G103" s="162">
        <f>SUM(F113:F124)*12+SUM(F126:F136)*2</f>
        <v>111420.31680000002</v>
      </c>
      <c r="H103" s="162"/>
      <c r="K103" s="34">
        <v>3800</v>
      </c>
    </row>
    <row r="104" spans="1:11" s="34" customFormat="1" x14ac:dyDescent="0.3">
      <c r="A104" s="109" t="s">
        <v>184</v>
      </c>
      <c r="B104" s="109"/>
      <c r="C104" s="178">
        <f>COUNT(D141:D152)*11+COUNT(D154:D159,D161:D165)*2</f>
        <v>154</v>
      </c>
      <c r="D104" s="178"/>
      <c r="E104" s="162">
        <f>SUM(D141:D152)*11+SUM(D154:D159,D161:D165)*2</f>
        <v>77285.197079999998</v>
      </c>
      <c r="F104" s="162"/>
      <c r="G104" s="162">
        <f>SUM(F141:F152)*11+SUM(F154:F159,F161:F165)*2</f>
        <v>115927.79561999999</v>
      </c>
      <c r="H104" s="162"/>
    </row>
    <row r="105" spans="1:11" s="34" customFormat="1" x14ac:dyDescent="0.3">
      <c r="A105" s="102" t="s">
        <v>144</v>
      </c>
      <c r="B105" s="102"/>
      <c r="C105" s="180">
        <f>SUM(C103:C104)</f>
        <v>320</v>
      </c>
      <c r="D105" s="180"/>
      <c r="E105" s="181">
        <f>SUM(E103:E104)</f>
        <v>151565.40827999997</v>
      </c>
      <c r="F105" s="103"/>
      <c r="G105" s="82">
        <f>SUM(G103:G104)</f>
        <v>227348.11242000002</v>
      </c>
      <c r="H105" s="82"/>
    </row>
    <row r="106" spans="1:11" s="33" customFormat="1" x14ac:dyDescent="0.3">
      <c r="A106" s="114" t="s">
        <v>56</v>
      </c>
      <c r="B106" s="114"/>
      <c r="C106" s="114"/>
      <c r="D106" s="114"/>
      <c r="E106" s="114"/>
      <c r="F106" s="114"/>
      <c r="G106" s="114"/>
      <c r="H106" s="114"/>
    </row>
    <row r="107" spans="1:11" x14ac:dyDescent="0.3">
      <c r="A107" s="114" t="s">
        <v>57</v>
      </c>
      <c r="B107" s="114"/>
      <c r="C107" s="114"/>
      <c r="D107" s="114"/>
      <c r="E107" s="114"/>
      <c r="F107" s="114"/>
      <c r="G107" s="114"/>
      <c r="H107" s="114"/>
    </row>
    <row r="108" spans="1:11" ht="47.25" customHeight="1" x14ac:dyDescent="0.3">
      <c r="A108" s="83" t="s">
        <v>113</v>
      </c>
      <c r="B108" s="83" t="s">
        <v>114</v>
      </c>
      <c r="C108" s="83" t="s">
        <v>58</v>
      </c>
      <c r="D108" s="83" t="s">
        <v>59</v>
      </c>
      <c r="E108" s="84" t="s">
        <v>60</v>
      </c>
      <c r="F108" s="60" t="s">
        <v>143</v>
      </c>
      <c r="G108" s="83" t="s">
        <v>61</v>
      </c>
      <c r="H108" s="83"/>
      <c r="I108" s="35"/>
    </row>
    <row r="109" spans="1:11" s="44" customFormat="1" x14ac:dyDescent="0.3">
      <c r="A109" s="83"/>
      <c r="B109" s="83"/>
      <c r="C109" s="83"/>
      <c r="D109" s="83"/>
      <c r="E109" s="84"/>
      <c r="F109" s="61">
        <v>0.5</v>
      </c>
      <c r="G109" s="83"/>
      <c r="H109" s="83"/>
      <c r="I109" s="35"/>
    </row>
    <row r="110" spans="1:11" s="44" customFormat="1" x14ac:dyDescent="0.3">
      <c r="A110" s="165" t="s">
        <v>182</v>
      </c>
      <c r="B110" s="165"/>
      <c r="C110" s="165"/>
      <c r="D110" s="165"/>
      <c r="E110" s="165"/>
      <c r="F110" s="165"/>
      <c r="G110" s="165"/>
      <c r="H110" s="165"/>
      <c r="J110" s="35"/>
    </row>
    <row r="111" spans="1:11" s="44" customFormat="1" x14ac:dyDescent="0.3">
      <c r="A111" s="165" t="s">
        <v>181</v>
      </c>
      <c r="B111" s="165"/>
      <c r="C111" s="165"/>
      <c r="D111" s="165"/>
      <c r="E111" s="165"/>
      <c r="F111" s="165"/>
      <c r="G111" s="165"/>
      <c r="H111" s="165"/>
      <c r="J111" s="35"/>
    </row>
    <row r="112" spans="1:11" s="44" customFormat="1" x14ac:dyDescent="0.3">
      <c r="A112" s="165" t="s">
        <v>183</v>
      </c>
      <c r="B112" s="165"/>
      <c r="C112" s="165"/>
      <c r="D112" s="165"/>
      <c r="E112" s="165"/>
      <c r="F112" s="165"/>
      <c r="G112" s="165"/>
      <c r="H112" s="165"/>
      <c r="J112" s="35"/>
    </row>
    <row r="113" spans="1:14" s="44" customFormat="1" ht="15.75" customHeight="1" x14ac:dyDescent="0.3">
      <c r="A113" s="160">
        <v>1</v>
      </c>
      <c r="B113" s="161"/>
      <c r="C113" s="50">
        <v>1</v>
      </c>
      <c r="D113" s="55">
        <f>(38.12)*10.764</f>
        <v>410.32367999999997</v>
      </c>
      <c r="E113" s="55">
        <v>0</v>
      </c>
      <c r="F113" s="40">
        <f>D113*(($F$109)+1)+(IF(E113&lt;101,E113,IF(E113&lt;201,E113/2,IF(E113&lt;=301,E113/3,E113/4))))</f>
        <v>615.48551999999995</v>
      </c>
      <c r="G113" s="166" t="str">
        <f>A112</f>
        <v>1st to 7th &amp; 9th to 12th &amp; 14th Floor for Residentail</v>
      </c>
      <c r="H113" s="167"/>
      <c r="I113" s="35">
        <f>4.3*2.75+2.1*2.3+3.35*2.75+1.65*1.2+1.35*0.95+0.9*2.3+0.45*1.2+1*(2.3+2.75)</f>
        <v>36.79</v>
      </c>
      <c r="J113" s="44">
        <f>1*(2.75+2.3)</f>
        <v>5.05</v>
      </c>
      <c r="K113" s="35">
        <f>2500000/F113</f>
        <v>4061.8339810821221</v>
      </c>
      <c r="L113" s="57">
        <f>2530000/F113</f>
        <v>4110.5759888551074</v>
      </c>
      <c r="M113" s="58">
        <f>AVERAGE(L113,L143:L145)</f>
        <v>4347.793493926064</v>
      </c>
      <c r="N113" s="35"/>
    </row>
    <row r="114" spans="1:14" s="44" customFormat="1" x14ac:dyDescent="0.3">
      <c r="A114" s="160">
        <f t="shared" ref="A114:A124" si="0">A113+1</f>
        <v>2</v>
      </c>
      <c r="B114" s="161"/>
      <c r="C114" s="50">
        <v>1</v>
      </c>
      <c r="D114" s="55">
        <f>(38.12)*10.764</f>
        <v>410.32367999999997</v>
      </c>
      <c r="E114" s="55">
        <v>0</v>
      </c>
      <c r="F114" s="40">
        <f>D114*(($F$109)+1)+(IF(E114&lt;101,E114,IF(E114&lt;201,E114/2,IF(E114&lt;=301,E114/3,E114/4))))</f>
        <v>615.48551999999995</v>
      </c>
      <c r="G114" s="168"/>
      <c r="H114" s="169"/>
      <c r="I114" s="35">
        <f>2299000/F114</f>
        <v>3735.2625290031197</v>
      </c>
      <c r="K114" s="35">
        <f t="shared" ref="K114:K124" si="1">2500000/F114</f>
        <v>4061.8339810821221</v>
      </c>
      <c r="L114" s="57"/>
      <c r="M114" s="57"/>
      <c r="N114" s="35"/>
    </row>
    <row r="115" spans="1:14" s="44" customFormat="1" x14ac:dyDescent="0.3">
      <c r="A115" s="160">
        <f t="shared" si="0"/>
        <v>3</v>
      </c>
      <c r="B115" s="161"/>
      <c r="C115" s="50">
        <v>1</v>
      </c>
      <c r="D115" s="55">
        <f>(38.89)*10.764</f>
        <v>418.61195999999995</v>
      </c>
      <c r="E115" s="55">
        <v>0</v>
      </c>
      <c r="F115" s="40">
        <f t="shared" ref="F115:F118" si="2">D115*(($F$109)+1)+(IF(E115&lt;101,E115,IF(E115&lt;201,E115/2,IF(E115&lt;=301,E115/3,E115/4))))</f>
        <v>627.91793999999993</v>
      </c>
      <c r="G115" s="168"/>
      <c r="H115" s="169"/>
      <c r="I115" s="35"/>
      <c r="K115" s="35">
        <f t="shared" si="1"/>
        <v>3981.4119660285551</v>
      </c>
      <c r="L115" s="57"/>
      <c r="M115" s="57"/>
      <c r="N115" s="35"/>
    </row>
    <row r="116" spans="1:14" s="44" customFormat="1" x14ac:dyDescent="0.3">
      <c r="A116" s="160">
        <f t="shared" si="0"/>
        <v>4</v>
      </c>
      <c r="B116" s="161"/>
      <c r="C116" s="50">
        <v>2</v>
      </c>
      <c r="D116" s="55">
        <f>(57.48)*10.764</f>
        <v>618.71471999999994</v>
      </c>
      <c r="E116" s="55">
        <v>0</v>
      </c>
      <c r="F116" s="40">
        <f t="shared" si="2"/>
        <v>928.07207999999991</v>
      </c>
      <c r="G116" s="168"/>
      <c r="H116" s="169"/>
      <c r="I116" s="35"/>
      <c r="K116" s="35">
        <f>3600000/F116</f>
        <v>3879.0090528313281</v>
      </c>
      <c r="L116" s="57">
        <f>4150000/F116</f>
        <v>4471.635435902781</v>
      </c>
      <c r="M116" s="57"/>
      <c r="N116" s="35"/>
    </row>
    <row r="117" spans="1:14" s="44" customFormat="1" x14ac:dyDescent="0.3">
      <c r="A117" s="160">
        <f t="shared" si="0"/>
        <v>5</v>
      </c>
      <c r="B117" s="161"/>
      <c r="C117" s="50">
        <v>1</v>
      </c>
      <c r="D117" s="55">
        <f>(38.12)*10.764</f>
        <v>410.32367999999997</v>
      </c>
      <c r="E117" s="55">
        <v>0</v>
      </c>
      <c r="F117" s="40">
        <f t="shared" si="2"/>
        <v>615.48551999999995</v>
      </c>
      <c r="G117" s="168"/>
      <c r="H117" s="169"/>
      <c r="I117" s="35"/>
      <c r="K117" s="35">
        <f t="shared" si="1"/>
        <v>4061.8339810821221</v>
      </c>
      <c r="L117" s="57"/>
      <c r="M117" s="57"/>
      <c r="N117" s="35"/>
    </row>
    <row r="118" spans="1:14" s="44" customFormat="1" x14ac:dyDescent="0.3">
      <c r="A118" s="160">
        <f t="shared" si="0"/>
        <v>6</v>
      </c>
      <c r="B118" s="161"/>
      <c r="C118" s="50">
        <v>1</v>
      </c>
      <c r="D118" s="55">
        <f>(38.12)*10.764</f>
        <v>410.32367999999997</v>
      </c>
      <c r="E118" s="55">
        <v>0</v>
      </c>
      <c r="F118" s="40">
        <f t="shared" si="2"/>
        <v>615.48551999999995</v>
      </c>
      <c r="G118" s="168"/>
      <c r="H118" s="169"/>
      <c r="I118" s="35"/>
      <c r="K118" s="35">
        <f t="shared" si="1"/>
        <v>4061.8339810821221</v>
      </c>
      <c r="L118" s="57"/>
      <c r="M118" s="57"/>
      <c r="N118" s="35"/>
    </row>
    <row r="119" spans="1:14" s="44" customFormat="1" x14ac:dyDescent="0.3">
      <c r="A119" s="160">
        <f t="shared" si="0"/>
        <v>7</v>
      </c>
      <c r="B119" s="161"/>
      <c r="C119" s="50">
        <v>1</v>
      </c>
      <c r="D119" s="55">
        <f>(38.12)*10.764</f>
        <v>410.32367999999997</v>
      </c>
      <c r="E119" s="55">
        <v>0</v>
      </c>
      <c r="F119" s="40">
        <f>D119*(($F$109)+1)+(IF(E119&lt;101,E119,IF(E119&lt;201,E119/2,IF(E119&lt;=301,E119/3,E119/4))))</f>
        <v>615.48551999999995</v>
      </c>
      <c r="G119" s="168"/>
      <c r="H119" s="169"/>
      <c r="I119" s="35"/>
      <c r="K119" s="35">
        <f t="shared" si="1"/>
        <v>4061.8339810821221</v>
      </c>
      <c r="L119" s="57"/>
      <c r="M119" s="57"/>
      <c r="N119" s="35"/>
    </row>
    <row r="120" spans="1:14" s="44" customFormat="1" x14ac:dyDescent="0.3">
      <c r="A120" s="160">
        <f t="shared" si="0"/>
        <v>8</v>
      </c>
      <c r="B120" s="161"/>
      <c r="C120" s="50">
        <v>1</v>
      </c>
      <c r="D120" s="55">
        <f>(38.89)*10.764</f>
        <v>418.61195999999995</v>
      </c>
      <c r="E120" s="55">
        <v>0</v>
      </c>
      <c r="F120" s="40">
        <f>D120*(($F$109)+1)+(IF(E120&lt;101,E120,IF(E120&lt;201,E120/2,IF(E120&lt;=301,E120/3,E120/4))))</f>
        <v>627.91793999999993</v>
      </c>
      <c r="G120" s="168"/>
      <c r="H120" s="169"/>
      <c r="I120" s="35"/>
      <c r="K120" s="35">
        <f t="shared" si="1"/>
        <v>3981.4119660285551</v>
      </c>
      <c r="L120" s="57"/>
      <c r="M120" s="57"/>
      <c r="N120" s="35"/>
    </row>
    <row r="121" spans="1:14" s="44" customFormat="1" x14ac:dyDescent="0.3">
      <c r="A121" s="160">
        <f t="shared" si="0"/>
        <v>9</v>
      </c>
      <c r="B121" s="161"/>
      <c r="C121" s="50">
        <v>1</v>
      </c>
      <c r="D121" s="55">
        <f>(38.12)*10.764</f>
        <v>410.32367999999997</v>
      </c>
      <c r="E121" s="55">
        <v>0</v>
      </c>
      <c r="F121" s="40">
        <f t="shared" ref="F121:F124" si="3">D121*(($F$109)+1)+(IF(E121&lt;101,E121,IF(E121&lt;201,E121/2,IF(E121&lt;=301,E121/3,E121/4))))</f>
        <v>615.48551999999995</v>
      </c>
      <c r="G121" s="168"/>
      <c r="H121" s="169"/>
      <c r="I121" s="35"/>
      <c r="K121" s="35">
        <f t="shared" si="1"/>
        <v>4061.8339810821221</v>
      </c>
      <c r="L121" s="57"/>
      <c r="M121" s="57"/>
      <c r="N121" s="35"/>
    </row>
    <row r="122" spans="1:14" s="44" customFormat="1" x14ac:dyDescent="0.3">
      <c r="A122" s="160">
        <f t="shared" si="0"/>
        <v>10</v>
      </c>
      <c r="B122" s="161"/>
      <c r="C122" s="50">
        <v>1</v>
      </c>
      <c r="D122" s="55">
        <f>(38.12)*10.764</f>
        <v>410.32367999999997</v>
      </c>
      <c r="E122" s="55">
        <v>0</v>
      </c>
      <c r="F122" s="40">
        <f t="shared" si="3"/>
        <v>615.48551999999995</v>
      </c>
      <c r="G122" s="168"/>
      <c r="H122" s="169"/>
      <c r="I122" s="35"/>
      <c r="K122" s="35">
        <f t="shared" si="1"/>
        <v>4061.8339810821221</v>
      </c>
      <c r="L122" s="57"/>
      <c r="M122" s="57"/>
      <c r="N122" s="35"/>
    </row>
    <row r="123" spans="1:14" s="44" customFormat="1" x14ac:dyDescent="0.3">
      <c r="A123" s="160">
        <f t="shared" si="0"/>
        <v>11</v>
      </c>
      <c r="B123" s="161"/>
      <c r="C123" s="50">
        <v>2</v>
      </c>
      <c r="D123" s="55">
        <f>(57.48)*10.764</f>
        <v>618.71471999999994</v>
      </c>
      <c r="E123" s="55">
        <v>0</v>
      </c>
      <c r="F123" s="40">
        <f t="shared" si="3"/>
        <v>928.07207999999991</v>
      </c>
      <c r="G123" s="168"/>
      <c r="H123" s="169"/>
      <c r="I123" s="35">
        <f>(4.3*2.75+2.1*1.05+2.1*2.3+3.35*2.75+2.75*3.5+2.1*1.2+2.1*1.2+1.95*2.3+0.9*1.3+1*(2.75+2.3+1.8))</f>
        <v>55.242500000000007</v>
      </c>
      <c r="J123" s="44">
        <f>3310000/F123</f>
        <v>3566.5333235754711</v>
      </c>
      <c r="K123" s="35">
        <f>3600000/F123</f>
        <v>3879.0090528313281</v>
      </c>
      <c r="L123" s="57"/>
      <c r="M123" s="57"/>
      <c r="N123" s="35"/>
    </row>
    <row r="124" spans="1:14" s="44" customFormat="1" x14ac:dyDescent="0.3">
      <c r="A124" s="160">
        <f t="shared" si="0"/>
        <v>12</v>
      </c>
      <c r="B124" s="161"/>
      <c r="C124" s="50">
        <v>1</v>
      </c>
      <c r="D124" s="55">
        <f>(38.89)*10.764</f>
        <v>418.61195999999995</v>
      </c>
      <c r="E124" s="55">
        <v>0</v>
      </c>
      <c r="F124" s="40">
        <f t="shared" si="3"/>
        <v>627.91793999999993</v>
      </c>
      <c r="G124" s="170"/>
      <c r="H124" s="171"/>
      <c r="I124" s="35"/>
      <c r="K124" s="35">
        <f t="shared" si="1"/>
        <v>3981.4119660285551</v>
      </c>
      <c r="L124" s="57"/>
      <c r="M124" s="57"/>
      <c r="N124" s="35"/>
    </row>
    <row r="125" spans="1:14" s="44" customFormat="1" x14ac:dyDescent="0.3">
      <c r="A125" s="172" t="s">
        <v>186</v>
      </c>
      <c r="B125" s="173"/>
      <c r="C125" s="173"/>
      <c r="D125" s="173"/>
      <c r="E125" s="173"/>
      <c r="F125" s="173"/>
      <c r="G125" s="173"/>
      <c r="H125" s="174"/>
      <c r="J125" s="35"/>
      <c r="L125" s="57"/>
      <c r="M125" s="57"/>
    </row>
    <row r="126" spans="1:14" s="44" customFormat="1" ht="15.75" customHeight="1" x14ac:dyDescent="0.3">
      <c r="A126" s="160">
        <v>1</v>
      </c>
      <c r="B126" s="161"/>
      <c r="C126" s="50">
        <v>1</v>
      </c>
      <c r="D126" s="55">
        <f>(38.12)*10.764</f>
        <v>410.32367999999997</v>
      </c>
      <c r="E126" s="55">
        <v>0</v>
      </c>
      <c r="F126" s="40">
        <f>D126*(($F$109)+1)+(IF(E126&lt;101,E126,IF(E126&lt;201,E126/2,IF(E126&lt;=301,E126/3,E126/4))))</f>
        <v>615.48551999999995</v>
      </c>
      <c r="G126" s="166" t="str">
        <f>A125</f>
        <v>8th &amp; 13th Floor (Part Refuge Area)</v>
      </c>
      <c r="H126" s="167"/>
      <c r="I126" s="35">
        <f>4.3*2.75+2.1*2.3+3.35*2.75+1.65*1.2+1.35*0.95+0.9*2.3+0.45*1.2</f>
        <v>31.74</v>
      </c>
      <c r="J126" s="44">
        <f>1*(2.75+2.3)</f>
        <v>5.05</v>
      </c>
      <c r="K126" s="35">
        <f>AVERAGE(K113:K124)</f>
        <v>4011.2576559435984</v>
      </c>
      <c r="L126" s="57"/>
      <c r="M126" s="57"/>
      <c r="N126" s="35"/>
    </row>
    <row r="127" spans="1:14" s="44" customFormat="1" x14ac:dyDescent="0.3">
      <c r="A127" s="160">
        <f t="shared" ref="A127:A137" si="4">A126+1</f>
        <v>2</v>
      </c>
      <c r="B127" s="161"/>
      <c r="C127" s="50">
        <v>1</v>
      </c>
      <c r="D127" s="55">
        <f>(38.12)*10.764</f>
        <v>410.32367999999997</v>
      </c>
      <c r="E127" s="55">
        <v>0</v>
      </c>
      <c r="F127" s="40">
        <f>D127*(($F$109)+1)+(IF(E127&lt;101,E127,IF(E127&lt;201,E127/2,IF(E127&lt;=301,E127/3,E127/4))))</f>
        <v>615.48551999999995</v>
      </c>
      <c r="G127" s="168"/>
      <c r="H127" s="169"/>
      <c r="I127" s="35"/>
      <c r="L127" s="57"/>
      <c r="M127" s="57"/>
      <c r="N127" s="35"/>
    </row>
    <row r="128" spans="1:14" s="44" customFormat="1" x14ac:dyDescent="0.3">
      <c r="A128" s="160">
        <f t="shared" si="4"/>
        <v>3</v>
      </c>
      <c r="B128" s="161"/>
      <c r="C128" s="50">
        <v>1</v>
      </c>
      <c r="D128" s="55">
        <f>(38.89)*10.764</f>
        <v>418.61195999999995</v>
      </c>
      <c r="E128" s="55">
        <v>0</v>
      </c>
      <c r="F128" s="40">
        <f t="shared" ref="F128:F131" si="5">D128*(($F$109)+1)+(IF(E128&lt;101,E128,IF(E128&lt;201,E128/2,IF(E128&lt;=301,E128/3,E128/4))))</f>
        <v>627.91793999999993</v>
      </c>
      <c r="G128" s="168"/>
      <c r="H128" s="169"/>
      <c r="I128" s="35"/>
      <c r="L128" s="57"/>
      <c r="M128" s="57"/>
      <c r="N128" s="35"/>
    </row>
    <row r="129" spans="1:14" s="44" customFormat="1" x14ac:dyDescent="0.3">
      <c r="A129" s="160">
        <f t="shared" si="4"/>
        <v>4</v>
      </c>
      <c r="B129" s="161"/>
      <c r="C129" s="50">
        <v>2</v>
      </c>
      <c r="D129" s="55">
        <f>(57.48)*10.764</f>
        <v>618.71471999999994</v>
      </c>
      <c r="E129" s="55">
        <v>0</v>
      </c>
      <c r="F129" s="40">
        <f t="shared" si="5"/>
        <v>928.07207999999991</v>
      </c>
      <c r="G129" s="168"/>
      <c r="H129" s="169"/>
      <c r="I129" s="35"/>
      <c r="L129" s="184"/>
      <c r="M129" s="184"/>
      <c r="N129" s="35"/>
    </row>
    <row r="130" spans="1:14" s="44" customFormat="1" x14ac:dyDescent="0.3">
      <c r="A130" s="160">
        <f t="shared" si="4"/>
        <v>5</v>
      </c>
      <c r="B130" s="161"/>
      <c r="C130" s="50">
        <v>1</v>
      </c>
      <c r="D130" s="55">
        <f>(38.12)*10.764</f>
        <v>410.32367999999997</v>
      </c>
      <c r="E130" s="55">
        <v>0</v>
      </c>
      <c r="F130" s="40">
        <f t="shared" si="5"/>
        <v>615.48551999999995</v>
      </c>
      <c r="G130" s="168"/>
      <c r="H130" s="169"/>
      <c r="I130" s="35"/>
      <c r="L130" s="184"/>
      <c r="M130" s="184"/>
      <c r="N130" s="35"/>
    </row>
    <row r="131" spans="1:14" s="44" customFormat="1" x14ac:dyDescent="0.3">
      <c r="A131" s="160">
        <f t="shared" si="4"/>
        <v>6</v>
      </c>
      <c r="B131" s="161"/>
      <c r="C131" s="50">
        <v>1</v>
      </c>
      <c r="D131" s="55">
        <f>(38.12)*10.764</f>
        <v>410.32367999999997</v>
      </c>
      <c r="E131" s="55">
        <v>0</v>
      </c>
      <c r="F131" s="40">
        <f t="shared" si="5"/>
        <v>615.48551999999995</v>
      </c>
      <c r="G131" s="168"/>
      <c r="H131" s="169"/>
      <c r="I131" s="35"/>
      <c r="L131" s="184"/>
      <c r="M131" s="184"/>
      <c r="N131" s="35"/>
    </row>
    <row r="132" spans="1:14" s="44" customFormat="1" x14ac:dyDescent="0.3">
      <c r="A132" s="160">
        <f t="shared" si="4"/>
        <v>7</v>
      </c>
      <c r="B132" s="161"/>
      <c r="C132" s="50">
        <v>1</v>
      </c>
      <c r="D132" s="55">
        <f>(38.12)*10.764</f>
        <v>410.32367999999997</v>
      </c>
      <c r="E132" s="55">
        <v>0</v>
      </c>
      <c r="F132" s="40">
        <f>D132*(($F$109)+1)+(IF(E132&lt;101,E132,IF(E132&lt;201,E132/2,IF(E132&lt;=301,E132/3,E132/4))))</f>
        <v>615.48551999999995</v>
      </c>
      <c r="G132" s="168"/>
      <c r="H132" s="169"/>
      <c r="I132" s="35"/>
      <c r="L132" s="184"/>
      <c r="M132" s="184"/>
      <c r="N132" s="35"/>
    </row>
    <row r="133" spans="1:14" s="44" customFormat="1" x14ac:dyDescent="0.3">
      <c r="A133" s="160">
        <f t="shared" si="4"/>
        <v>8</v>
      </c>
      <c r="B133" s="161"/>
      <c r="C133" s="50">
        <v>1</v>
      </c>
      <c r="D133" s="55">
        <f>(38.89)*10.764</f>
        <v>418.61195999999995</v>
      </c>
      <c r="E133" s="55">
        <v>0</v>
      </c>
      <c r="F133" s="40">
        <f>D133*(($F$109)+1)+(IF(E133&lt;101,E133,IF(E133&lt;201,E133/2,IF(E133&lt;=301,E133/3,E133/4))))</f>
        <v>627.91793999999993</v>
      </c>
      <c r="G133" s="168"/>
      <c r="H133" s="169"/>
      <c r="I133" s="35"/>
      <c r="L133" s="184"/>
      <c r="M133" s="184"/>
      <c r="N133" s="35"/>
    </row>
    <row r="134" spans="1:14" s="44" customFormat="1" x14ac:dyDescent="0.3">
      <c r="A134" s="160">
        <f t="shared" si="4"/>
        <v>9</v>
      </c>
      <c r="B134" s="161"/>
      <c r="C134" s="50">
        <v>1</v>
      </c>
      <c r="D134" s="55">
        <f>(38.12)*10.764</f>
        <v>410.32367999999997</v>
      </c>
      <c r="E134" s="55">
        <v>0</v>
      </c>
      <c r="F134" s="40">
        <f>D134*(($F$109)+1)+(IF(E134&lt;101,E134,IF(E134&lt;201,E134/2,IF(E134&lt;=301,E134/3,E134/4))))</f>
        <v>615.48551999999995</v>
      </c>
      <c r="G134" s="168"/>
      <c r="H134" s="169"/>
      <c r="I134" s="35"/>
      <c r="L134" s="184"/>
      <c r="M134" s="184"/>
      <c r="N134" s="35"/>
    </row>
    <row r="135" spans="1:14" s="44" customFormat="1" x14ac:dyDescent="0.3">
      <c r="A135" s="160">
        <f t="shared" si="4"/>
        <v>10</v>
      </c>
      <c r="B135" s="161"/>
      <c r="C135" s="50">
        <v>1</v>
      </c>
      <c r="D135" s="55">
        <f>(38.12)*10.764</f>
        <v>410.32367999999997</v>
      </c>
      <c r="E135" s="55">
        <v>0</v>
      </c>
      <c r="F135" s="40">
        <f>D135*(($F$109)+1)+(IF(E135&lt;101,E135,IF(E135&lt;201,E135/2,IF(E135&lt;=301,E135/3,E135/4))))</f>
        <v>615.48551999999995</v>
      </c>
      <c r="G135" s="168"/>
      <c r="H135" s="169"/>
      <c r="I135" s="35"/>
      <c r="L135" s="184"/>
      <c r="M135" s="184"/>
      <c r="N135" s="35"/>
    </row>
    <row r="136" spans="1:14" s="44" customFormat="1" x14ac:dyDescent="0.3">
      <c r="A136" s="160">
        <f t="shared" si="4"/>
        <v>11</v>
      </c>
      <c r="B136" s="161"/>
      <c r="C136" s="50">
        <v>2</v>
      </c>
      <c r="D136" s="55">
        <f>(57.48)*10.764</f>
        <v>618.71471999999994</v>
      </c>
      <c r="E136" s="55">
        <v>0</v>
      </c>
      <c r="F136" s="40">
        <f>D136*(($F$109)+1)+(IF(E136&lt;101,E136,IF(E136&lt;201,E136/2,IF(E136&lt;=301,E136/3,E136/4))))</f>
        <v>928.07207999999991</v>
      </c>
      <c r="G136" s="168"/>
      <c r="H136" s="169"/>
      <c r="I136" s="35"/>
      <c r="L136" s="184"/>
      <c r="M136" s="184"/>
      <c r="N136" s="35"/>
    </row>
    <row r="137" spans="1:14" s="44" customFormat="1" x14ac:dyDescent="0.3">
      <c r="A137" s="160">
        <f t="shared" si="4"/>
        <v>12</v>
      </c>
      <c r="B137" s="161"/>
      <c r="C137" s="187" t="s">
        <v>185</v>
      </c>
      <c r="D137" s="188"/>
      <c r="E137" s="188"/>
      <c r="F137" s="189"/>
      <c r="G137" s="170"/>
      <c r="H137" s="171"/>
      <c r="I137" s="35"/>
      <c r="L137" s="184"/>
      <c r="M137" s="184"/>
      <c r="N137" s="35"/>
    </row>
    <row r="138" spans="1:14" s="44" customFormat="1" x14ac:dyDescent="0.3">
      <c r="A138" s="165" t="s">
        <v>184</v>
      </c>
      <c r="B138" s="165"/>
      <c r="C138" s="165"/>
      <c r="D138" s="165"/>
      <c r="E138" s="165"/>
      <c r="F138" s="165"/>
      <c r="G138" s="165"/>
      <c r="H138" s="165"/>
      <c r="J138" s="35"/>
    </row>
    <row r="139" spans="1:14" s="44" customFormat="1" x14ac:dyDescent="0.3">
      <c r="A139" s="165" t="s">
        <v>181</v>
      </c>
      <c r="B139" s="165"/>
      <c r="C139" s="165"/>
      <c r="D139" s="165"/>
      <c r="E139" s="165"/>
      <c r="F139" s="165"/>
      <c r="G139" s="165"/>
      <c r="H139" s="165"/>
      <c r="J139" s="35"/>
    </row>
    <row r="140" spans="1:14" s="44" customFormat="1" x14ac:dyDescent="0.3">
      <c r="A140" s="165" t="s">
        <v>187</v>
      </c>
      <c r="B140" s="165"/>
      <c r="C140" s="165"/>
      <c r="D140" s="165"/>
      <c r="E140" s="165"/>
      <c r="F140" s="165"/>
      <c r="G140" s="165"/>
      <c r="H140" s="165"/>
      <c r="J140" s="35"/>
    </row>
    <row r="141" spans="1:14" s="44" customFormat="1" ht="15.75" customHeight="1" x14ac:dyDescent="0.3">
      <c r="A141" s="185">
        <v>1</v>
      </c>
      <c r="B141" s="185"/>
      <c r="C141" s="50">
        <v>1</v>
      </c>
      <c r="D141" s="55">
        <f>(33.12+5)*10.764</f>
        <v>410.32367999999997</v>
      </c>
      <c r="E141" s="55">
        <v>0</v>
      </c>
      <c r="F141" s="40">
        <f>D141*(($F$109)+1)+(IF(E141&lt;101,E141,IF(E141&lt;201,E141/2,IF(E141&lt;=301,E141/3,E141/4))))</f>
        <v>615.48551999999995</v>
      </c>
      <c r="G141" s="185" t="str">
        <f>A140</f>
        <v>1st to 7th &amp; 9th to 12th Floor for Residentail</v>
      </c>
      <c r="H141" s="185"/>
      <c r="I141" s="35">
        <f>4.3*2.75+2.1*2.3+3.35*2.75+1.65*1.2+1.35*0.95+0.9*2.3+0.45*1.2</f>
        <v>31.74</v>
      </c>
      <c r="J141" s="44">
        <f>1*(2.75+2.3)</f>
        <v>5.05</v>
      </c>
      <c r="K141" s="35">
        <f>2500000/F141</f>
        <v>4061.8339810821221</v>
      </c>
      <c r="L141" s="57"/>
      <c r="M141" s="57"/>
      <c r="N141" s="35"/>
    </row>
    <row r="142" spans="1:14" s="44" customFormat="1" x14ac:dyDescent="0.3">
      <c r="A142" s="185">
        <f t="shared" ref="A142:A152" si="6">A141+1</f>
        <v>2</v>
      </c>
      <c r="B142" s="185"/>
      <c r="C142" s="50">
        <v>1</v>
      </c>
      <c r="D142" s="55">
        <f>(33.12+5)*10.764</f>
        <v>410.32367999999997</v>
      </c>
      <c r="E142" s="55">
        <v>0</v>
      </c>
      <c r="F142" s="40">
        <f>D142*(($F$109)+1)+(IF(E142&lt;101,E142,IF(E142&lt;201,E142/2,IF(E142&lt;=301,E142/3,E142/4))))</f>
        <v>615.48551999999995</v>
      </c>
      <c r="G142" s="185"/>
      <c r="H142" s="185"/>
      <c r="I142" s="35">
        <f>2299000/F142</f>
        <v>3735.2625290031197</v>
      </c>
      <c r="K142" s="35">
        <f>2500000/F142</f>
        <v>4061.8339810821221</v>
      </c>
      <c r="L142" s="57"/>
      <c r="M142" s="57"/>
      <c r="N142" s="35"/>
    </row>
    <row r="143" spans="1:14" s="44" customFormat="1" x14ac:dyDescent="0.3">
      <c r="A143" s="185">
        <f t="shared" si="6"/>
        <v>3</v>
      </c>
      <c r="B143" s="185"/>
      <c r="C143" s="50">
        <v>2</v>
      </c>
      <c r="D143" s="55">
        <f>(50.55+8)*10.764</f>
        <v>630.23219999999992</v>
      </c>
      <c r="E143" s="55">
        <v>0</v>
      </c>
      <c r="F143" s="40">
        <f t="shared" ref="F143:F146" si="7">D143*(($F$109)+1)+(IF(E143&lt;101,E143,IF(E143&lt;201,E143/2,IF(E143&lt;=301,E143/3,E143/4))))</f>
        <v>945.34829999999988</v>
      </c>
      <c r="G143" s="185"/>
      <c r="H143" s="185"/>
      <c r="I143" s="35"/>
      <c r="K143" s="35">
        <f>3600000/F143</f>
        <v>3808.1202452048633</v>
      </c>
      <c r="L143" s="57">
        <f>4150000/F143</f>
        <v>4389.9163937778285</v>
      </c>
      <c r="M143" s="57"/>
      <c r="N143" s="35"/>
    </row>
    <row r="144" spans="1:14" s="44" customFormat="1" x14ac:dyDescent="0.3">
      <c r="A144" s="185">
        <f t="shared" si="6"/>
        <v>4</v>
      </c>
      <c r="B144" s="185"/>
      <c r="C144" s="50">
        <v>2</v>
      </c>
      <c r="D144" s="55">
        <f>(50.97+6.85)*10.764</f>
        <v>622.37447999999995</v>
      </c>
      <c r="E144" s="55">
        <v>0</v>
      </c>
      <c r="F144" s="40">
        <f t="shared" si="7"/>
        <v>933.56171999999992</v>
      </c>
      <c r="G144" s="185"/>
      <c r="H144" s="185"/>
      <c r="I144" s="35">
        <f>3900000/F144</f>
        <v>4177.5491822865233</v>
      </c>
      <c r="K144" s="35">
        <f t="shared" ref="K144:K145" si="8">3600000/F144</f>
        <v>3856.1992451875599</v>
      </c>
      <c r="L144" s="57">
        <f t="shared" ref="L144:L145" si="9">4150000/F144</f>
        <v>4445.3407965356591</v>
      </c>
      <c r="M144" s="57"/>
      <c r="N144" s="35"/>
    </row>
    <row r="145" spans="1:14" s="44" customFormat="1" x14ac:dyDescent="0.3">
      <c r="A145" s="185">
        <f t="shared" si="6"/>
        <v>5</v>
      </c>
      <c r="B145" s="185"/>
      <c r="C145" s="50">
        <v>2</v>
      </c>
      <c r="D145" s="55">
        <f>(50.97+6.85)*10.764</f>
        <v>622.37447999999995</v>
      </c>
      <c r="E145" s="55">
        <v>0</v>
      </c>
      <c r="F145" s="40">
        <f t="shared" si="7"/>
        <v>933.56171999999992</v>
      </c>
      <c r="G145" s="185"/>
      <c r="H145" s="185"/>
      <c r="I145" s="35"/>
      <c r="K145" s="35">
        <f t="shared" si="8"/>
        <v>3856.1992451875599</v>
      </c>
      <c r="L145" s="57">
        <f t="shared" si="9"/>
        <v>4445.3407965356591</v>
      </c>
      <c r="M145" s="57"/>
      <c r="N145" s="35"/>
    </row>
    <row r="146" spans="1:14" s="44" customFormat="1" x14ac:dyDescent="0.3">
      <c r="A146" s="185">
        <f t="shared" si="6"/>
        <v>6</v>
      </c>
      <c r="B146" s="185"/>
      <c r="C146" s="50">
        <v>1</v>
      </c>
      <c r="D146" s="55">
        <f>(33.12+5)*10.764</f>
        <v>410.32367999999997</v>
      </c>
      <c r="E146" s="55">
        <v>0</v>
      </c>
      <c r="F146" s="40">
        <f t="shared" si="7"/>
        <v>615.48551999999995</v>
      </c>
      <c r="G146" s="185"/>
      <c r="H146" s="185"/>
      <c r="I146" s="35"/>
      <c r="K146" s="35">
        <f>2500000/F146</f>
        <v>4061.8339810821221</v>
      </c>
      <c r="L146" s="57"/>
      <c r="M146" s="57"/>
      <c r="N146" s="35"/>
    </row>
    <row r="147" spans="1:14" s="44" customFormat="1" x14ac:dyDescent="0.3">
      <c r="A147" s="185">
        <f t="shared" si="6"/>
        <v>7</v>
      </c>
      <c r="B147" s="185"/>
      <c r="C147" s="50">
        <v>1</v>
      </c>
      <c r="D147" s="55">
        <f>(33.12+5)*10.764</f>
        <v>410.32367999999997</v>
      </c>
      <c r="E147" s="55">
        <v>0</v>
      </c>
      <c r="F147" s="40">
        <f>D147*(($F$109)+1)+(IF(E147&lt;101,E147,IF(E147&lt;201,E147/2,IF(E147&lt;=301,E147/3,E147/4))))</f>
        <v>615.48551999999995</v>
      </c>
      <c r="G147" s="185"/>
      <c r="H147" s="185"/>
      <c r="I147" s="35"/>
      <c r="K147" s="35">
        <f t="shared" ref="K147:K148" si="10">2500000/F147</f>
        <v>4061.8339810821221</v>
      </c>
      <c r="L147" s="57"/>
      <c r="M147" s="57"/>
      <c r="N147" s="35"/>
    </row>
    <row r="148" spans="1:14" s="44" customFormat="1" x14ac:dyDescent="0.3">
      <c r="A148" s="185">
        <f t="shared" si="6"/>
        <v>8</v>
      </c>
      <c r="B148" s="185"/>
      <c r="C148" s="50">
        <v>1</v>
      </c>
      <c r="D148" s="55">
        <f>(33.12+5)*10.764</f>
        <v>410.32367999999997</v>
      </c>
      <c r="E148" s="55">
        <v>0</v>
      </c>
      <c r="F148" s="40">
        <f>D148*(($F$109)+1)+(IF(E148&lt;101,E148,IF(E148&lt;201,E148/2,IF(E148&lt;=301,E148/3,E148/4))))</f>
        <v>615.48551999999995</v>
      </c>
      <c r="G148" s="185"/>
      <c r="H148" s="185"/>
      <c r="I148" s="35"/>
      <c r="K148" s="35">
        <f t="shared" si="10"/>
        <v>4061.8339810821221</v>
      </c>
      <c r="L148" s="57"/>
      <c r="M148" s="57"/>
      <c r="N148" s="35"/>
    </row>
    <row r="149" spans="1:14" s="44" customFormat="1" x14ac:dyDescent="0.3">
      <c r="A149" s="185">
        <f t="shared" si="6"/>
        <v>9</v>
      </c>
      <c r="B149" s="185"/>
      <c r="C149" s="50">
        <v>2</v>
      </c>
      <c r="D149" s="55">
        <f>(50.55+8)*10.764</f>
        <v>630.23219999999992</v>
      </c>
      <c r="E149" s="55">
        <v>0</v>
      </c>
      <c r="F149" s="40">
        <f t="shared" ref="F149:F152" si="11">D149*(($F$109)+1)+(IF(E149&lt;101,E149,IF(E149&lt;201,E149/2,IF(E149&lt;=301,E149/3,E149/4))))</f>
        <v>945.34829999999988</v>
      </c>
      <c r="G149" s="185"/>
      <c r="H149" s="185"/>
      <c r="I149" s="35">
        <f>3310000/F149</f>
        <v>3501.3550032300268</v>
      </c>
      <c r="K149" s="35">
        <f>3600000/F149</f>
        <v>3808.1202452048633</v>
      </c>
      <c r="L149" s="57"/>
      <c r="M149" s="57"/>
      <c r="N149" s="35"/>
    </row>
    <row r="150" spans="1:14" s="44" customFormat="1" x14ac:dyDescent="0.3">
      <c r="A150" s="185">
        <f t="shared" si="6"/>
        <v>10</v>
      </c>
      <c r="B150" s="185"/>
      <c r="C150" s="50">
        <v>2</v>
      </c>
      <c r="D150" s="55">
        <f>(50.97+6.85)*10.764</f>
        <v>622.37447999999995</v>
      </c>
      <c r="E150" s="55">
        <v>0</v>
      </c>
      <c r="F150" s="40">
        <f t="shared" si="11"/>
        <v>933.56171999999992</v>
      </c>
      <c r="G150" s="185"/>
      <c r="H150" s="185"/>
      <c r="I150" s="35"/>
      <c r="K150" s="35">
        <f>3600000/F150</f>
        <v>3856.1992451875599</v>
      </c>
      <c r="L150" s="57"/>
      <c r="M150" s="57"/>
      <c r="N150" s="35"/>
    </row>
    <row r="151" spans="1:14" s="44" customFormat="1" x14ac:dyDescent="0.3">
      <c r="A151" s="185">
        <f t="shared" si="6"/>
        <v>11</v>
      </c>
      <c r="B151" s="185"/>
      <c r="C151" s="50">
        <v>1</v>
      </c>
      <c r="D151" s="55">
        <f>(33.89+5)*10.764</f>
        <v>418.61195999999995</v>
      </c>
      <c r="E151" s="55">
        <v>0</v>
      </c>
      <c r="F151" s="40">
        <f t="shared" si="11"/>
        <v>627.91793999999993</v>
      </c>
      <c r="G151" s="185"/>
      <c r="H151" s="185"/>
      <c r="I151" s="35">
        <f>2530000/F151</f>
        <v>4029.1889096208979</v>
      </c>
      <c r="K151" s="35">
        <f>2500000/F151</f>
        <v>3981.4119660285551</v>
      </c>
      <c r="L151" s="57"/>
      <c r="M151" s="57"/>
      <c r="N151" s="35"/>
    </row>
    <row r="152" spans="1:14" s="44" customFormat="1" x14ac:dyDescent="0.3">
      <c r="A152" s="185">
        <f t="shared" si="6"/>
        <v>12</v>
      </c>
      <c r="B152" s="185"/>
      <c r="C152" s="50">
        <v>1</v>
      </c>
      <c r="D152" s="55">
        <f>(33.12+5)*10.764</f>
        <v>410.32367999999997</v>
      </c>
      <c r="E152" s="55">
        <v>0</v>
      </c>
      <c r="F152" s="40">
        <f t="shared" si="11"/>
        <v>615.48551999999995</v>
      </c>
      <c r="G152" s="185"/>
      <c r="H152" s="185"/>
      <c r="I152" s="35">
        <f>2530000/F152</f>
        <v>4110.5759888551074</v>
      </c>
      <c r="K152" s="35">
        <f>2500000/F152</f>
        <v>4061.8339810821221</v>
      </c>
      <c r="L152" s="57"/>
      <c r="M152" s="57"/>
      <c r="N152" s="35"/>
    </row>
    <row r="153" spans="1:14" s="44" customFormat="1" x14ac:dyDescent="0.3">
      <c r="A153" s="172" t="s">
        <v>186</v>
      </c>
      <c r="B153" s="173"/>
      <c r="C153" s="173"/>
      <c r="D153" s="173"/>
      <c r="E153" s="173"/>
      <c r="F153" s="173"/>
      <c r="G153" s="173"/>
      <c r="H153" s="174"/>
      <c r="J153" s="35"/>
      <c r="K153" s="35">
        <f>AVERAGE(K141:K152)</f>
        <v>3961.4378398744752</v>
      </c>
    </row>
    <row r="154" spans="1:14" s="44" customFormat="1" ht="15.75" customHeight="1" x14ac:dyDescent="0.3">
      <c r="A154" s="160">
        <v>1</v>
      </c>
      <c r="B154" s="161"/>
      <c r="C154" s="50">
        <v>1</v>
      </c>
      <c r="D154" s="55">
        <f>(33.12+5)*10.764</f>
        <v>410.32367999999997</v>
      </c>
      <c r="E154" s="55">
        <v>0</v>
      </c>
      <c r="F154" s="40">
        <f>D154*(($F$109)+1)+(IF(E154&lt;101,E154,IF(E154&lt;201,E154/2,IF(E154&lt;=301,E154/3,E154/4))))</f>
        <v>615.48551999999995</v>
      </c>
      <c r="G154" s="166" t="str">
        <f>A153</f>
        <v>8th &amp; 13th Floor (Part Refuge Area)</v>
      </c>
      <c r="H154" s="186"/>
      <c r="I154" s="35">
        <f>4.3*2.75+2.1*2.3+3.35*2.75+1.65*1.2+1.35*0.95+0.9*2.3+0.45*1.2</f>
        <v>31.74</v>
      </c>
      <c r="J154" s="44">
        <f>1*(2.75+2.3)</f>
        <v>5.05</v>
      </c>
      <c r="K154" s="35"/>
      <c r="L154" s="184"/>
      <c r="M154" s="184"/>
      <c r="N154" s="35"/>
    </row>
    <row r="155" spans="1:14" s="44" customFormat="1" x14ac:dyDescent="0.3">
      <c r="A155" s="160">
        <f t="shared" ref="A155:A165" si="12">A154+1</f>
        <v>2</v>
      </c>
      <c r="B155" s="161"/>
      <c r="C155" s="50">
        <v>1</v>
      </c>
      <c r="D155" s="55">
        <f>(33.12+5)*10.764</f>
        <v>410.32367999999997</v>
      </c>
      <c r="E155" s="55">
        <v>0</v>
      </c>
      <c r="F155" s="40">
        <f>D155*(($F$109)+1)+(IF(E155&lt;101,E155,IF(E155&lt;201,E155/2,IF(E155&lt;=301,E155/3,E155/4))))</f>
        <v>615.48551999999995</v>
      </c>
      <c r="G155" s="168"/>
      <c r="H155" s="169"/>
      <c r="I155" s="35"/>
      <c r="L155" s="184"/>
      <c r="M155" s="184"/>
      <c r="N155" s="35"/>
    </row>
    <row r="156" spans="1:14" s="44" customFormat="1" x14ac:dyDescent="0.3">
      <c r="A156" s="160">
        <f t="shared" si="12"/>
        <v>3</v>
      </c>
      <c r="B156" s="161"/>
      <c r="C156" s="50">
        <v>2</v>
      </c>
      <c r="D156" s="55">
        <f>(50.55+8)*10.764</f>
        <v>630.23219999999992</v>
      </c>
      <c r="E156" s="55">
        <v>0</v>
      </c>
      <c r="F156" s="40">
        <f t="shared" ref="F156:F159" si="13">D156*(($F$109)+1)+(IF(E156&lt;101,E156,IF(E156&lt;201,E156/2,IF(E156&lt;=301,E156/3,E156/4))))</f>
        <v>945.34829999999988</v>
      </c>
      <c r="G156" s="168"/>
      <c r="H156" s="169"/>
      <c r="I156" s="35"/>
      <c r="L156" s="184"/>
      <c r="M156" s="184"/>
      <c r="N156" s="35"/>
    </row>
    <row r="157" spans="1:14" s="44" customFormat="1" x14ac:dyDescent="0.3">
      <c r="A157" s="160">
        <f t="shared" si="12"/>
        <v>4</v>
      </c>
      <c r="B157" s="161"/>
      <c r="C157" s="50">
        <v>2</v>
      </c>
      <c r="D157" s="55">
        <f>(50.97+6.85)*10.764</f>
        <v>622.37447999999995</v>
      </c>
      <c r="E157" s="55">
        <v>0</v>
      </c>
      <c r="F157" s="40">
        <f t="shared" si="13"/>
        <v>933.56171999999992</v>
      </c>
      <c r="G157" s="168"/>
      <c r="H157" s="169"/>
      <c r="I157" s="35"/>
      <c r="L157" s="184"/>
      <c r="M157" s="184"/>
      <c r="N157" s="35"/>
    </row>
    <row r="158" spans="1:14" s="44" customFormat="1" x14ac:dyDescent="0.3">
      <c r="A158" s="160">
        <f t="shared" si="12"/>
        <v>5</v>
      </c>
      <c r="B158" s="161"/>
      <c r="C158" s="50">
        <v>2</v>
      </c>
      <c r="D158" s="55">
        <f>(50.97+6.85)*10.764</f>
        <v>622.37447999999995</v>
      </c>
      <c r="E158" s="55">
        <v>0</v>
      </c>
      <c r="F158" s="40">
        <f t="shared" si="13"/>
        <v>933.56171999999992</v>
      </c>
      <c r="G158" s="168"/>
      <c r="H158" s="169"/>
      <c r="I158" s="35"/>
      <c r="L158" s="184"/>
      <c r="M158" s="184"/>
      <c r="N158" s="35"/>
    </row>
    <row r="159" spans="1:14" s="44" customFormat="1" x14ac:dyDescent="0.3">
      <c r="A159" s="160">
        <f t="shared" si="12"/>
        <v>6</v>
      </c>
      <c r="B159" s="161"/>
      <c r="C159" s="50">
        <v>1</v>
      </c>
      <c r="D159" s="55">
        <f>(33.12+5)*10.764</f>
        <v>410.32367999999997</v>
      </c>
      <c r="E159" s="55">
        <v>0</v>
      </c>
      <c r="F159" s="40">
        <f t="shared" si="13"/>
        <v>615.48551999999995</v>
      </c>
      <c r="G159" s="168"/>
      <c r="H159" s="169"/>
      <c r="I159" s="35"/>
      <c r="L159" s="184"/>
      <c r="M159" s="184"/>
      <c r="N159" s="35"/>
    </row>
    <row r="160" spans="1:14" s="44" customFormat="1" x14ac:dyDescent="0.3">
      <c r="A160" s="160">
        <f t="shared" si="12"/>
        <v>7</v>
      </c>
      <c r="B160" s="161"/>
      <c r="C160" s="187" t="s">
        <v>185</v>
      </c>
      <c r="D160" s="188"/>
      <c r="E160" s="188"/>
      <c r="F160" s="189"/>
      <c r="G160" s="168"/>
      <c r="H160" s="169"/>
      <c r="I160" s="35"/>
      <c r="L160" s="184"/>
      <c r="M160" s="184"/>
      <c r="N160" s="35"/>
    </row>
    <row r="161" spans="1:14" s="44" customFormat="1" x14ac:dyDescent="0.3">
      <c r="A161" s="160">
        <f t="shared" si="12"/>
        <v>8</v>
      </c>
      <c r="B161" s="161"/>
      <c r="C161" s="50">
        <v>1</v>
      </c>
      <c r="D161" s="55">
        <f>(33.12+5)*10.764</f>
        <v>410.32367999999997</v>
      </c>
      <c r="E161" s="55">
        <v>0</v>
      </c>
      <c r="F161" s="40">
        <f>D161*(($F$109)+1)+(IF(E161&lt;101,E161,IF(E161&lt;201,E161/2,IF(E161&lt;=301,E161/3,E161/4))))</f>
        <v>615.48551999999995</v>
      </c>
      <c r="G161" s="168"/>
      <c r="H161" s="169"/>
      <c r="I161" s="35"/>
      <c r="L161" s="184"/>
      <c r="M161" s="184"/>
      <c r="N161" s="35"/>
    </row>
    <row r="162" spans="1:14" s="44" customFormat="1" x14ac:dyDescent="0.3">
      <c r="A162" s="160">
        <f t="shared" si="12"/>
        <v>9</v>
      </c>
      <c r="B162" s="161"/>
      <c r="C162" s="50">
        <v>2</v>
      </c>
      <c r="D162" s="55">
        <f>(50.55+8)*10.764</f>
        <v>630.23219999999992</v>
      </c>
      <c r="E162" s="55">
        <v>0</v>
      </c>
      <c r="F162" s="40">
        <f t="shared" ref="F162:F165" si="14">D162*(($F$109)+1)+(IF(E162&lt;101,E162,IF(E162&lt;201,E162/2,IF(E162&lt;=301,E162/3,E162/4))))</f>
        <v>945.34829999999988</v>
      </c>
      <c r="G162" s="168"/>
      <c r="H162" s="169"/>
      <c r="I162" s="35"/>
      <c r="L162" s="184"/>
      <c r="M162" s="184"/>
      <c r="N162" s="35"/>
    </row>
    <row r="163" spans="1:14" s="44" customFormat="1" x14ac:dyDescent="0.3">
      <c r="A163" s="160">
        <f t="shared" si="12"/>
        <v>10</v>
      </c>
      <c r="B163" s="161"/>
      <c r="C163" s="50">
        <v>2</v>
      </c>
      <c r="D163" s="55">
        <f>(50.97+6.85)*10.764</f>
        <v>622.37447999999995</v>
      </c>
      <c r="E163" s="55">
        <v>0</v>
      </c>
      <c r="F163" s="40">
        <f t="shared" si="14"/>
        <v>933.56171999999992</v>
      </c>
      <c r="G163" s="168"/>
      <c r="H163" s="169"/>
      <c r="I163" s="35"/>
      <c r="L163" s="184"/>
      <c r="M163" s="184"/>
      <c r="N163" s="35"/>
    </row>
    <row r="164" spans="1:14" s="44" customFormat="1" x14ac:dyDescent="0.3">
      <c r="A164" s="160">
        <f t="shared" si="12"/>
        <v>11</v>
      </c>
      <c r="B164" s="161"/>
      <c r="C164" s="50">
        <v>1</v>
      </c>
      <c r="D164" s="55">
        <f>(33.89+5)*10.764</f>
        <v>418.61195999999995</v>
      </c>
      <c r="E164" s="55">
        <v>0</v>
      </c>
      <c r="F164" s="40">
        <f t="shared" si="14"/>
        <v>627.91793999999993</v>
      </c>
      <c r="G164" s="168"/>
      <c r="H164" s="169"/>
      <c r="I164" s="35"/>
      <c r="L164" s="184"/>
      <c r="M164" s="184"/>
      <c r="N164" s="35"/>
    </row>
    <row r="165" spans="1:14" s="44" customFormat="1" x14ac:dyDescent="0.3">
      <c r="A165" s="160">
        <f t="shared" si="12"/>
        <v>12</v>
      </c>
      <c r="B165" s="161"/>
      <c r="C165" s="50">
        <v>1</v>
      </c>
      <c r="D165" s="55">
        <f>(33.12+5)*10.764</f>
        <v>410.32367999999997</v>
      </c>
      <c r="E165" s="55">
        <v>0</v>
      </c>
      <c r="F165" s="40">
        <f t="shared" si="14"/>
        <v>615.48551999999995</v>
      </c>
      <c r="G165" s="170"/>
      <c r="H165" s="171"/>
      <c r="I165" s="35"/>
      <c r="L165" s="184"/>
      <c r="M165" s="184"/>
      <c r="N165" s="35"/>
    </row>
    <row r="166" spans="1:14" s="34" customFormat="1" x14ac:dyDescent="0.3">
      <c r="A166" s="179" t="s">
        <v>69</v>
      </c>
      <c r="B166" s="179"/>
      <c r="C166" s="179"/>
      <c r="D166" s="179"/>
      <c r="E166" s="179"/>
      <c r="F166" s="179"/>
      <c r="G166" s="179"/>
      <c r="H166" s="179"/>
    </row>
    <row r="167" spans="1:14" s="54" customFormat="1" ht="31.05" customHeight="1" x14ac:dyDescent="0.3">
      <c r="A167" s="53" t="s">
        <v>147</v>
      </c>
      <c r="B167" s="104" t="s">
        <v>209</v>
      </c>
      <c r="C167" s="105"/>
      <c r="D167" s="105"/>
      <c r="E167" s="105"/>
      <c r="F167" s="105"/>
      <c r="G167" s="105"/>
      <c r="H167" s="106"/>
    </row>
    <row r="168" spans="1:14" s="34" customFormat="1" x14ac:dyDescent="0.3">
      <c r="A168" s="43" t="s">
        <v>147</v>
      </c>
      <c r="B168" s="104" t="str">
        <f>(IF(F108="Saleable area Loading :","We have considered Saleable area of Flats as per our Calculation.","We considered Saleable area of Flat as per Builder area Sheet."))</f>
        <v>We have considered Saleable area of Flats as per our Calculation.</v>
      </c>
      <c r="C168" s="105"/>
      <c r="D168" s="105"/>
      <c r="E168" s="105"/>
      <c r="F168" s="105"/>
      <c r="G168" s="105"/>
      <c r="H168" s="106"/>
    </row>
    <row r="169" spans="1:14" s="34" customFormat="1" x14ac:dyDescent="0.3">
      <c r="A169" s="43" t="s">
        <v>147</v>
      </c>
      <c r="B169" s="93" t="s">
        <v>117</v>
      </c>
      <c r="C169" s="94"/>
      <c r="D169" s="94"/>
      <c r="E169" s="94"/>
      <c r="F169" s="94"/>
      <c r="G169" s="94"/>
      <c r="H169" s="95"/>
    </row>
    <row r="170" spans="1:14" s="34" customFormat="1" x14ac:dyDescent="0.3">
      <c r="A170" s="43" t="s">
        <v>147</v>
      </c>
      <c r="B170" s="104" t="s">
        <v>188</v>
      </c>
      <c r="C170" s="105"/>
      <c r="D170" s="105"/>
      <c r="E170" s="105"/>
      <c r="F170" s="105"/>
      <c r="G170" s="105"/>
      <c r="H170" s="106"/>
    </row>
    <row r="171" spans="1:14" s="34" customFormat="1" x14ac:dyDescent="0.3">
      <c r="A171" s="43" t="s">
        <v>147</v>
      </c>
      <c r="B171" s="93" t="s">
        <v>146</v>
      </c>
      <c r="C171" s="94"/>
      <c r="D171" s="94"/>
      <c r="E171" s="94"/>
      <c r="F171" s="94"/>
      <c r="G171" s="94"/>
      <c r="H171" s="95"/>
    </row>
    <row r="172" spans="1:14" s="34" customFormat="1" x14ac:dyDescent="0.3">
      <c r="A172" s="43" t="s">
        <v>147</v>
      </c>
      <c r="B172" s="93" t="s">
        <v>118</v>
      </c>
      <c r="C172" s="94"/>
      <c r="D172" s="94"/>
      <c r="E172" s="94"/>
      <c r="F172" s="94"/>
      <c r="G172" s="94"/>
      <c r="H172" s="95"/>
    </row>
    <row r="173" spans="1:14" s="34" customFormat="1" ht="34.5" customHeight="1" x14ac:dyDescent="0.3">
      <c r="A173" s="43" t="s">
        <v>147</v>
      </c>
      <c r="B173" s="93" t="s">
        <v>148</v>
      </c>
      <c r="C173" s="94"/>
      <c r="D173" s="94"/>
      <c r="E173" s="94"/>
      <c r="F173" s="94"/>
      <c r="G173" s="94"/>
      <c r="H173" s="95"/>
    </row>
    <row r="174" spans="1:14" s="34" customFormat="1" x14ac:dyDescent="0.3">
      <c r="A174" s="43" t="s">
        <v>147</v>
      </c>
      <c r="B174" s="93" t="s">
        <v>119</v>
      </c>
      <c r="C174" s="94"/>
      <c r="D174" s="94"/>
      <c r="E174" s="94"/>
      <c r="F174" s="94"/>
      <c r="G174" s="94"/>
      <c r="H174" s="95"/>
    </row>
    <row r="175" spans="1:14" s="54" customFormat="1" hidden="1" x14ac:dyDescent="0.3">
      <c r="A175" s="53" t="s">
        <v>147</v>
      </c>
      <c r="B175" s="104" t="s">
        <v>202</v>
      </c>
      <c r="C175" s="105"/>
      <c r="D175" s="105"/>
      <c r="E175" s="105"/>
      <c r="F175" s="105"/>
      <c r="G175" s="105"/>
      <c r="H175" s="106"/>
    </row>
    <row r="176" spans="1:14" x14ac:dyDescent="0.3">
      <c r="A176" s="69" t="s">
        <v>62</v>
      </c>
      <c r="B176" s="69"/>
      <c r="C176" s="69"/>
      <c r="D176" s="69"/>
      <c r="E176" s="69"/>
      <c r="F176" s="69"/>
      <c r="G176" s="69"/>
      <c r="H176" s="69"/>
    </row>
    <row r="177" spans="1:8" x14ac:dyDescent="0.3">
      <c r="A177" s="72" t="s">
        <v>63</v>
      </c>
      <c r="B177" s="72"/>
      <c r="C177" s="72"/>
      <c r="D177" s="72"/>
      <c r="E177" s="72"/>
      <c r="F177" s="72"/>
      <c r="G177" s="72"/>
      <c r="H177" s="72"/>
    </row>
    <row r="178" spans="1:8" ht="15.75" customHeight="1" x14ac:dyDescent="0.3">
      <c r="A178" s="81" t="s">
        <v>64</v>
      </c>
      <c r="B178" s="81"/>
      <c r="C178" s="81"/>
      <c r="D178" s="81"/>
      <c r="E178" s="81"/>
      <c r="F178" s="81"/>
      <c r="G178" s="81"/>
      <c r="H178" s="81"/>
    </row>
    <row r="179" spans="1:8" x14ac:dyDescent="0.3">
      <c r="A179" s="72" t="s">
        <v>65</v>
      </c>
      <c r="B179" s="72"/>
      <c r="C179" s="72"/>
      <c r="D179" s="72"/>
      <c r="E179" s="72"/>
      <c r="F179" s="72"/>
      <c r="G179" s="72"/>
      <c r="H179" s="72"/>
    </row>
    <row r="180" spans="1:8" x14ac:dyDescent="0.3">
      <c r="A180" s="72" t="s">
        <v>66</v>
      </c>
      <c r="B180" s="72"/>
      <c r="C180" s="72"/>
      <c r="D180" s="72"/>
      <c r="E180" s="72"/>
      <c r="F180" s="72"/>
      <c r="G180" s="72"/>
      <c r="H180" s="72"/>
    </row>
    <row r="181" spans="1:8" x14ac:dyDescent="0.3">
      <c r="A181" s="72" t="s">
        <v>120</v>
      </c>
      <c r="B181" s="72"/>
      <c r="C181" s="72"/>
      <c r="D181" s="72"/>
      <c r="E181" s="72"/>
      <c r="F181" s="72"/>
      <c r="G181" s="72"/>
      <c r="H181" s="72"/>
    </row>
    <row r="182" spans="1:8" ht="35.25" customHeight="1" x14ac:dyDescent="0.3">
      <c r="A182" s="70" t="s">
        <v>121</v>
      </c>
      <c r="B182" s="70"/>
      <c r="C182" s="70"/>
      <c r="D182" s="70"/>
      <c r="E182" s="70"/>
      <c r="F182" s="70"/>
      <c r="G182" s="70"/>
      <c r="H182" s="70"/>
    </row>
    <row r="183" spans="1:8" x14ac:dyDescent="0.3">
      <c r="A183" s="99" t="s">
        <v>77</v>
      </c>
      <c r="B183" s="99"/>
      <c r="C183" s="99" t="s">
        <v>206</v>
      </c>
      <c r="D183" s="99"/>
      <c r="E183" s="99" t="s">
        <v>100</v>
      </c>
      <c r="F183" s="99"/>
      <c r="G183" s="99" t="s">
        <v>208</v>
      </c>
      <c r="H183" s="99"/>
    </row>
    <row r="184" spans="1:8" x14ac:dyDescent="0.3">
      <c r="A184" s="98" t="s">
        <v>79</v>
      </c>
      <c r="B184" s="98"/>
      <c r="C184" s="98"/>
      <c r="D184" s="98"/>
      <c r="E184" s="98"/>
      <c r="F184" s="98"/>
      <c r="G184" s="98"/>
      <c r="H184" s="98"/>
    </row>
    <row r="185" spans="1:8" x14ac:dyDescent="0.3">
      <c r="A185" s="98"/>
      <c r="B185" s="98"/>
      <c r="C185" s="98"/>
      <c r="D185" s="98"/>
      <c r="E185" s="98"/>
      <c r="F185" s="98"/>
      <c r="G185" s="98"/>
      <c r="H185" s="98"/>
    </row>
    <row r="186" spans="1:8" x14ac:dyDescent="0.3">
      <c r="A186" s="98"/>
      <c r="B186" s="98"/>
      <c r="C186" s="98"/>
      <c r="D186" s="98"/>
      <c r="E186" s="98"/>
      <c r="F186" s="98"/>
      <c r="G186" s="98"/>
      <c r="H186" s="98"/>
    </row>
    <row r="187" spans="1:8" x14ac:dyDescent="0.3">
      <c r="A187" s="98"/>
      <c r="B187" s="98"/>
      <c r="C187" s="98"/>
      <c r="D187" s="98"/>
      <c r="E187" s="98"/>
      <c r="F187" s="98"/>
      <c r="G187" s="98"/>
      <c r="H187" s="98"/>
    </row>
    <row r="188" spans="1:8" x14ac:dyDescent="0.3">
      <c r="A188" s="36" t="s">
        <v>67</v>
      </c>
      <c r="B188" s="37"/>
      <c r="C188" s="37"/>
      <c r="D188" s="36" t="str">
        <f>E8</f>
        <v>Tulsi Aanand</v>
      </c>
      <c r="F188" s="37"/>
      <c r="G188" s="37"/>
      <c r="H188" s="37"/>
    </row>
    <row r="189" spans="1:8" x14ac:dyDescent="0.3">
      <c r="A189" s="37"/>
      <c r="B189" s="37"/>
      <c r="C189" s="37"/>
      <c r="D189" s="37"/>
      <c r="E189" s="37"/>
      <c r="F189" s="37"/>
      <c r="G189" s="37"/>
      <c r="H189" s="37"/>
    </row>
    <row r="190" spans="1:8" x14ac:dyDescent="0.3">
      <c r="A190" s="37"/>
      <c r="B190" s="37"/>
      <c r="C190" s="37"/>
      <c r="D190" s="37"/>
      <c r="E190" s="37"/>
      <c r="F190" s="37"/>
      <c r="G190" s="37"/>
      <c r="H190" s="37"/>
    </row>
    <row r="191" spans="1:8" ht="15" customHeight="1" x14ac:dyDescent="0.3"/>
    <row r="230" spans="1:1" x14ac:dyDescent="0.3">
      <c r="A230" s="39" t="s">
        <v>68</v>
      </c>
    </row>
    <row r="272" spans="1:1" ht="17.399999999999999" hidden="1" x14ac:dyDescent="0.3">
      <c r="A272" s="59" t="s">
        <v>192</v>
      </c>
    </row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</sheetData>
  <mergeCells count="318">
    <mergeCell ref="C37:H37"/>
    <mergeCell ref="A163:B163"/>
    <mergeCell ref="L163:M163"/>
    <mergeCell ref="A164:B164"/>
    <mergeCell ref="L164:M164"/>
    <mergeCell ref="A137:B137"/>
    <mergeCell ref="L137:M137"/>
    <mergeCell ref="C137:F137"/>
    <mergeCell ref="A138:H138"/>
    <mergeCell ref="A139:H139"/>
    <mergeCell ref="A140:H140"/>
    <mergeCell ref="A141:B141"/>
    <mergeCell ref="A143:B143"/>
    <mergeCell ref="A144:B144"/>
    <mergeCell ref="A145:B145"/>
    <mergeCell ref="A146:B146"/>
    <mergeCell ref="A147:B147"/>
    <mergeCell ref="A148:B148"/>
    <mergeCell ref="A149:B149"/>
    <mergeCell ref="A161:B161"/>
    <mergeCell ref="G141:H152"/>
    <mergeCell ref="L134:M134"/>
    <mergeCell ref="A135:B135"/>
    <mergeCell ref="L135:M135"/>
    <mergeCell ref="L136:M136"/>
    <mergeCell ref="A142:B142"/>
    <mergeCell ref="C160:F160"/>
    <mergeCell ref="L129:M129"/>
    <mergeCell ref="A130:B130"/>
    <mergeCell ref="L130:M130"/>
    <mergeCell ref="A131:B131"/>
    <mergeCell ref="L131:M131"/>
    <mergeCell ref="A132:B132"/>
    <mergeCell ref="L132:M132"/>
    <mergeCell ref="A133:B133"/>
    <mergeCell ref="L133:M133"/>
    <mergeCell ref="A165:B165"/>
    <mergeCell ref="L165:M165"/>
    <mergeCell ref="A150:B150"/>
    <mergeCell ref="A151:B151"/>
    <mergeCell ref="A152:B152"/>
    <mergeCell ref="A153:H153"/>
    <mergeCell ref="A154:B154"/>
    <mergeCell ref="G154:H165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L161:M161"/>
    <mergeCell ref="A162:B162"/>
    <mergeCell ref="L162:M162"/>
    <mergeCell ref="A160:B160"/>
    <mergeCell ref="L160:M160"/>
    <mergeCell ref="A38:B38"/>
    <mergeCell ref="C38:H38"/>
    <mergeCell ref="G84:H84"/>
    <mergeCell ref="A98:E98"/>
    <mergeCell ref="A97:E97"/>
    <mergeCell ref="C103:D103"/>
    <mergeCell ref="E103:F103"/>
    <mergeCell ref="G103:H103"/>
    <mergeCell ref="F98:H98"/>
    <mergeCell ref="A96:E96"/>
    <mergeCell ref="C102:D102"/>
    <mergeCell ref="G102:H102"/>
    <mergeCell ref="A61:C61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B173:H173"/>
    <mergeCell ref="A47:B47"/>
    <mergeCell ref="C47:H47"/>
    <mergeCell ref="B171:H171"/>
    <mergeCell ref="G85:H94"/>
    <mergeCell ref="A86:B86"/>
    <mergeCell ref="A87:B87"/>
    <mergeCell ref="A88:B88"/>
    <mergeCell ref="A116:B116"/>
    <mergeCell ref="G105:H105"/>
    <mergeCell ref="G104:H104"/>
    <mergeCell ref="C104:D104"/>
    <mergeCell ref="A122:B122"/>
    <mergeCell ref="A123:B123"/>
    <mergeCell ref="A83:B83"/>
    <mergeCell ref="C83:H83"/>
    <mergeCell ref="A84:B84"/>
    <mergeCell ref="E84:F84"/>
    <mergeCell ref="A166:H166"/>
    <mergeCell ref="B108:B109"/>
    <mergeCell ref="C108:C109"/>
    <mergeCell ref="C105:D105"/>
    <mergeCell ref="A112:H112"/>
    <mergeCell ref="E105:F105"/>
    <mergeCell ref="A124:B124"/>
    <mergeCell ref="A117:B117"/>
    <mergeCell ref="A126:B126"/>
    <mergeCell ref="G126:H137"/>
    <mergeCell ref="A127:B127"/>
    <mergeCell ref="A128:B128"/>
    <mergeCell ref="A129:B129"/>
    <mergeCell ref="A134:B134"/>
    <mergeCell ref="A125:H125"/>
    <mergeCell ref="G113:H124"/>
    <mergeCell ref="A119:B119"/>
    <mergeCell ref="A120:B120"/>
    <mergeCell ref="A136:B136"/>
    <mergeCell ref="A108:A109"/>
    <mergeCell ref="A114:B114"/>
    <mergeCell ref="A115:B115"/>
    <mergeCell ref="E104:F104"/>
    <mergeCell ref="A121:B121"/>
    <mergeCell ref="A118:B118"/>
    <mergeCell ref="A85:B85"/>
    <mergeCell ref="E85:F94"/>
    <mergeCell ref="A92:B92"/>
    <mergeCell ref="A93:B93"/>
    <mergeCell ref="A94:B94"/>
    <mergeCell ref="F95:H95"/>
    <mergeCell ref="F97:H97"/>
    <mergeCell ref="A95:E95"/>
    <mergeCell ref="A106:H106"/>
    <mergeCell ref="A107:H107"/>
    <mergeCell ref="A105:B105"/>
    <mergeCell ref="A113:B113"/>
    <mergeCell ref="A111:H111"/>
    <mergeCell ref="A110:H110"/>
    <mergeCell ref="G70:H70"/>
    <mergeCell ref="D60:H60"/>
    <mergeCell ref="E71:F80"/>
    <mergeCell ref="G71:H80"/>
    <mergeCell ref="A79:B79"/>
    <mergeCell ref="A80:B80"/>
    <mergeCell ref="D61:H61"/>
    <mergeCell ref="A78:B78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A58:C59"/>
    <mergeCell ref="D58:H58"/>
    <mergeCell ref="D59:H59"/>
    <mergeCell ref="A34:B34"/>
    <mergeCell ref="C34:E34"/>
    <mergeCell ref="E41:H41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84:H187"/>
    <mergeCell ref="A183:B183"/>
    <mergeCell ref="E183:F183"/>
    <mergeCell ref="C183:D183"/>
    <mergeCell ref="G183:H183"/>
    <mergeCell ref="A99:E99"/>
    <mergeCell ref="F99:H99"/>
    <mergeCell ref="A100:E100"/>
    <mergeCell ref="F100:H100"/>
    <mergeCell ref="A179:H179"/>
    <mergeCell ref="A101:H101"/>
    <mergeCell ref="A182:H182"/>
    <mergeCell ref="A180:H180"/>
    <mergeCell ref="A176:H176"/>
    <mergeCell ref="A177:H177"/>
    <mergeCell ref="E102:F102"/>
    <mergeCell ref="B174:H174"/>
    <mergeCell ref="B175:H175"/>
    <mergeCell ref="A103:B103"/>
    <mergeCell ref="A104:B104"/>
    <mergeCell ref="B167:H167"/>
    <mergeCell ref="B168:H168"/>
    <mergeCell ref="B169:H169"/>
    <mergeCell ref="B170:H170"/>
    <mergeCell ref="A41:D41"/>
    <mergeCell ref="A181:H181"/>
    <mergeCell ref="A178:H178"/>
    <mergeCell ref="A102:B102"/>
    <mergeCell ref="D108:D109"/>
    <mergeCell ref="E108:E109"/>
    <mergeCell ref="G108:H109"/>
    <mergeCell ref="A89:B89"/>
    <mergeCell ref="A90:B90"/>
    <mergeCell ref="A91:B91"/>
    <mergeCell ref="A81:B81"/>
    <mergeCell ref="C81:H81"/>
    <mergeCell ref="A76:B76"/>
    <mergeCell ref="F96:H96"/>
    <mergeCell ref="A48:B48"/>
    <mergeCell ref="C48:E48"/>
    <mergeCell ref="B172:H172"/>
    <mergeCell ref="A42:D42"/>
    <mergeCell ref="E42:H42"/>
    <mergeCell ref="E43:H43"/>
    <mergeCell ref="E44:H44"/>
    <mergeCell ref="E45:H45"/>
    <mergeCell ref="A43:D43"/>
    <mergeCell ref="G48:H48"/>
    <mergeCell ref="C49:E49"/>
    <mergeCell ref="C52:E52"/>
    <mergeCell ref="A49:B49"/>
    <mergeCell ref="A54:H54"/>
    <mergeCell ref="A55:C55"/>
    <mergeCell ref="G50:H50"/>
    <mergeCell ref="D55:H55"/>
    <mergeCell ref="A56:C56"/>
    <mergeCell ref="D56:H56"/>
    <mergeCell ref="G52:H52"/>
    <mergeCell ref="A52:B53"/>
    <mergeCell ref="C53:H53"/>
    <mergeCell ref="C51:H51"/>
    <mergeCell ref="C50:E50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6" max="7" man="1"/>
    <brk id="105" max="7" man="1"/>
    <brk id="145" max="7" man="1"/>
    <brk id="174" max="7" man="1"/>
    <brk id="187" max="16383" man="1"/>
    <brk id="22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43" zoomScaleNormal="100" workbookViewId="0">
      <selection activeCell="B45" sqref="B4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1" t="s">
        <v>101</v>
      </c>
      <c r="C3" s="191"/>
      <c r="D3" s="191"/>
      <c r="E3" s="191"/>
      <c r="F3" s="191"/>
      <c r="G3" s="191"/>
      <c r="H3" s="191"/>
    </row>
    <row r="4" spans="1:9" x14ac:dyDescent="0.3">
      <c r="A4" s="2"/>
      <c r="B4" s="3" t="s">
        <v>102</v>
      </c>
      <c r="C4" s="3" t="s">
        <v>103</v>
      </c>
      <c r="D4" s="3" t="s">
        <v>70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3">
      <c r="A5" s="2"/>
      <c r="B5" s="5" t="s">
        <v>106</v>
      </c>
      <c r="C5" s="6"/>
      <c r="D5" s="56" t="s">
        <v>191</v>
      </c>
      <c r="E5" s="5">
        <v>412</v>
      </c>
      <c r="F5" s="7">
        <f>E5*1.6</f>
        <v>659.2</v>
      </c>
      <c r="G5" s="7">
        <v>2530000</v>
      </c>
      <c r="H5" s="8"/>
    </row>
    <row r="6" spans="1:9" x14ac:dyDescent="0.3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2025-08-15T05:42:21Z</cp:lastPrinted>
  <dcterms:created xsi:type="dcterms:W3CDTF">2019-07-16T09:29:46Z</dcterms:created>
  <dcterms:modified xsi:type="dcterms:W3CDTF">2025-08-15T05:44:23Z</dcterms:modified>
</cp:coreProperties>
</file>