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rani\Downloads\dump August Miraroad\"/>
    </mc:Choice>
  </mc:AlternateContent>
  <xr:revisionPtr revIDLastSave="0" documentId="13_ncr:1_{169C8D8F-FA5C-4F21-9776-E35D01ECE785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Report!$A$1:$H$553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H78" i="1"/>
  <c r="J88" i="1" l="1"/>
  <c r="J87" i="1"/>
  <c r="J86" i="1"/>
  <c r="J85" i="1"/>
  <c r="D319" i="1" l="1"/>
  <c r="D363" i="1" l="1"/>
  <c r="D362" i="1"/>
  <c r="F362" i="1" s="1"/>
  <c r="D361" i="1"/>
  <c r="F361" i="1" s="1"/>
  <c r="D360" i="1"/>
  <c r="F360" i="1" s="1"/>
  <c r="F363" i="1"/>
  <c r="G360" i="1"/>
  <c r="G361" i="1" s="1"/>
  <c r="G362" i="1" s="1"/>
  <c r="G363" i="1" s="1"/>
  <c r="D358" i="1"/>
  <c r="F358" i="1" s="1"/>
  <c r="D357" i="1"/>
  <c r="F357" i="1" s="1"/>
  <c r="D356" i="1"/>
  <c r="F356" i="1" s="1"/>
  <c r="G355" i="1"/>
  <c r="D355" i="1"/>
  <c r="F355" i="1" s="1"/>
  <c r="A355" i="1"/>
  <c r="A356" i="1" s="1"/>
  <c r="A357" i="1" s="1"/>
  <c r="A358" i="1" s="1"/>
  <c r="D353" i="1"/>
  <c r="F353" i="1" s="1"/>
  <c r="D352" i="1"/>
  <c r="F352" i="1" s="1"/>
  <c r="D351" i="1"/>
  <c r="F351" i="1" s="1"/>
  <c r="G350" i="1"/>
  <c r="G351" i="1" s="1"/>
  <c r="G352" i="1" s="1"/>
  <c r="G353" i="1" s="1"/>
  <c r="D350" i="1"/>
  <c r="F350" i="1" s="1"/>
  <c r="A350" i="1"/>
  <c r="A351" i="1" s="1"/>
  <c r="A352" i="1" s="1"/>
  <c r="A353" i="1" s="1"/>
  <c r="D323" i="1"/>
  <c r="F323" i="1" s="1"/>
  <c r="D322" i="1"/>
  <c r="F322" i="1" s="1"/>
  <c r="D321" i="1"/>
  <c r="F321" i="1" s="1"/>
  <c r="D320" i="1"/>
  <c r="F320" i="1" s="1"/>
  <c r="F319" i="1"/>
  <c r="D318" i="1"/>
  <c r="F318" i="1" s="1"/>
  <c r="G318" i="1"/>
  <c r="G319" i="1" s="1"/>
  <c r="G320" i="1" s="1"/>
  <c r="G321" i="1" s="1"/>
  <c r="G322" i="1" s="1"/>
  <c r="G323" i="1" s="1"/>
  <c r="D316" i="1"/>
  <c r="F316" i="1" s="1"/>
  <c r="D314" i="1"/>
  <c r="F314" i="1" s="1"/>
  <c r="D315" i="1"/>
  <c r="F315" i="1" s="1"/>
  <c r="D313" i="1"/>
  <c r="F313" i="1" s="1"/>
  <c r="D312" i="1"/>
  <c r="F312" i="1" s="1"/>
  <c r="G311" i="1"/>
  <c r="G312" i="1" s="1"/>
  <c r="G313" i="1" s="1"/>
  <c r="G314" i="1" s="1"/>
  <c r="G315" i="1" s="1"/>
  <c r="G316" i="1" s="1"/>
  <c r="D311" i="1"/>
  <c r="F311" i="1" s="1"/>
  <c r="A311" i="1"/>
  <c r="A312" i="1" s="1"/>
  <c r="A313" i="1" s="1"/>
  <c r="A314" i="1" s="1"/>
  <c r="A315" i="1" s="1"/>
  <c r="A316" i="1" s="1"/>
  <c r="D348" i="1"/>
  <c r="F348" i="1" s="1"/>
  <c r="D347" i="1"/>
  <c r="F347" i="1" s="1"/>
  <c r="D346" i="1"/>
  <c r="F346" i="1" s="1"/>
  <c r="G345" i="1"/>
  <c r="G346" i="1" s="1"/>
  <c r="G347" i="1" s="1"/>
  <c r="G348" i="1" s="1"/>
  <c r="D345" i="1"/>
  <c r="F345" i="1" s="1"/>
  <c r="A345" i="1"/>
  <c r="A346" i="1" s="1"/>
  <c r="A347" i="1" s="1"/>
  <c r="A348" i="1" s="1"/>
  <c r="D343" i="1"/>
  <c r="F343" i="1" s="1"/>
  <c r="D342" i="1"/>
  <c r="F342" i="1" s="1"/>
  <c r="D341" i="1"/>
  <c r="F341" i="1" s="1"/>
  <c r="D340" i="1"/>
  <c r="F340" i="1" s="1"/>
  <c r="G340" i="1"/>
  <c r="G341" i="1" s="1"/>
  <c r="G342" i="1" s="1"/>
  <c r="G343" i="1" s="1"/>
  <c r="A340" i="1"/>
  <c r="A341" i="1" s="1"/>
  <c r="A342" i="1" s="1"/>
  <c r="A343" i="1" s="1"/>
  <c r="D338" i="1"/>
  <c r="F338" i="1" s="1"/>
  <c r="D337" i="1"/>
  <c r="F337" i="1" s="1"/>
  <c r="D336" i="1"/>
  <c r="F336" i="1" s="1"/>
  <c r="D335" i="1"/>
  <c r="F335" i="1" s="1"/>
  <c r="D333" i="1"/>
  <c r="F333" i="1" s="1"/>
  <c r="D332" i="1"/>
  <c r="F332" i="1" s="1"/>
  <c r="D331" i="1"/>
  <c r="F331" i="1" s="1"/>
  <c r="D330" i="1"/>
  <c r="F330" i="1" s="1"/>
  <c r="D328" i="1"/>
  <c r="F328" i="1" s="1"/>
  <c r="D327" i="1"/>
  <c r="F327" i="1" s="1"/>
  <c r="D326" i="1"/>
  <c r="F326" i="1" s="1"/>
  <c r="D287" i="1"/>
  <c r="F287" i="1" s="1"/>
  <c r="D288" i="1"/>
  <c r="F288" i="1" s="1"/>
  <c r="D286" i="1"/>
  <c r="F286" i="1" s="1"/>
  <c r="D285" i="1"/>
  <c r="F285" i="1" s="1"/>
  <c r="D284" i="1"/>
  <c r="D302" i="1"/>
  <c r="F302" i="1" s="1"/>
  <c r="D301" i="1"/>
  <c r="F301" i="1" s="1"/>
  <c r="D300" i="1"/>
  <c r="F300" i="1" s="1"/>
  <c r="D299" i="1"/>
  <c r="F299" i="1" s="1"/>
  <c r="D298" i="1"/>
  <c r="F298" i="1" s="1"/>
  <c r="D297" i="1"/>
  <c r="F297" i="1" s="1"/>
  <c r="D295" i="1"/>
  <c r="F295" i="1" s="1"/>
  <c r="D294" i="1"/>
  <c r="F294" i="1" s="1"/>
  <c r="D293" i="1"/>
  <c r="F293" i="1" s="1"/>
  <c r="D292" i="1"/>
  <c r="F292" i="1" s="1"/>
  <c r="D291" i="1"/>
  <c r="F291" i="1" s="1"/>
  <c r="D290" i="1"/>
  <c r="F290" i="1" s="1"/>
  <c r="D309" i="1"/>
  <c r="F309" i="1" s="1"/>
  <c r="D308" i="1"/>
  <c r="F308" i="1" s="1"/>
  <c r="D307" i="1"/>
  <c r="F307" i="1" s="1"/>
  <c r="D306" i="1"/>
  <c r="F306" i="1" s="1"/>
  <c r="D305" i="1"/>
  <c r="F305" i="1" s="1"/>
  <c r="D304" i="1"/>
  <c r="F304" i="1" s="1"/>
  <c r="G304" i="1"/>
  <c r="G305" i="1" s="1"/>
  <c r="G306" i="1" s="1"/>
  <c r="G307" i="1" s="1"/>
  <c r="G308" i="1" s="1"/>
  <c r="G309" i="1" s="1"/>
  <c r="A304" i="1"/>
  <c r="A305" i="1" s="1"/>
  <c r="A306" i="1" s="1"/>
  <c r="A307" i="1" s="1"/>
  <c r="A308" i="1" s="1"/>
  <c r="A309" i="1" s="1"/>
  <c r="G330" i="1"/>
  <c r="G331" i="1" s="1"/>
  <c r="G332" i="1" s="1"/>
  <c r="G333" i="1" s="1"/>
  <c r="G335" i="1"/>
  <c r="G336" i="1" s="1"/>
  <c r="G337" i="1" s="1"/>
  <c r="G338" i="1" s="1"/>
  <c r="A335" i="1"/>
  <c r="A336" i="1" s="1"/>
  <c r="A337" i="1" s="1"/>
  <c r="A338" i="1" s="1"/>
  <c r="G326" i="1"/>
  <c r="G327" i="1" s="1"/>
  <c r="G328" i="1" s="1"/>
  <c r="A327" i="1"/>
  <c r="A328" i="1" s="1"/>
  <c r="G297" i="1"/>
  <c r="G298" i="1" s="1"/>
  <c r="G299" i="1" s="1"/>
  <c r="G300" i="1" s="1"/>
  <c r="G301" i="1" s="1"/>
  <c r="G302" i="1" s="1"/>
  <c r="A297" i="1"/>
  <c r="A298" i="1" s="1"/>
  <c r="A299" i="1" s="1"/>
  <c r="A300" i="1" s="1"/>
  <c r="A301" i="1" s="1"/>
  <c r="A302" i="1" s="1"/>
  <c r="G290" i="1"/>
  <c r="G291" i="1" s="1"/>
  <c r="G292" i="1" s="1"/>
  <c r="G293" i="1" s="1"/>
  <c r="G294" i="1" s="1"/>
  <c r="G295" i="1" s="1"/>
  <c r="I285" i="1"/>
  <c r="G284" i="1"/>
  <c r="A285" i="1"/>
  <c r="A286" i="1" s="1"/>
  <c r="A287" i="1" s="1"/>
  <c r="A288" i="1" s="1"/>
  <c r="D276" i="1"/>
  <c r="F276" i="1" s="1"/>
  <c r="D275" i="1"/>
  <c r="F275" i="1" s="1"/>
  <c r="D274" i="1"/>
  <c r="F274" i="1" s="1"/>
  <c r="D273" i="1"/>
  <c r="F273" i="1" s="1"/>
  <c r="D272" i="1"/>
  <c r="F272" i="1" s="1"/>
  <c r="D271" i="1"/>
  <c r="F271" i="1" s="1"/>
  <c r="G268" i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G255" i="1"/>
  <c r="O330" i="1"/>
  <c r="P360" i="1"/>
  <c r="O290" i="1"/>
  <c r="P268" i="1"/>
  <c r="O360" i="1"/>
  <c r="O255" i="1"/>
  <c r="O268" i="1"/>
  <c r="P255" i="1"/>
  <c r="P330" i="1"/>
  <c r="P290" i="1"/>
  <c r="C144" i="1" l="1"/>
  <c r="F284" i="1"/>
  <c r="G144" i="1" s="1"/>
  <c r="C145" i="1"/>
  <c r="G145" i="1"/>
  <c r="E144" i="1"/>
  <c r="E145" i="1"/>
  <c r="P361" i="1"/>
  <c r="P362" i="1" s="1"/>
  <c r="P363" i="1" s="1"/>
  <c r="N360" i="1"/>
  <c r="A360" i="1" s="1"/>
  <c r="O361" i="1"/>
  <c r="P331" i="1"/>
  <c r="P332" i="1" s="1"/>
  <c r="P333" i="1" s="1"/>
  <c r="N330" i="1"/>
  <c r="A330" i="1" s="1"/>
  <c r="O331" i="1"/>
  <c r="N290" i="1"/>
  <c r="A290" i="1" s="1"/>
  <c r="O291" i="1"/>
  <c r="P291" i="1"/>
  <c r="P292" i="1" s="1"/>
  <c r="P293" i="1" s="1"/>
  <c r="P294" i="1" s="1"/>
  <c r="P295" i="1" s="1"/>
  <c r="P269" i="1"/>
  <c r="P270" i="1" s="1"/>
  <c r="P271" i="1" s="1"/>
  <c r="P272" i="1" s="1"/>
  <c r="P273" i="1" s="1"/>
  <c r="P274" i="1" s="1"/>
  <c r="P275" i="1" s="1"/>
  <c r="P276" i="1" s="1"/>
  <c r="P277" i="1" s="1"/>
  <c r="P278" i="1" s="1"/>
  <c r="P279" i="1" s="1"/>
  <c r="N268" i="1"/>
  <c r="A268" i="1" s="1"/>
  <c r="O269" i="1"/>
  <c r="P256" i="1"/>
  <c r="P257" i="1" s="1"/>
  <c r="P258" i="1" s="1"/>
  <c r="P259" i="1" s="1"/>
  <c r="P260" i="1" s="1"/>
  <c r="P261" i="1" s="1"/>
  <c r="P262" i="1" s="1"/>
  <c r="P263" i="1" s="1"/>
  <c r="P264" i="1" s="1"/>
  <c r="P265" i="1" s="1"/>
  <c r="P266" i="1" s="1"/>
  <c r="N255" i="1"/>
  <c r="A255" i="1" s="1"/>
  <c r="O256" i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G242" i="1"/>
  <c r="D238" i="1"/>
  <c r="D237" i="1"/>
  <c r="D236" i="1"/>
  <c r="D235" i="1"/>
  <c r="D234" i="1"/>
  <c r="D233" i="1"/>
  <c r="D232" i="1"/>
  <c r="D231" i="1"/>
  <c r="O242" i="1"/>
  <c r="P242" i="1"/>
  <c r="O362" i="1" l="1"/>
  <c r="N361" i="1"/>
  <c r="A361" i="1" s="1"/>
  <c r="N331" i="1"/>
  <c r="A331" i="1" s="1"/>
  <c r="O332" i="1"/>
  <c r="N291" i="1"/>
  <c r="A291" i="1" s="1"/>
  <c r="O292" i="1"/>
  <c r="O270" i="1"/>
  <c r="N269" i="1"/>
  <c r="A269" i="1" s="1"/>
  <c r="O257" i="1"/>
  <c r="N256" i="1"/>
  <c r="A256" i="1" s="1"/>
  <c r="P243" i="1"/>
  <c r="P244" i="1" s="1"/>
  <c r="P245" i="1" s="1"/>
  <c r="P246" i="1" s="1"/>
  <c r="P247" i="1" s="1"/>
  <c r="N242" i="1"/>
  <c r="O243" i="1"/>
  <c r="F235" i="1"/>
  <c r="F236" i="1"/>
  <c r="F237" i="1"/>
  <c r="F238" i="1"/>
  <c r="F234" i="1"/>
  <c r="F233" i="1"/>
  <c r="F232" i="1"/>
  <c r="F231" i="1"/>
  <c r="G229" i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D219" i="1"/>
  <c r="F219" i="1" s="1"/>
  <c r="D218" i="1"/>
  <c r="F218" i="1" s="1"/>
  <c r="J217" i="1"/>
  <c r="I217" i="1"/>
  <c r="D217" i="1"/>
  <c r="F217" i="1" s="1"/>
  <c r="I216" i="1"/>
  <c r="G216" i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D216" i="1"/>
  <c r="F216" i="1" s="1"/>
  <c r="A216" i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14" i="1"/>
  <c r="F214" i="1" s="1"/>
  <c r="D213" i="1"/>
  <c r="F213" i="1" s="1"/>
  <c r="J204" i="1"/>
  <c r="I204" i="1"/>
  <c r="D204" i="1"/>
  <c r="F204" i="1" s="1"/>
  <c r="G203" i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D203" i="1"/>
  <c r="F203" i="1" s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P229" i="1"/>
  <c r="O229" i="1"/>
  <c r="N362" i="1" l="1"/>
  <c r="A362" i="1" s="1"/>
  <c r="O363" i="1"/>
  <c r="N363" i="1" s="1"/>
  <c r="A363" i="1" s="1"/>
  <c r="N332" i="1"/>
  <c r="A332" i="1" s="1"/>
  <c r="O333" i="1"/>
  <c r="N333" i="1" s="1"/>
  <c r="A333" i="1" s="1"/>
  <c r="N292" i="1"/>
  <c r="A292" i="1" s="1"/>
  <c r="O293" i="1"/>
  <c r="N270" i="1"/>
  <c r="A270" i="1" s="1"/>
  <c r="O271" i="1"/>
  <c r="N257" i="1"/>
  <c r="A257" i="1" s="1"/>
  <c r="O258" i="1"/>
  <c r="N243" i="1"/>
  <c r="O244" i="1"/>
  <c r="O230" i="1"/>
  <c r="N229" i="1"/>
  <c r="P230" i="1"/>
  <c r="P231" i="1" s="1"/>
  <c r="P232" i="1" s="1"/>
  <c r="P233" i="1" s="1"/>
  <c r="P234" i="1" s="1"/>
  <c r="D201" i="1"/>
  <c r="F201" i="1" s="1"/>
  <c r="D198" i="1"/>
  <c r="F198" i="1" s="1"/>
  <c r="D199" i="1"/>
  <c r="F199" i="1" s="1"/>
  <c r="D200" i="1"/>
  <c r="F200" i="1" s="1"/>
  <c r="D197" i="1"/>
  <c r="F197" i="1" s="1"/>
  <c r="D196" i="1"/>
  <c r="F196" i="1" s="1"/>
  <c r="D195" i="1"/>
  <c r="F195" i="1" s="1"/>
  <c r="D193" i="1"/>
  <c r="F193" i="1" s="1"/>
  <c r="D194" i="1"/>
  <c r="F194" i="1" s="1"/>
  <c r="D192" i="1"/>
  <c r="F192" i="1" s="1"/>
  <c r="D191" i="1"/>
  <c r="F191" i="1" s="1"/>
  <c r="D190" i="1"/>
  <c r="F190" i="1" s="1"/>
  <c r="G190" i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A190" i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D188" i="1"/>
  <c r="F188" i="1" s="1"/>
  <c r="D187" i="1"/>
  <c r="F187" i="1" s="1"/>
  <c r="D186" i="1"/>
  <c r="F186" i="1" s="1"/>
  <c r="D185" i="1"/>
  <c r="F185" i="1" s="1"/>
  <c r="D184" i="1"/>
  <c r="F184" i="1" s="1"/>
  <c r="D183" i="1"/>
  <c r="F183" i="1" s="1"/>
  <c r="D182" i="1"/>
  <c r="F182" i="1" s="1"/>
  <c r="I182" i="1" s="1"/>
  <c r="D179" i="1"/>
  <c r="F179" i="1" s="1"/>
  <c r="I179" i="1" s="1"/>
  <c r="D180" i="1"/>
  <c r="F180" i="1" s="1"/>
  <c r="I180" i="1" s="1"/>
  <c r="D181" i="1"/>
  <c r="F181" i="1" s="1"/>
  <c r="I181" i="1" s="1"/>
  <c r="D178" i="1"/>
  <c r="F178" i="1" s="1"/>
  <c r="I178" i="1" s="1"/>
  <c r="D177" i="1"/>
  <c r="F177" i="1" s="1"/>
  <c r="G177" i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A177" i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D170" i="1"/>
  <c r="F170" i="1" s="1"/>
  <c r="D169" i="1"/>
  <c r="F169" i="1" s="1"/>
  <c r="D168" i="1"/>
  <c r="F168" i="1" s="1"/>
  <c r="D167" i="1"/>
  <c r="F167" i="1" s="1"/>
  <c r="D166" i="1"/>
  <c r="F166" i="1" s="1"/>
  <c r="D165" i="1"/>
  <c r="F165" i="1" s="1"/>
  <c r="D164" i="1"/>
  <c r="F164" i="1" s="1"/>
  <c r="D163" i="1"/>
  <c r="F163" i="1" s="1"/>
  <c r="D162" i="1"/>
  <c r="F162" i="1" s="1"/>
  <c r="D161" i="1"/>
  <c r="F161" i="1" s="1"/>
  <c r="D160" i="1"/>
  <c r="F160" i="1" s="1"/>
  <c r="D159" i="1"/>
  <c r="D158" i="1"/>
  <c r="D157" i="1"/>
  <c r="D156" i="1"/>
  <c r="D155" i="1"/>
  <c r="D154" i="1"/>
  <c r="D153" i="1"/>
  <c r="J177" i="1" l="1"/>
  <c r="I177" i="1"/>
  <c r="G143" i="1"/>
  <c r="G146" i="1" s="1"/>
  <c r="C140" i="1"/>
  <c r="E140" i="1"/>
  <c r="C143" i="1"/>
  <c r="C146" i="1" s="1"/>
  <c r="E143" i="1"/>
  <c r="E146" i="1" s="1"/>
  <c r="J183" i="1"/>
  <c r="I183" i="1"/>
  <c r="O294" i="1"/>
  <c r="N293" i="1"/>
  <c r="A293" i="1" s="1"/>
  <c r="O272" i="1"/>
  <c r="N271" i="1"/>
  <c r="A271" i="1" s="1"/>
  <c r="O259" i="1"/>
  <c r="N258" i="1"/>
  <c r="A258" i="1" s="1"/>
  <c r="N244" i="1"/>
  <c r="O245" i="1"/>
  <c r="N230" i="1"/>
  <c r="O231" i="1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387" i="1"/>
  <c r="A366" i="1"/>
  <c r="A367" i="1" s="1"/>
  <c r="A368" i="1" s="1"/>
  <c r="F159" i="1"/>
  <c r="F158" i="1"/>
  <c r="F157" i="1"/>
  <c r="F156" i="1"/>
  <c r="F155" i="1"/>
  <c r="F154" i="1"/>
  <c r="A154" i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G153" i="1"/>
  <c r="F153" i="1"/>
  <c r="F137" i="1"/>
  <c r="J118" i="1"/>
  <c r="J117" i="1"/>
  <c r="J116" i="1"/>
  <c r="J115" i="1"/>
  <c r="C107" i="1"/>
  <c r="J104" i="1"/>
  <c r="J103" i="1"/>
  <c r="J102" i="1"/>
  <c r="J101" i="1"/>
  <c r="C93" i="1"/>
  <c r="J74" i="1"/>
  <c r="J73" i="1"/>
  <c r="J72" i="1"/>
  <c r="J71" i="1"/>
  <c r="D60" i="1"/>
  <c r="D53" i="1"/>
  <c r="G48" i="1"/>
  <c r="C48" i="1"/>
  <c r="E42" i="1"/>
  <c r="E43" i="1" s="1"/>
  <c r="E26" i="1"/>
  <c r="E24" i="1"/>
  <c r="E7" i="1"/>
  <c r="E3" i="1"/>
  <c r="H64" i="1"/>
  <c r="H108" i="1"/>
  <c r="H94" i="1"/>
  <c r="E34" i="3" l="1"/>
  <c r="L34" i="3"/>
  <c r="K34" i="3" s="1"/>
  <c r="I34" i="3"/>
  <c r="H34" i="3" s="1"/>
  <c r="J140" i="1"/>
  <c r="A369" i="1"/>
  <c r="A371" i="1" s="1"/>
  <c r="A370" i="1"/>
  <c r="G140" i="1"/>
  <c r="N294" i="1"/>
  <c r="A294" i="1" s="1"/>
  <c r="O295" i="1"/>
  <c r="N295" i="1" s="1"/>
  <c r="A295" i="1" s="1"/>
  <c r="N272" i="1"/>
  <c r="A272" i="1" s="1"/>
  <c r="O273" i="1"/>
  <c r="N259" i="1"/>
  <c r="A259" i="1" s="1"/>
  <c r="O260" i="1"/>
  <c r="N245" i="1"/>
  <c r="O246" i="1"/>
  <c r="O232" i="1"/>
  <c r="N231" i="1"/>
  <c r="D113" i="1"/>
  <c r="J111" i="1"/>
  <c r="D120" i="1"/>
  <c r="D118" i="1"/>
  <c r="D116" i="1"/>
  <c r="D114" i="1"/>
  <c r="J112" i="1"/>
  <c r="C111" i="1" s="1"/>
  <c r="J110" i="1"/>
  <c r="D117" i="1"/>
  <c r="J113" i="1"/>
  <c r="J114" i="1" s="1"/>
  <c r="J119" i="1" s="1"/>
  <c r="J120" i="1" s="1"/>
  <c r="C112" i="1" s="1"/>
  <c r="D115" i="1"/>
  <c r="D119" i="1"/>
  <c r="J99" i="1"/>
  <c r="J100" i="1" s="1"/>
  <c r="J105" i="1" s="1"/>
  <c r="J106" i="1" s="1"/>
  <c r="C98" i="1" s="1"/>
  <c r="D105" i="1"/>
  <c r="D103" i="1"/>
  <c r="D101" i="1"/>
  <c r="D104" i="1"/>
  <c r="J98" i="1"/>
  <c r="C97" i="1" s="1"/>
  <c r="J96" i="1"/>
  <c r="D102" i="1"/>
  <c r="J97" i="1"/>
  <c r="D106" i="1"/>
  <c r="D100" i="1"/>
  <c r="D99" i="1"/>
  <c r="D69" i="1"/>
  <c r="J67" i="1"/>
  <c r="D74" i="1"/>
  <c r="D72" i="1"/>
  <c r="D70" i="1"/>
  <c r="D76" i="1"/>
  <c r="J68" i="1"/>
  <c r="C67" i="1" s="1"/>
  <c r="D67" i="1" s="1"/>
  <c r="J66" i="1"/>
  <c r="D75" i="1"/>
  <c r="D71" i="1"/>
  <c r="D73" i="1"/>
  <c r="J69" i="1"/>
  <c r="J70" i="1" s="1"/>
  <c r="J75" i="1" s="1"/>
  <c r="E36" i="3" l="1"/>
  <c r="D34" i="3"/>
  <c r="D36" i="3" s="1"/>
  <c r="A372" i="1"/>
  <c r="A373" i="1"/>
  <c r="J82" i="1"/>
  <c r="C81" i="1" s="1"/>
  <c r="J80" i="1"/>
  <c r="D90" i="1"/>
  <c r="D86" i="1"/>
  <c r="J81" i="1"/>
  <c r="J83" i="1"/>
  <c r="D89" i="1"/>
  <c r="D85" i="1"/>
  <c r="D84" i="1"/>
  <c r="D88" i="1"/>
  <c r="D87" i="1"/>
  <c r="D83" i="1"/>
  <c r="G111" i="1"/>
  <c r="J76" i="1"/>
  <c r="C68" i="1" s="1"/>
  <c r="D68" i="1" s="1"/>
  <c r="O274" i="1"/>
  <c r="N273" i="1"/>
  <c r="A273" i="1" s="1"/>
  <c r="N260" i="1"/>
  <c r="A260" i="1" s="1"/>
  <c r="O261" i="1"/>
  <c r="N246" i="1"/>
  <c r="O247" i="1"/>
  <c r="N247" i="1" s="1"/>
  <c r="N232" i="1"/>
  <c r="O233" i="1"/>
  <c r="E97" i="1"/>
  <c r="D98" i="1"/>
  <c r="E111" i="1"/>
  <c r="D112" i="1"/>
  <c r="G97" i="1"/>
  <c r="D97" i="1"/>
  <c r="J84" i="1" l="1"/>
  <c r="J89" i="1" s="1"/>
  <c r="J90" i="1" s="1"/>
  <c r="C82" i="1" s="1"/>
  <c r="G81" i="1" s="1"/>
  <c r="D81" i="1"/>
  <c r="D111" i="1"/>
  <c r="I107" i="1"/>
  <c r="C109" i="1" s="1"/>
  <c r="E67" i="1"/>
  <c r="G67" i="1"/>
  <c r="N274" i="1"/>
  <c r="A274" i="1" s="1"/>
  <c r="O275" i="1"/>
  <c r="N261" i="1"/>
  <c r="A261" i="1" s="1"/>
  <c r="O262" i="1"/>
  <c r="O234" i="1"/>
  <c r="N234" i="1" s="1"/>
  <c r="N233" i="1"/>
  <c r="I93" i="1"/>
  <c r="C95" i="1" s="1"/>
  <c r="G91" i="1" l="1"/>
  <c r="D62" i="1"/>
  <c r="F121" i="1" s="1"/>
  <c r="I63" i="1"/>
  <c r="C65" i="1" s="1"/>
  <c r="E81" i="1"/>
  <c r="I77" i="1" s="1"/>
  <c r="C79" i="1" s="1"/>
  <c r="D82" i="1"/>
  <c r="O276" i="1"/>
  <c r="N275" i="1"/>
  <c r="A275" i="1" s="1"/>
  <c r="N262" i="1"/>
  <c r="A262" i="1" s="1"/>
  <c r="O263" i="1"/>
  <c r="C91" i="1" l="1"/>
  <c r="N276" i="1"/>
  <c r="A276" i="1" s="1"/>
  <c r="O277" i="1"/>
  <c r="N263" i="1"/>
  <c r="A263" i="1" s="1"/>
  <c r="O264" i="1"/>
  <c r="O278" i="1" l="1"/>
  <c r="N277" i="1"/>
  <c r="A277" i="1" s="1"/>
  <c r="N264" i="1"/>
  <c r="A264" i="1" s="1"/>
  <c r="O265" i="1"/>
  <c r="N278" i="1" l="1"/>
  <c r="A278" i="1" s="1"/>
  <c r="O279" i="1"/>
  <c r="N279" i="1" s="1"/>
  <c r="A279" i="1" s="1"/>
  <c r="N265" i="1"/>
  <c r="A265" i="1" s="1"/>
  <c r="O266" i="1"/>
  <c r="N266" i="1" s="1"/>
  <c r="A266" i="1" s="1"/>
</calcChain>
</file>

<file path=xl/sharedStrings.xml><?xml version="1.0" encoding="utf-8"?>
<sst xmlns="http://schemas.openxmlformats.org/spreadsheetml/2006/main" count="633" uniqueCount="276">
  <si>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</si>
  <si>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</si>
  <si>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</si>
  <si>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</si>
  <si>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</si>
  <si>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</si>
  <si>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/ No of the Building</t>
  </si>
  <si>
    <t>Docouments Provided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</si>
  <si>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</si>
  <si>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</si>
  <si>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</si>
  <si>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</si>
  <si>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</si>
  <si>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</si>
  <si>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</si>
  <si>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</si>
  <si>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</si>
  <si>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</si>
  <si>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</si>
  <si>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</si>
  <si>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</si>
  <si>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</si>
  <si>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</si>
  <si>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</si>
  <si>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</si>
  <si>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</si>
  <si>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</si>
  <si>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</si>
  <si>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</si>
  <si>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</si>
  <si>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</si>
  <si>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</si>
  <si>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</si>
  <si>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</si>
  <si>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</si>
  <si>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</si>
  <si>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</si>
  <si>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</si>
  <si>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</si>
  <si>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</si>
  <si>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</si>
  <si>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</si>
  <si>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</si>
  <si>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</si>
  <si>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</si>
  <si>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</si>
  <si>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</si>
  <si>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</si>
  <si>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</si>
  <si>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</si>
  <si>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</si>
  <si>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</si>
  <si>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</si>
  <si>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</si>
  <si>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</si>
  <si>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</si>
  <si>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</si>
  <si>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</si>
  <si>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</si>
  <si>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</si>
  <si>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</si>
  <si>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</si>
  <si>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</si>
  <si>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</si>
  <si>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</si>
  <si>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</si>
  <si>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</si>
  <si>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</si>
  <si>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</si>
  <si>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</si>
  <si>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</si>
  <si>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</si>
  <si>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</si>
  <si>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</si>
  <si>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</si>
  <si>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</si>
  <si>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</si>
  <si>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</si>
  <si>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</si>
  <si>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</si>
  <si>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</si>
  <si>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</si>
  <si>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</si>
  <si>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</si>
  <si>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</si>
  <si>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</si>
  <si>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</si>
  <si>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</si>
  <si>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</si>
  <si>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</si>
  <si>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</si>
  <si>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</si>
  <si>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</si>
  <si>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</si>
  <si>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</si>
  <si>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</si>
  <si>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</si>
  <si>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</si>
  <si>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</si>
  <si>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</si>
  <si>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</si>
  <si>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</si>
  <si>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</si>
  <si>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</si>
  <si>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</si>
  <si>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</si>
  <si>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</si>
  <si>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</si>
  <si>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</si>
  <si>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Residential + Commercial</t>
  </si>
  <si>
    <t>Recommended rate of the shop Per Sq. Ft. ( on Saleable area)</t>
  </si>
  <si>
    <t>Recommended rate of the Office Per Sq. Ft. ( on Saleable area)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</si>
  <si>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</si>
  <si>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</si>
  <si>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</si>
  <si>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</si>
  <si>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</si>
  <si>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</si>
  <si>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</si>
  <si>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</si>
  <si>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</si>
  <si>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</si>
  <si>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</si>
  <si>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</si>
  <si>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</si>
  <si>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</si>
  <si>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</si>
  <si>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</si>
  <si>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</si>
  <si>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</si>
  <si>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</si>
  <si>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</si>
  <si>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</si>
  <si>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</si>
  <si>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</si>
  <si>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</si>
  <si>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</si>
  <si>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</si>
  <si>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</si>
  <si>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</si>
  <si>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</si>
  <si>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</si>
  <si>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</si>
  <si>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 xml:space="preserve">Wheather the construction is as per approved Building plan : </t>
  </si>
  <si>
    <t>Saleable area
Loading :</t>
  </si>
  <si>
    <t>Shop No.
(Sale Plan)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</si>
  <si>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</si>
  <si>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</si>
  <si>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</si>
  <si>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</si>
  <si>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</si>
  <si>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</si>
  <si>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</si>
  <si>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</si>
  <si>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</si>
  <si>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</si>
  <si>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</si>
  <si>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</si>
  <si>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</si>
  <si>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</si>
  <si>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</si>
  <si>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</si>
  <si>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</si>
  <si>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</si>
  <si>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</si>
  <si>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</si>
  <si>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</si>
  <si>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</si>
  <si>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</si>
  <si>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</si>
  <si>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</si>
  <si>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</si>
  <si>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</si>
  <si>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</si>
  <si>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</si>
  <si>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Tulip Heights</t>
  </si>
  <si>
    <t>RERA No. &amp; Name</t>
  </si>
  <si>
    <t>Sharmila Shashi Kedar - 9820280813/9372790343</t>
  </si>
  <si>
    <t>Kalyan</t>
  </si>
  <si>
    <t>43, H.No.2/1</t>
  </si>
  <si>
    <t>Katemanevali</t>
  </si>
  <si>
    <t>Thane</t>
  </si>
  <si>
    <t>KDMC/TPD/BP/KD/2019-20/0041/158</t>
  </si>
  <si>
    <t>Building No.1</t>
  </si>
  <si>
    <t>Ground Floor for Commercial &amp; Parking</t>
  </si>
  <si>
    <t>Shop</t>
  </si>
  <si>
    <t>Builiding No.1</t>
  </si>
  <si>
    <t>Natural Stilt Floor for Parking</t>
  </si>
  <si>
    <t>Building No.2</t>
  </si>
  <si>
    <t>Wing A</t>
  </si>
  <si>
    <t>Wing B</t>
  </si>
  <si>
    <t>1st Floor for Residential</t>
  </si>
  <si>
    <t>1BHK</t>
  </si>
  <si>
    <t>2BHK</t>
  </si>
  <si>
    <t>4th Floor</t>
  </si>
  <si>
    <t>Church Road</t>
  </si>
  <si>
    <t>Rajbhar Arcade</t>
  </si>
  <si>
    <t>Chruch Road</t>
  </si>
  <si>
    <t>Seven Stars CHS</t>
  </si>
  <si>
    <t>Shashank CHS Ltd</t>
  </si>
  <si>
    <t>Kalyan East</t>
  </si>
  <si>
    <t>Building No.1 &amp; Building No.2(Wing A &amp; B)</t>
  </si>
  <si>
    <t>Axis Sanpada</t>
  </si>
  <si>
    <t>501,..,701</t>
  </si>
  <si>
    <t>502,..,702</t>
  </si>
  <si>
    <t>503,..,703</t>
  </si>
  <si>
    <t>504,..,704</t>
  </si>
  <si>
    <t>505,..,705</t>
  </si>
  <si>
    <t>506,..,706</t>
  </si>
  <si>
    <t>506,..,707</t>
  </si>
  <si>
    <t>506,..,708</t>
  </si>
  <si>
    <t>506,..,709</t>
  </si>
  <si>
    <t>506,..,710</t>
  </si>
  <si>
    <t>506,..,711</t>
  </si>
  <si>
    <t>506,..,712</t>
  </si>
  <si>
    <t>Refuge Area</t>
  </si>
  <si>
    <t>8th Floor(Part Refuge Floor)</t>
  </si>
  <si>
    <t>5th to 7th Floor(Part Refuge Floor)</t>
  </si>
  <si>
    <t>9th to 13th Floor(Part Refuge Floor)</t>
  </si>
  <si>
    <t>14th to 21st Floor(Part Refuge Floor)</t>
  </si>
  <si>
    <t>22nd Floor Part Terrace Part Amenities Floor</t>
  </si>
  <si>
    <t>Ground Floor for Residential</t>
  </si>
  <si>
    <t>1st to 3rd Floor</t>
  </si>
  <si>
    <t>5th Floor</t>
  </si>
  <si>
    <t>6th Floor</t>
  </si>
  <si>
    <t>7th Floor</t>
  </si>
  <si>
    <t>701A</t>
  </si>
  <si>
    <t>9th to 11th Floor</t>
  </si>
  <si>
    <t>We considered  Saleable area  as per our calculation.</t>
  </si>
  <si>
    <t>We considered Gross carpet area = Net carpet + Enclose balcony.</t>
  </si>
  <si>
    <t xml:space="preserve">Bldg No.1 </t>
  </si>
  <si>
    <t>Bldg No.2</t>
  </si>
  <si>
    <t>Building No.2(Wing A) = Gr + 1st to 7th Floor</t>
  </si>
  <si>
    <t>Building No.2(Wing B) = Gr + 1st to 11th Floor</t>
  </si>
  <si>
    <t>Approved Plans, CC</t>
  </si>
  <si>
    <t>Survey No</t>
  </si>
  <si>
    <r>
      <t xml:space="preserve">Shop No.
</t>
    </r>
    <r>
      <rPr>
        <b/>
        <sz val="11"/>
        <rFont val="Times New Roman"/>
        <family val="1"/>
      </rPr>
      <t>(Approved Plan)</t>
    </r>
  </si>
  <si>
    <t>3.2Km from Vitthalwadi Railway Station</t>
  </si>
  <si>
    <t>Building No.1 = B + Gr + 1st to 22nd Floor (2nd, 3rd Floor for Mhada)
Building No.2(Wing A) = Gr + 1st to 7th Floor
Building No.2(Wing B) = Gr + 1st to 11th Floor</t>
  </si>
  <si>
    <t>2nd Floor for MHADA</t>
  </si>
  <si>
    <t>3rd Floor  for MHADA</t>
  </si>
  <si>
    <t>Sale Flats - 228, Shops - 18, Mhada Flats - 24</t>
  </si>
  <si>
    <t>On Site, we meet Ms. Reshma (8108677384).</t>
  </si>
  <si>
    <t>3 Wings</t>
  </si>
  <si>
    <t>Office No. 1031, Wing J, Akshar Business Park, Plot No. 03 Sector 25, Near APMC Market, Vashi, Navi Mumbai, Maharashtra 400703 TEL: 022-46090378/79/80                                                                                                                                    E mail : vsjcapf@gmail.com. Web site : www.vsjadon.com</t>
  </si>
  <si>
    <t>Location Link</t>
  </si>
  <si>
    <t>https://goo.gl/maps/QwYuScKkZB5ydtbk8?coh=178572&amp;entry=tt</t>
  </si>
  <si>
    <t>Construction details:
Building No.1</t>
  </si>
  <si>
    <t>Sale Plan</t>
  </si>
  <si>
    <t xml:space="preserve">Site Person - Contact Details ( Name &amp; Contact No.)
</t>
  </si>
  <si>
    <t>Mr. Francis 8530122727</t>
  </si>
  <si>
    <t>Construction details are taken from Mr. Francis 8530122727.</t>
  </si>
  <si>
    <t>Latitude,Longitude</t>
  </si>
  <si>
    <t>19.2213564593,73.1398613</t>
  </si>
  <si>
    <t>Buildng No.1(Part 1&amp; 2) - Construction work is in process at the time of Visit.
Building No.2 - All work completed. Please provide OC.</t>
  </si>
  <si>
    <t>Due to Site engineer not identified Building No 2 on previous visit construction stage given zero</t>
  </si>
  <si>
    <t>Construction percentage completed given on date 08/08/2024</t>
  </si>
  <si>
    <t>Building No 2 Construction detaile changes.</t>
  </si>
  <si>
    <t>Layout</t>
  </si>
  <si>
    <t>Tulip Apartment</t>
  </si>
  <si>
    <t>Name of the Project (As Per Builder)</t>
  </si>
  <si>
    <t>Name of the Project (As per RERA)</t>
  </si>
  <si>
    <t>Mangesh Laxman Bapardekar</t>
  </si>
  <si>
    <t>Mr. Nikita 9136403727</t>
  </si>
  <si>
    <t>As per RERA - 30/12/2025</t>
  </si>
  <si>
    <t>M/s. Space Edge Projects Pvt Ltd</t>
  </si>
  <si>
    <t>P51700022565 - Tulip Apartment</t>
  </si>
  <si>
    <t>Pranita Mhatre</t>
  </si>
  <si>
    <t xml:space="preserve">Commencement Certificate No.
Valid Up to: </t>
  </si>
  <si>
    <t>KDMC/TPD/BP/KD/2019-20/0041/208</t>
  </si>
  <si>
    <t>We have updated revised approved CC From RERA (on 08/05/2024 &amp; 13/08/2025).</t>
  </si>
  <si>
    <t>Building No.1 = B+ Gr/St + 1st to 24th Floor</t>
  </si>
  <si>
    <t>Part 1(Flat No. 4 to 9) - Building No.1= B+ Gr/St + 1st to 24th Floor</t>
  </si>
  <si>
    <t>Part 2 (Flat No. 1, 2, 3, 10, 11 &amp; 12) - Building No.1 = B+ Gr/St + 1st to 24th Floor</t>
  </si>
  <si>
    <t>Building No.1 = Natural Stilt + Gr/St + 1st to 23rd Floor (Resi. + Comm.) + 24th Floor (pt) (Recreational Floor) (2nd + 3rd Floor (Pt) for Mhada)
Building No.2(Wing A) = Gr + 1st to 7th Floor (Residential)
Building No.2(Wing B) = Gr + 1st to 11th Floor (Residential)</t>
  </si>
  <si>
    <t>Construction work of Building No.1 (Part 1) goes beyond approved plans.
Provide revised plans dtd.22/09/2023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</si>
</sst>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0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30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0" fontId="7" fillId="0" borderId="12" xfId="1" applyFont="1" applyBorder="1" applyProtection="1">
      <protection hidden="1"/>
    </xf>
    <xf numFmtId="0" fontId="7" fillId="0" borderId="13" xfId="1" applyFont="1" applyBorder="1" applyProtection="1">
      <protection hidden="1"/>
    </xf>
    <xf numFmtId="0" fontId="7" fillId="0" borderId="13" xfId="1" applyFont="1" applyBorder="1"/>
    <xf numFmtId="9" fontId="8" fillId="0" borderId="19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3" xfId="0" applyFont="1" applyBorder="1" applyProtection="1">
      <protection hidden="1"/>
    </xf>
    <xf numFmtId="0" fontId="7" fillId="0" borderId="11" xfId="1" applyFont="1" applyBorder="1" applyProtection="1">
      <protection hidden="1"/>
    </xf>
    <xf numFmtId="0" fontId="17" fillId="0" borderId="14" xfId="0" applyFont="1" applyBorder="1" applyProtection="1">
      <protection hidden="1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1" fontId="0" fillId="0" borderId="15" xfId="0" applyNumberFormat="1" applyBorder="1"/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7" xfId="1" applyFont="1" applyBorder="1" applyAlignment="1" applyProtection="1">
      <alignment horizontal="center" wrapText="1"/>
      <protection locked="0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vertical="center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9" fontId="13" fillId="0" borderId="19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4"/>
    <xf numFmtId="0" fontId="1" fillId="0" borderId="0" xfId="5"/>
    <xf numFmtId="0" fontId="9" fillId="0" borderId="0" xfId="5" applyFont="1" applyAlignment="1">
      <alignment horizontal="center" vertical="top" wrapText="1"/>
    </xf>
    <xf numFmtId="0" fontId="1" fillId="0" borderId="0" xfId="5" applyAlignment="1">
      <alignment horizontal="center" vertical="center"/>
    </xf>
    <xf numFmtId="0" fontId="1" fillId="0" borderId="0" xfId="5" applyAlignment="1">
      <alignment horizontal="left" vertical="center"/>
    </xf>
    <xf numFmtId="1" fontId="1" fillId="0" borderId="0" xfId="5" applyNumberFormat="1" applyAlignment="1">
      <alignment horizontal="center" vertical="center"/>
    </xf>
    <xf numFmtId="166" fontId="1" fillId="0" borderId="0" xfId="6" applyNumberFormat="1" applyFont="1" applyBorder="1" applyAlignment="1">
      <alignment horizontal="right" vertical="center"/>
    </xf>
    <xf numFmtId="0" fontId="1" fillId="0" borderId="0" xfId="5" applyAlignment="1">
      <alignment horizontal="left" vertical="center" wrapText="1"/>
    </xf>
    <xf numFmtId="0" fontId="9" fillId="0" borderId="0" xfId="5" applyFont="1" applyAlignment="1">
      <alignment horizontal="center" vertical="center"/>
    </xf>
    <xf numFmtId="1" fontId="18" fillId="0" borderId="0" xfId="5" applyNumberFormat="1" applyFont="1" applyAlignment="1">
      <alignment horizontal="center" vertical="center"/>
    </xf>
    <xf numFmtId="0" fontId="5" fillId="0" borderId="0" xfId="4" applyAlignment="1">
      <alignment horizontal="center" vertical="center"/>
    </xf>
    <xf numFmtId="0" fontId="19" fillId="0" borderId="0" xfId="4" applyFont="1"/>
    <xf numFmtId="1" fontId="5" fillId="0" borderId="0" xfId="4" applyNumberFormat="1"/>
    <xf numFmtId="1" fontId="7" fillId="0" borderId="0" xfId="0" applyNumberFormat="1" applyFont="1" applyAlignment="1">
      <alignment horizontal="center" vertical="center"/>
    </xf>
    <xf numFmtId="0" fontId="12" fillId="0" borderId="3" xfId="1" applyFont="1" applyBorder="1" applyAlignment="1" applyProtection="1">
      <alignment horizontal="center" wrapText="1"/>
      <protection locked="0"/>
    </xf>
    <xf numFmtId="9" fontId="12" fillId="2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left" vertical="top"/>
      <protection locked="0"/>
    </xf>
    <xf numFmtId="0" fontId="15" fillId="3" borderId="37" xfId="1" applyFont="1" applyFill="1" applyBorder="1" applyAlignment="1">
      <alignment horizontal="left" wrapText="1"/>
    </xf>
    <xf numFmtId="0" fontId="15" fillId="3" borderId="0" xfId="1" applyFont="1" applyFill="1" applyAlignment="1">
      <alignment horizontal="left" wrapText="1"/>
    </xf>
    <xf numFmtId="0" fontId="15" fillId="3" borderId="37" xfId="1" applyFont="1" applyFill="1" applyBorder="1" applyAlignment="1">
      <alignment horizontal="left"/>
    </xf>
    <xf numFmtId="0" fontId="15" fillId="3" borderId="0" xfId="1" applyFont="1" applyFill="1" applyAlignment="1">
      <alignment horizontal="left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1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0" xfId="1" applyNumberFormat="1" applyFont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20" xfId="1" applyNumberFormat="1" applyFont="1" applyBorder="1" applyAlignment="1" applyProtection="1">
      <alignment horizontal="center" vertical="center" wrapText="1"/>
      <protection locked="0"/>
    </xf>
    <xf numFmtId="1" fontId="12" fillId="0" borderId="21" xfId="1" applyNumberFormat="1" applyFont="1" applyBorder="1" applyAlignment="1" applyProtection="1">
      <alignment horizontal="center" vertical="center" wrapText="1"/>
      <protection locked="0"/>
    </xf>
    <xf numFmtId="1" fontId="12" fillId="0" borderId="28" xfId="1" applyNumberFormat="1" applyFont="1" applyBorder="1" applyAlignment="1" applyProtection="1">
      <alignment horizontal="center" vertical="center" wrapText="1"/>
      <protection locked="0"/>
    </xf>
    <xf numFmtId="1" fontId="12" fillId="0" borderId="29" xfId="1" applyNumberFormat="1" applyFont="1" applyBorder="1" applyAlignment="1" applyProtection="1">
      <alignment horizontal="center" vertical="center" wrapText="1"/>
      <protection locked="0"/>
    </xf>
    <xf numFmtId="1" fontId="12" fillId="0" borderId="9" xfId="1" applyNumberFormat="1" applyFont="1" applyBorder="1" applyAlignment="1" applyProtection="1">
      <alignment horizontal="center" vertical="center" wrapText="1"/>
      <protection locked="0"/>
    </xf>
    <xf numFmtId="1" fontId="12" fillId="0" borderId="10" xfId="1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8" xfId="1" applyNumberFormat="1" applyFont="1" applyFill="1" applyBorder="1" applyAlignment="1" applyProtection="1">
      <alignment horizontal="center" vertical="center" wrapText="1"/>
      <protection hidden="1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13" fillId="0" borderId="24" xfId="0" applyNumberFormat="1" applyFont="1" applyBorder="1" applyAlignment="1" applyProtection="1">
      <alignment vertical="top" wrapText="1"/>
      <protection locked="0"/>
    </xf>
    <xf numFmtId="1" fontId="13" fillId="0" borderId="10" xfId="0" applyNumberFormat="1" applyFont="1" applyBorder="1" applyAlignment="1" applyProtection="1">
      <alignment vertical="top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1" fontId="13" fillId="0" borderId="9" xfId="1" applyNumberFormat="1" applyFont="1" applyBorder="1" applyAlignment="1" applyProtection="1">
      <alignment horizontal="center" vertical="center" wrapText="1"/>
      <protection locked="0"/>
    </xf>
    <xf numFmtId="1" fontId="13" fillId="0" borderId="24" xfId="1" applyNumberFormat="1" applyFont="1" applyBorder="1" applyAlignment="1" applyProtection="1">
      <alignment horizontal="center" vertical="center" wrapText="1"/>
      <protection locked="0"/>
    </xf>
    <xf numFmtId="1" fontId="13" fillId="0" borderId="10" xfId="1" applyNumberFormat="1" applyFont="1" applyBorder="1" applyAlignment="1" applyProtection="1">
      <alignment horizontal="center" vertical="center" wrapText="1"/>
      <protection locked="0"/>
    </xf>
    <xf numFmtId="1" fontId="23" fillId="0" borderId="3" xfId="1" applyNumberFormat="1" applyFont="1" applyBorder="1" applyAlignment="1" applyProtection="1">
      <alignment horizontal="center" vertical="top" wrapText="1"/>
      <protection locked="0"/>
    </xf>
    <xf numFmtId="1" fontId="23" fillId="0" borderId="19" xfId="1" applyNumberFormat="1" applyFont="1" applyBorder="1" applyAlignment="1" applyProtection="1">
      <alignment horizontal="center" vertical="top" wrapText="1"/>
      <protection locked="0"/>
    </xf>
    <xf numFmtId="1" fontId="13" fillId="0" borderId="20" xfId="1" applyNumberFormat="1" applyFont="1" applyBorder="1" applyAlignment="1" applyProtection="1">
      <alignment horizontal="center" vertical="top" wrapText="1"/>
      <protection locked="0"/>
    </xf>
    <xf numFmtId="1" fontId="13" fillId="0" borderId="21" xfId="1" applyNumberFormat="1" applyFont="1" applyBorder="1" applyAlignment="1" applyProtection="1">
      <alignment horizontal="center" vertical="top" wrapText="1"/>
      <protection locked="0"/>
    </xf>
    <xf numFmtId="1" fontId="13" fillId="0" borderId="22" xfId="1" applyNumberFormat="1" applyFont="1" applyBorder="1" applyAlignment="1" applyProtection="1">
      <alignment horizontal="center" vertical="top" wrapText="1"/>
      <protection locked="0"/>
    </xf>
    <xf numFmtId="1" fontId="13" fillId="0" borderId="23" xfId="1" applyNumberFormat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Font="1" applyBorder="1" applyAlignment="1" applyProtection="1">
      <alignment horizontal="center" vertical="top" wrapText="1"/>
      <protection locked="0"/>
    </xf>
    <xf numFmtId="1" fontId="13" fillId="0" borderId="3" xfId="1" applyNumberFormat="1" applyFont="1" applyBorder="1" applyAlignment="1" applyProtection="1">
      <alignment horizontal="center" vertical="top" wrapText="1"/>
      <protection locked="0"/>
    </xf>
    <xf numFmtId="1" fontId="13" fillId="0" borderId="19" xfId="1" applyNumberFormat="1" applyFont="1" applyBorder="1" applyAlignment="1" applyProtection="1">
      <alignment horizontal="center" vertical="top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24" fillId="0" borderId="9" xfId="9" applyBorder="1" applyAlignment="1" applyProtection="1">
      <protection locked="0"/>
    </xf>
    <xf numFmtId="0" fontId="12" fillId="0" borderId="24" xfId="1" applyFont="1" applyBorder="1" applyProtection="1">
      <protection locked="0"/>
    </xf>
    <xf numFmtId="0" fontId="12" fillId="0" borderId="10" xfId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3" fillId="0" borderId="24" xfId="1" applyFont="1" applyBorder="1" applyProtection="1">
      <protection locked="0"/>
    </xf>
    <xf numFmtId="0" fontId="13" fillId="0" borderId="10" xfId="1" applyFont="1" applyBorder="1" applyProtection="1"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left" vertical="top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26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3" fontId="12" fillId="2" borderId="1" xfId="1" applyNumberFormat="1" applyFont="1" applyFill="1" applyBorder="1" applyAlignment="1" applyProtection="1">
      <alignment horizontal="left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27" xfId="1" applyFont="1" applyBorder="1" applyAlignment="1" applyProtection="1">
      <alignment horizontal="left" vertical="top"/>
      <protection locked="0"/>
    </xf>
    <xf numFmtId="0" fontId="12" fillId="0" borderId="21" xfId="1" applyFont="1" applyBorder="1" applyAlignment="1" applyProtection="1">
      <alignment horizontal="left" vertical="top"/>
      <protection locked="0"/>
    </xf>
    <xf numFmtId="0" fontId="12" fillId="0" borderId="28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9" xfId="1" applyFont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3" xfId="1" applyNumberFormat="1" applyFont="1" applyBorder="1" applyAlignment="1" applyProtection="1">
      <alignment horizontal="center" vertical="top" wrapText="1"/>
      <protection locked="0"/>
    </xf>
    <xf numFmtId="0" fontId="13" fillId="0" borderId="32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33" xfId="1" applyFont="1" applyBorder="1" applyAlignment="1" applyProtection="1">
      <alignment horizontal="left" vertical="top" wrapText="1"/>
      <protection locked="0"/>
    </xf>
    <xf numFmtId="0" fontId="12" fillId="0" borderId="30" xfId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3" fillId="4" borderId="34" xfId="1" applyFont="1" applyFill="1" applyBorder="1" applyAlignment="1" applyProtection="1">
      <alignment horizontal="center" vertical="center" wrapText="1"/>
      <protection locked="0"/>
    </xf>
    <xf numFmtId="0" fontId="13" fillId="4" borderId="35" xfId="1" applyFont="1" applyFill="1" applyBorder="1" applyAlignment="1" applyProtection="1">
      <alignment horizontal="center" vertical="center" wrapText="1"/>
      <protection locked="0"/>
    </xf>
    <xf numFmtId="0" fontId="13" fillId="4" borderId="6" xfId="1" applyFont="1" applyFill="1" applyBorder="1" applyAlignment="1" applyProtection="1">
      <alignment horizontal="center" vertical="center" wrapText="1"/>
      <protection locked="0"/>
    </xf>
    <xf numFmtId="0" fontId="13" fillId="4" borderId="7" xfId="1" applyFont="1" applyFill="1" applyBorder="1" applyAlignment="1" applyProtection="1">
      <alignment horizontal="center" vertical="center" wrapText="1"/>
      <protection locked="0"/>
    </xf>
    <xf numFmtId="9" fontId="13" fillId="4" borderId="35" xfId="1" applyNumberFormat="1" applyFont="1" applyFill="1" applyBorder="1" applyAlignment="1" applyProtection="1">
      <alignment horizontal="center" vertical="center" wrapText="1"/>
      <protection locked="0"/>
    </xf>
    <xf numFmtId="9" fontId="13" fillId="4" borderId="35" xfId="1" applyNumberFormat="1" applyFont="1" applyFill="1" applyBorder="1" applyAlignment="1" applyProtection="1">
      <alignment horizontal="center" vertical="center" wrapText="1"/>
      <protection hidden="1"/>
    </xf>
    <xf numFmtId="9" fontId="13" fillId="4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4" borderId="36" xfId="1" applyNumberFormat="1" applyFont="1" applyFill="1" applyBorder="1" applyAlignment="1" applyProtection="1">
      <alignment horizontal="center" vertical="center" wrapText="1"/>
      <protection hidden="1"/>
    </xf>
    <xf numFmtId="9" fontId="13" fillId="4" borderId="8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31" xfId="1" applyNumberFormat="1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0" xfId="5" applyFont="1" applyAlignment="1">
      <alignment horizontal="left"/>
    </xf>
  </cellXfs>
  <cellStyles count="10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9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jp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483650</xdr:colOff>
      <xdr:row>533</xdr:row>
      <xdr:rowOff>2891</xdr:rowOff>
    </xdr:from>
    <xdr:to>
      <xdr:col>7</xdr:col>
      <xdr:colOff>266700</xdr:colOff>
      <xdr:row>552</xdr:row>
      <xdr:rowOff>17265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83650" y="107757311"/>
          <a:ext cx="5627590" cy="377865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392210</xdr:colOff>
      <xdr:row>512</xdr:row>
      <xdr:rowOff>156882</xdr:rowOff>
    </xdr:from>
    <xdr:to>
      <xdr:col>7</xdr:col>
      <xdr:colOff>343870</xdr:colOff>
      <xdr:row>532</xdr:row>
      <xdr:rowOff>82764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2210" y="83864823"/>
          <a:ext cx="6070072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10</xdr:col>
      <xdr:colOff>222642</xdr:colOff>
      <xdr:row>386</xdr:row>
      <xdr:rowOff>0</xdr:rowOff>
    </xdr:from>
    <xdr:ext cx="366639" cy="311496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8671317" y="74866500"/>
          <a:ext cx="366639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01</a:t>
          </a:r>
        </a:p>
      </xdr:txBody>
    </xdr:sp>
    <xdr:clientData/>
  </xdr:oneCellAnchor>
  <xdr:oneCellAnchor>
    <xdr:from>
      <xdr:col>16</xdr:col>
      <xdr:colOff>169058</xdr:colOff>
      <xdr:row>386</xdr:row>
      <xdr:rowOff>0</xdr:rowOff>
    </xdr:from>
    <xdr:ext cx="366639" cy="311496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10818008" y="74866500"/>
          <a:ext cx="366639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01</a:t>
          </a:r>
        </a:p>
      </xdr:txBody>
    </xdr:sp>
    <xdr:clientData/>
  </xdr:oneCellAnchor>
  <xdr:oneCellAnchor>
    <xdr:from>
      <xdr:col>10</xdr:col>
      <xdr:colOff>222642</xdr:colOff>
      <xdr:row>469</xdr:row>
      <xdr:rowOff>0</xdr:rowOff>
    </xdr:from>
    <xdr:ext cx="366639" cy="31149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671317" y="78495525"/>
          <a:ext cx="366639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01</a:t>
          </a:r>
        </a:p>
      </xdr:txBody>
    </xdr:sp>
    <xdr:clientData/>
  </xdr:oneCellAnchor>
  <xdr:oneCellAnchor>
    <xdr:from>
      <xdr:col>16</xdr:col>
      <xdr:colOff>169058</xdr:colOff>
      <xdr:row>469</xdr:row>
      <xdr:rowOff>0</xdr:rowOff>
    </xdr:from>
    <xdr:ext cx="366639" cy="31149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0818008" y="78495525"/>
          <a:ext cx="366639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01</a:t>
          </a:r>
        </a:p>
      </xdr:txBody>
    </xdr:sp>
    <xdr:clientData/>
  </xdr:oneCellAnchor>
  <xdr:twoCellAnchor editAs="oneCell">
    <xdr:from>
      <xdr:col>0</xdr:col>
      <xdr:colOff>161925</xdr:colOff>
      <xdr:row>472</xdr:row>
      <xdr:rowOff>28575</xdr:rowOff>
    </xdr:from>
    <xdr:to>
      <xdr:col>7</xdr:col>
      <xdr:colOff>516207</xdr:colOff>
      <xdr:row>486</xdr:row>
      <xdr:rowOff>110130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117" t="24046" r="20422" b="24764"/>
        <a:stretch/>
      </xdr:blipFill>
      <xdr:spPr>
        <a:xfrm>
          <a:off x="161925" y="87315675"/>
          <a:ext cx="6050232" cy="288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781050</xdr:colOff>
      <xdr:row>472</xdr:row>
      <xdr:rowOff>47625</xdr:rowOff>
    </xdr:from>
    <xdr:to>
      <xdr:col>7</xdr:col>
      <xdr:colOff>523874</xdr:colOff>
      <xdr:row>486</xdr:row>
      <xdr:rowOff>104775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90875" y="87334725"/>
          <a:ext cx="3028949" cy="2847975"/>
        </a:xfrm>
        <a:prstGeom prst="rect">
          <a:avLst/>
        </a:prstGeom>
        <a:noFill/>
        <a:ln w="571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0</xdr:col>
      <xdr:colOff>180975</xdr:colOff>
      <xdr:row>472</xdr:row>
      <xdr:rowOff>38100</xdr:rowOff>
    </xdr:from>
    <xdr:to>
      <xdr:col>3</xdr:col>
      <xdr:colOff>800099</xdr:colOff>
      <xdr:row>486</xdr:row>
      <xdr:rowOff>95250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80975" y="87325200"/>
          <a:ext cx="3028949" cy="2847975"/>
        </a:xfrm>
        <a:prstGeom prst="rect">
          <a:avLst/>
        </a:prstGeom>
        <a:noFill/>
        <a:ln w="57150"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304800</xdr:colOff>
      <xdr:row>469</xdr:row>
      <xdr:rowOff>180975</xdr:rowOff>
    </xdr:from>
    <xdr:to>
      <xdr:col>7</xdr:col>
      <xdr:colOff>485775</xdr:colOff>
      <xdr:row>474</xdr:row>
      <xdr:rowOff>133350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57600" y="87068025"/>
          <a:ext cx="2524125" cy="942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Building No. 1 (Part 1)</a:t>
          </a:r>
        </a:p>
      </xdr:txBody>
    </xdr:sp>
    <xdr:clientData/>
  </xdr:twoCellAnchor>
  <xdr:twoCellAnchor>
    <xdr:from>
      <xdr:col>0</xdr:col>
      <xdr:colOff>466725</xdr:colOff>
      <xdr:row>469</xdr:row>
      <xdr:rowOff>180975</xdr:rowOff>
    </xdr:from>
    <xdr:to>
      <xdr:col>3</xdr:col>
      <xdr:colOff>581025</xdr:colOff>
      <xdr:row>474</xdr:row>
      <xdr:rowOff>133350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66725" y="87068025"/>
          <a:ext cx="2524125" cy="942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7030A0"/>
              </a:solidFill>
            </a:rPr>
            <a:t>Building No. 1 (Part 2)</a:t>
          </a:r>
        </a:p>
      </xdr:txBody>
    </xdr:sp>
    <xdr:clientData/>
  </xdr:twoCellAnchor>
  <xdr:oneCellAnchor>
    <xdr:from>
      <xdr:col>10</xdr:col>
      <xdr:colOff>222642</xdr:colOff>
      <xdr:row>428</xdr:row>
      <xdr:rowOff>0</xdr:rowOff>
    </xdr:from>
    <xdr:ext cx="366639" cy="311496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671317" y="95888175"/>
          <a:ext cx="366639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01</a:t>
          </a:r>
        </a:p>
      </xdr:txBody>
    </xdr:sp>
    <xdr:clientData/>
  </xdr:oneCellAnchor>
  <xdr:oneCellAnchor>
    <xdr:from>
      <xdr:col>16</xdr:col>
      <xdr:colOff>169058</xdr:colOff>
      <xdr:row>428</xdr:row>
      <xdr:rowOff>0</xdr:rowOff>
    </xdr:from>
    <xdr:ext cx="366639" cy="311496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10818008" y="95888175"/>
          <a:ext cx="366639" cy="3114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01</a:t>
          </a:r>
        </a:p>
      </xdr:txBody>
    </xdr:sp>
    <xdr:clientData/>
  </xdr:oneCellAnchor>
  <xdr:twoCellAnchor editAs="oneCell">
    <xdr:from>
      <xdr:col>1</xdr:col>
      <xdr:colOff>485775</xdr:colOff>
      <xdr:row>431</xdr:row>
      <xdr:rowOff>66675</xdr:rowOff>
    </xdr:from>
    <xdr:to>
      <xdr:col>5</xdr:col>
      <xdr:colOff>713467</xdr:colOff>
      <xdr:row>446</xdr:row>
      <xdr:rowOff>143328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36" t="11203" r="37777" b="8943"/>
        <a:stretch/>
      </xdr:blipFill>
      <xdr:spPr>
        <a:xfrm>
          <a:off x="1247775" y="88144350"/>
          <a:ext cx="3599542" cy="30770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754380</xdr:colOff>
      <xdr:row>386</xdr:row>
      <xdr:rowOff>114300</xdr:rowOff>
    </xdr:from>
    <xdr:to>
      <xdr:col>20</xdr:col>
      <xdr:colOff>60420</xdr:colOff>
      <xdr:row>424</xdr:row>
      <xdr:rowOff>193976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3DB4F53E-4C0B-D3FE-679F-0695FA00461B}"/>
            </a:ext>
          </a:extLst>
        </xdr:cNvPr>
        <xdr:cNvGrpSpPr/>
      </xdr:nvGrpSpPr>
      <xdr:grpSpPr>
        <a:xfrm>
          <a:off x="7451015" y="78663053"/>
          <a:ext cx="6065429" cy="7565205"/>
          <a:chOff x="122842" y="232571"/>
          <a:chExt cx="6049740" cy="7600616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E712B3B6-8C40-9A8F-3143-E78278137BA2}"/>
              </a:ext>
            </a:extLst>
          </xdr:cNvPr>
          <xdr:cNvGrpSpPr/>
        </xdr:nvGrpSpPr>
        <xdr:grpSpPr>
          <a:xfrm>
            <a:off x="500771" y="5673187"/>
            <a:ext cx="5293882" cy="2160000"/>
            <a:chOff x="535775" y="5673187"/>
            <a:chExt cx="5293882" cy="2160000"/>
          </a:xfrm>
        </xdr:grpSpPr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627DF112-37AB-3717-D572-F3A08711A3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11345" y="5673187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8" name="Picture 17">
              <a:extLst>
                <a:ext uri="{FF2B5EF4-FFF2-40B4-BE49-F238E27FC236}">
                  <a16:creationId xmlns:a16="http://schemas.microsoft.com/office/drawing/2014/main" id="{2C58B9BC-B346-09EF-0262-B20CC591C1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35775" y="5673187"/>
              <a:ext cx="162506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70AAA68B-8B7D-A5C3-0D61-D7B42ACB3C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73560" y="5673187"/>
              <a:ext cx="162506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DB5C6496-ECDD-A0F2-6682-9BC91DF0107A}"/>
              </a:ext>
            </a:extLst>
          </xdr:cNvPr>
          <xdr:cNvGrpSpPr/>
        </xdr:nvGrpSpPr>
        <xdr:grpSpPr>
          <a:xfrm>
            <a:off x="122842" y="232571"/>
            <a:ext cx="6049740" cy="5260616"/>
            <a:chOff x="122842" y="232571"/>
            <a:chExt cx="6049740" cy="5260616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2A937958-ED99-F779-3F17-8BEB24D3EAB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2842" y="273187"/>
              <a:ext cx="3910921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91F125CD-0F9A-C02A-2D88-68E2151B2A6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35936" y="297318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6E54EA6B-5E96-4550-6020-5B5BE8A1E08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235936" y="273187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11" name="TextBox 26">
              <a:extLst>
                <a:ext uri="{FF2B5EF4-FFF2-40B4-BE49-F238E27FC236}">
                  <a16:creationId xmlns:a16="http://schemas.microsoft.com/office/drawing/2014/main" id="{541625EC-FF8E-67BF-3964-D66F0826FDFF}"/>
                </a:ext>
              </a:extLst>
            </xdr:cNvPr>
            <xdr:cNvSpPr txBox="1"/>
          </xdr:nvSpPr>
          <xdr:spPr>
            <a:xfrm>
              <a:off x="2893830" y="273187"/>
              <a:ext cx="825867" cy="64633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Bldg 1 </a:t>
              </a:r>
            </a:p>
            <a:p>
              <a:r>
                <a:rPr lang="en-IN" b="1"/>
                <a:t>Part 2</a:t>
              </a:r>
            </a:p>
          </xdr:txBody>
        </xdr:sp>
        <xdr:sp macro="" textlink="">
          <xdr:nvSpPr>
            <xdr:cNvPr id="14" name="TextBox 27">
              <a:extLst>
                <a:ext uri="{FF2B5EF4-FFF2-40B4-BE49-F238E27FC236}">
                  <a16:creationId xmlns:a16="http://schemas.microsoft.com/office/drawing/2014/main" id="{FD101F9D-A696-1628-9588-F562FA437B62}"/>
                </a:ext>
              </a:extLst>
            </xdr:cNvPr>
            <xdr:cNvSpPr txBox="1"/>
          </xdr:nvSpPr>
          <xdr:spPr>
            <a:xfrm>
              <a:off x="122842" y="357007"/>
              <a:ext cx="825867" cy="64633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Bldg 1 </a:t>
              </a:r>
            </a:p>
            <a:p>
              <a:r>
                <a:rPr lang="en-IN" b="1"/>
                <a:t>Part 1</a:t>
              </a:r>
            </a:p>
          </xdr:txBody>
        </xdr:sp>
        <xdr:sp macro="" textlink="">
          <xdr:nvSpPr>
            <xdr:cNvPr id="15" name="TextBox 28">
              <a:extLst>
                <a:ext uri="{FF2B5EF4-FFF2-40B4-BE49-F238E27FC236}">
                  <a16:creationId xmlns:a16="http://schemas.microsoft.com/office/drawing/2014/main" id="{C68C4C4C-8DA3-FD44-578B-4D734A81A2B7}"/>
                </a:ext>
              </a:extLst>
            </xdr:cNvPr>
            <xdr:cNvSpPr txBox="1"/>
          </xdr:nvSpPr>
          <xdr:spPr>
            <a:xfrm>
              <a:off x="4189763" y="232571"/>
              <a:ext cx="825867" cy="64633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Bldg 1 </a:t>
              </a:r>
            </a:p>
            <a:p>
              <a:r>
                <a:rPr lang="en-IN" b="1"/>
                <a:t>Part 1</a:t>
              </a:r>
            </a:p>
          </xdr:txBody>
        </xdr:sp>
        <xdr:sp macro="" textlink="">
          <xdr:nvSpPr>
            <xdr:cNvPr id="16" name="TextBox 29">
              <a:extLst>
                <a:ext uri="{FF2B5EF4-FFF2-40B4-BE49-F238E27FC236}">
                  <a16:creationId xmlns:a16="http://schemas.microsoft.com/office/drawing/2014/main" id="{EF0148FA-5D4C-5E85-F6A0-71DA4D641413}"/>
                </a:ext>
              </a:extLst>
            </xdr:cNvPr>
            <xdr:cNvSpPr txBox="1"/>
          </xdr:nvSpPr>
          <xdr:spPr>
            <a:xfrm>
              <a:off x="5346715" y="2973187"/>
              <a:ext cx="825867" cy="646331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IN" b="1"/>
                <a:t>Bldg 1 </a:t>
              </a:r>
            </a:p>
            <a:p>
              <a:r>
                <a:rPr lang="en-IN" b="1"/>
                <a:t>Part 2</a:t>
              </a:r>
            </a:p>
          </xdr:txBody>
        </xdr:sp>
      </xdr:grpSp>
    </xdr:grpSp>
    <xdr:clientData/>
  </xdr:twoCellAnchor>
  <xdr:twoCellAnchor>
    <xdr:from>
      <xdr:col>0</xdr:col>
      <xdr:colOff>175261</xdr:colOff>
      <xdr:row>387</xdr:row>
      <xdr:rowOff>137160</xdr:rowOff>
    </xdr:from>
    <xdr:to>
      <xdr:col>7</xdr:col>
      <xdr:colOff>624840</xdr:colOff>
      <xdr:row>427</xdr:row>
      <xdr:rowOff>87836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F54BB30A-725E-E22E-45C8-A32C9C9C2EA1}"/>
            </a:ext>
          </a:extLst>
        </xdr:cNvPr>
        <xdr:cNvGrpSpPr/>
      </xdr:nvGrpSpPr>
      <xdr:grpSpPr>
        <a:xfrm>
          <a:off x="175261" y="78883136"/>
          <a:ext cx="6294567" cy="7830653"/>
          <a:chOff x="175261" y="79446120"/>
          <a:chExt cx="6294119" cy="7867856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233F8504-2366-37E0-1CE7-676A290B6F00}"/>
              </a:ext>
            </a:extLst>
          </xdr:cNvPr>
          <xdr:cNvGrpSpPr/>
        </xdr:nvGrpSpPr>
        <xdr:grpSpPr>
          <a:xfrm>
            <a:off x="175261" y="79446120"/>
            <a:ext cx="6294119" cy="7867856"/>
            <a:chOff x="76013" y="113619"/>
            <a:chExt cx="6798053" cy="8652716"/>
          </a:xfrm>
        </xdr:grpSpPr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8002BA71-1F03-B2D5-BF6F-FCD5DD8956C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23250" y="6606335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7EB17166-E9C1-A6AE-40ED-97E9CF05138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23195" y="113619"/>
              <a:ext cx="3044898" cy="406362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ACF4F409-7DFC-6B59-5CD5-D07282B52D48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810500" y="4299433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B6D971A9-D10F-4903-83EC-983FF2BCC2CA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533033" y="4299433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7159416D-3D3A-D3DF-171B-6664AAB9E75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496852" y="125194"/>
              <a:ext cx="3044898" cy="4063626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26" name="Picture 25">
              <a:extLst>
                <a:ext uri="{FF2B5EF4-FFF2-40B4-BE49-F238E27FC236}">
                  <a16:creationId xmlns:a16="http://schemas.microsoft.com/office/drawing/2014/main" id="{813E3861-7892-72DD-CECE-AE1AE4B39DA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255566" y="4321835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7BA710E2-088A-53AC-5FDB-F8F32307804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6013" y="4299433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C2E0A39E-0358-6DA1-FDF2-FF45188953D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59075" y="6581621"/>
              <a:ext cx="2877336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32587997-0B04-67EA-B0E3-CF8F05E7B452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189011" y="6581621"/>
              <a:ext cx="161850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48" name="TextBox 27">
            <a:extLst>
              <a:ext uri="{FF2B5EF4-FFF2-40B4-BE49-F238E27FC236}">
                <a16:creationId xmlns:a16="http://schemas.microsoft.com/office/drawing/2014/main" id="{0995323E-9DCC-48BE-B0A6-46AF515E405A}"/>
              </a:ext>
            </a:extLst>
          </xdr:cNvPr>
          <xdr:cNvSpPr txBox="1"/>
        </xdr:nvSpPr>
        <xdr:spPr>
          <a:xfrm>
            <a:off x="1973581" y="79491840"/>
            <a:ext cx="825867" cy="64633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Bldg 1 </a:t>
            </a:r>
          </a:p>
          <a:p>
            <a:r>
              <a:rPr lang="en-IN" sz="1400" b="1"/>
              <a:t>Part 1</a:t>
            </a:r>
          </a:p>
        </xdr:txBody>
      </xdr:sp>
      <xdr:sp macro="" textlink="">
        <xdr:nvSpPr>
          <xdr:cNvPr id="49" name="TextBox 27">
            <a:extLst>
              <a:ext uri="{FF2B5EF4-FFF2-40B4-BE49-F238E27FC236}">
                <a16:creationId xmlns:a16="http://schemas.microsoft.com/office/drawing/2014/main" id="{A3BDB6E6-EDC7-BC7D-69E3-D115ED448B01}"/>
              </a:ext>
            </a:extLst>
          </xdr:cNvPr>
          <xdr:cNvSpPr txBox="1"/>
        </xdr:nvSpPr>
        <xdr:spPr>
          <a:xfrm>
            <a:off x="3307081" y="79491840"/>
            <a:ext cx="825867" cy="64633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400" b="1"/>
              <a:t>Bldg 1 </a:t>
            </a:r>
          </a:p>
          <a:p>
            <a:r>
              <a:rPr lang="en-IN" sz="1400" b="1"/>
              <a:t>Part 1</a:t>
            </a:r>
          </a:p>
        </xdr:txBody>
      </xdr:sp>
      <xdr:sp macro="" textlink="">
        <xdr:nvSpPr>
          <xdr:cNvPr id="52" name="TextBox 27">
            <a:extLst>
              <a:ext uri="{FF2B5EF4-FFF2-40B4-BE49-F238E27FC236}">
                <a16:creationId xmlns:a16="http://schemas.microsoft.com/office/drawing/2014/main" id="{A8CB1969-2D1C-799C-2118-1BE1C105DC53}"/>
              </a:ext>
            </a:extLst>
          </xdr:cNvPr>
          <xdr:cNvSpPr txBox="1"/>
        </xdr:nvSpPr>
        <xdr:spPr>
          <a:xfrm>
            <a:off x="395069" y="80118439"/>
            <a:ext cx="824108" cy="649261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IN" sz="1100" b="1"/>
              <a:t>Bldg 1 </a:t>
            </a:r>
          </a:p>
          <a:p>
            <a:r>
              <a:rPr lang="en-IN" sz="1100" b="1"/>
              <a:t>Part 2</a:t>
            </a:r>
          </a:p>
        </xdr:txBody>
      </xdr:sp>
    </xdr:grpSp>
    <xdr:clientData/>
  </xdr:twoCellAnchor>
  <xdr:twoCellAnchor editAs="oneCell">
    <xdr:from>
      <xdr:col>9</xdr:col>
      <xdr:colOff>543005</xdr:colOff>
      <xdr:row>375</xdr:row>
      <xdr:rowOff>56990</xdr:rowOff>
    </xdr:from>
    <xdr:to>
      <xdr:col>22</xdr:col>
      <xdr:colOff>534672</xdr:colOff>
      <xdr:row>414</xdr:row>
      <xdr:rowOff>91381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AE67AC68-AE94-DE12-69EA-8EAD7F5AE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456919" y="76300533"/>
          <a:ext cx="6773467" cy="7684871"/>
        </a:xfrm>
        <a:prstGeom prst="rect">
          <a:avLst/>
        </a:prstGeom>
      </xdr:spPr>
    </xdr:pic>
    <xdr:clientData/>
  </xdr:twoCellAnchor>
  <xdr:twoCellAnchor editAs="oneCell">
    <xdr:from>
      <xdr:col>9</xdr:col>
      <xdr:colOff>556195</xdr:colOff>
      <xdr:row>385</xdr:row>
      <xdr:rowOff>104059</xdr:rowOff>
    </xdr:from>
    <xdr:to>
      <xdr:col>23</xdr:col>
      <xdr:colOff>478201</xdr:colOff>
      <xdr:row>414</xdr:row>
      <xdr:rowOff>124276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0A4C3D0-2F43-7FBF-0DBA-7ED37B613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8450515" y="78559579"/>
          <a:ext cx="7343886" cy="57580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15</xdr:col>
      <xdr:colOff>121785</xdr:colOff>
      <xdr:row>41</xdr:row>
      <xdr:rowOff>75286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783" y="579783"/>
          <a:ext cx="13009524" cy="7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QwYuScKkZB5ydtbk8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512"/>
  <sheetViews>
    <sheetView tabSelected="1" showWhiteSpace="0" view="pageBreakPreview" topLeftCell="A51" zoomScale="85" zoomScaleNormal="100" zoomScaleSheetLayoutView="85" zoomScalePageLayoutView="85" workbookViewId="0">
      <selection activeCell="K59" sqref="K59"/>
    </sheetView>
  </sheetViews>
  <sheetFormatPr defaultColWidth="9.109375" defaultRowHeight="15.6" x14ac:dyDescent="0.3"/>
  <cols>
    <col min="1" max="1" width="11.44140625" style="16" customWidth="1"/>
    <col min="2" max="2" width="12" style="16" customWidth="1"/>
    <col min="3" max="3" width="12.6640625" style="16" customWidth="1"/>
    <col min="4" max="4" width="14.109375" style="16" customWidth="1"/>
    <col min="5" max="7" width="11.6640625" style="16" customWidth="1"/>
    <col min="8" max="8" width="12.44140625" style="16" customWidth="1"/>
    <col min="9" max="9" width="17.44140625" style="8" customWidth="1"/>
    <col min="10" max="10" width="11.44140625" style="8" customWidth="1"/>
    <col min="11" max="11" width="10.5546875" style="8" bestFit="1" customWidth="1"/>
    <col min="12" max="12" width="10.5546875" style="8" customWidth="1"/>
    <col min="13" max="13" width="11.88671875" style="8" customWidth="1"/>
    <col min="14" max="14" width="12.5546875" style="8" hidden="1" customWidth="1"/>
    <col min="15" max="15" width="9.88671875" style="8" hidden="1" customWidth="1"/>
    <col min="16" max="16" width="10.44140625" style="8" hidden="1" customWidth="1"/>
    <col min="17" max="247" width="9.109375" style="8"/>
    <col min="248" max="248" width="8.6640625" style="8" customWidth="1"/>
    <col min="249" max="249" width="9.88671875" style="8" customWidth="1"/>
    <col min="250" max="250" width="14.44140625" style="8" customWidth="1"/>
    <col min="251" max="251" width="7.332031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6640625" style="8" customWidth="1"/>
    <col min="505" max="505" width="9.88671875" style="8" customWidth="1"/>
    <col min="506" max="506" width="14.44140625" style="8" customWidth="1"/>
    <col min="507" max="507" width="7.332031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6640625" style="8" customWidth="1"/>
    <col min="761" max="761" width="9.88671875" style="8" customWidth="1"/>
    <col min="762" max="762" width="14.44140625" style="8" customWidth="1"/>
    <col min="763" max="763" width="7.332031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6640625" style="8" customWidth="1"/>
    <col min="1017" max="1017" width="9.88671875" style="8" customWidth="1"/>
    <col min="1018" max="1018" width="14.44140625" style="8" customWidth="1"/>
    <col min="1019" max="1019" width="7.332031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6640625" style="8" customWidth="1"/>
    <col min="1273" max="1273" width="9.88671875" style="8" customWidth="1"/>
    <col min="1274" max="1274" width="14.44140625" style="8" customWidth="1"/>
    <col min="1275" max="1275" width="7.332031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6640625" style="8" customWidth="1"/>
    <col min="1529" max="1529" width="9.88671875" style="8" customWidth="1"/>
    <col min="1530" max="1530" width="14.44140625" style="8" customWidth="1"/>
    <col min="1531" max="1531" width="7.332031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6640625" style="8" customWidth="1"/>
    <col min="1785" max="1785" width="9.88671875" style="8" customWidth="1"/>
    <col min="1786" max="1786" width="14.44140625" style="8" customWidth="1"/>
    <col min="1787" max="1787" width="7.332031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6640625" style="8" customWidth="1"/>
    <col min="2041" max="2041" width="9.88671875" style="8" customWidth="1"/>
    <col min="2042" max="2042" width="14.44140625" style="8" customWidth="1"/>
    <col min="2043" max="2043" width="7.332031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6640625" style="8" customWidth="1"/>
    <col min="2297" max="2297" width="9.88671875" style="8" customWidth="1"/>
    <col min="2298" max="2298" width="14.44140625" style="8" customWidth="1"/>
    <col min="2299" max="2299" width="7.332031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6640625" style="8" customWidth="1"/>
    <col min="2553" max="2553" width="9.88671875" style="8" customWidth="1"/>
    <col min="2554" max="2554" width="14.44140625" style="8" customWidth="1"/>
    <col min="2555" max="2555" width="7.332031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6640625" style="8" customWidth="1"/>
    <col min="2809" max="2809" width="9.88671875" style="8" customWidth="1"/>
    <col min="2810" max="2810" width="14.44140625" style="8" customWidth="1"/>
    <col min="2811" max="2811" width="7.332031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6640625" style="8" customWidth="1"/>
    <col min="3065" max="3065" width="9.88671875" style="8" customWidth="1"/>
    <col min="3066" max="3066" width="14.44140625" style="8" customWidth="1"/>
    <col min="3067" max="3067" width="7.332031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6640625" style="8" customWidth="1"/>
    <col min="3321" max="3321" width="9.88671875" style="8" customWidth="1"/>
    <col min="3322" max="3322" width="14.44140625" style="8" customWidth="1"/>
    <col min="3323" max="3323" width="7.332031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6640625" style="8" customWidth="1"/>
    <col min="3577" max="3577" width="9.88671875" style="8" customWidth="1"/>
    <col min="3578" max="3578" width="14.44140625" style="8" customWidth="1"/>
    <col min="3579" max="3579" width="7.332031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6640625" style="8" customWidth="1"/>
    <col min="3833" max="3833" width="9.88671875" style="8" customWidth="1"/>
    <col min="3834" max="3834" width="14.44140625" style="8" customWidth="1"/>
    <col min="3835" max="3835" width="7.332031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6640625" style="8" customWidth="1"/>
    <col min="4089" max="4089" width="9.88671875" style="8" customWidth="1"/>
    <col min="4090" max="4090" width="14.44140625" style="8" customWidth="1"/>
    <col min="4091" max="4091" width="7.332031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6640625" style="8" customWidth="1"/>
    <col min="4345" max="4345" width="9.88671875" style="8" customWidth="1"/>
    <col min="4346" max="4346" width="14.44140625" style="8" customWidth="1"/>
    <col min="4347" max="4347" width="7.332031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6640625" style="8" customWidth="1"/>
    <col min="4601" max="4601" width="9.88671875" style="8" customWidth="1"/>
    <col min="4602" max="4602" width="14.44140625" style="8" customWidth="1"/>
    <col min="4603" max="4603" width="7.332031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6640625" style="8" customWidth="1"/>
    <col min="4857" max="4857" width="9.88671875" style="8" customWidth="1"/>
    <col min="4858" max="4858" width="14.44140625" style="8" customWidth="1"/>
    <col min="4859" max="4859" width="7.332031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6640625" style="8" customWidth="1"/>
    <col min="5113" max="5113" width="9.88671875" style="8" customWidth="1"/>
    <col min="5114" max="5114" width="14.44140625" style="8" customWidth="1"/>
    <col min="5115" max="5115" width="7.332031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6640625" style="8" customWidth="1"/>
    <col min="5369" max="5369" width="9.88671875" style="8" customWidth="1"/>
    <col min="5370" max="5370" width="14.44140625" style="8" customWidth="1"/>
    <col min="5371" max="5371" width="7.332031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6640625" style="8" customWidth="1"/>
    <col min="5625" max="5625" width="9.88671875" style="8" customWidth="1"/>
    <col min="5626" max="5626" width="14.44140625" style="8" customWidth="1"/>
    <col min="5627" max="5627" width="7.332031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6640625" style="8" customWidth="1"/>
    <col min="5881" max="5881" width="9.88671875" style="8" customWidth="1"/>
    <col min="5882" max="5882" width="14.44140625" style="8" customWidth="1"/>
    <col min="5883" max="5883" width="7.332031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6640625" style="8" customWidth="1"/>
    <col min="6137" max="6137" width="9.88671875" style="8" customWidth="1"/>
    <col min="6138" max="6138" width="14.44140625" style="8" customWidth="1"/>
    <col min="6139" max="6139" width="7.332031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6640625" style="8" customWidth="1"/>
    <col min="6393" max="6393" width="9.88671875" style="8" customWidth="1"/>
    <col min="6394" max="6394" width="14.44140625" style="8" customWidth="1"/>
    <col min="6395" max="6395" width="7.332031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6640625" style="8" customWidth="1"/>
    <col min="6649" max="6649" width="9.88671875" style="8" customWidth="1"/>
    <col min="6650" max="6650" width="14.44140625" style="8" customWidth="1"/>
    <col min="6651" max="6651" width="7.332031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6640625" style="8" customWidth="1"/>
    <col min="6905" max="6905" width="9.88671875" style="8" customWidth="1"/>
    <col min="6906" max="6906" width="14.44140625" style="8" customWidth="1"/>
    <col min="6907" max="6907" width="7.332031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6640625" style="8" customWidth="1"/>
    <col min="7161" max="7161" width="9.88671875" style="8" customWidth="1"/>
    <col min="7162" max="7162" width="14.44140625" style="8" customWidth="1"/>
    <col min="7163" max="7163" width="7.332031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6640625" style="8" customWidth="1"/>
    <col min="7417" max="7417" width="9.88671875" style="8" customWidth="1"/>
    <col min="7418" max="7418" width="14.44140625" style="8" customWidth="1"/>
    <col min="7419" max="7419" width="7.332031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6640625" style="8" customWidth="1"/>
    <col min="7673" max="7673" width="9.88671875" style="8" customWidth="1"/>
    <col min="7674" max="7674" width="14.44140625" style="8" customWidth="1"/>
    <col min="7675" max="7675" width="7.332031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6640625" style="8" customWidth="1"/>
    <col min="7929" max="7929" width="9.88671875" style="8" customWidth="1"/>
    <col min="7930" max="7930" width="14.44140625" style="8" customWidth="1"/>
    <col min="7931" max="7931" width="7.332031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6640625" style="8" customWidth="1"/>
    <col min="8185" max="8185" width="9.88671875" style="8" customWidth="1"/>
    <col min="8186" max="8186" width="14.44140625" style="8" customWidth="1"/>
    <col min="8187" max="8187" width="7.332031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6640625" style="8" customWidth="1"/>
    <col min="8441" max="8441" width="9.88671875" style="8" customWidth="1"/>
    <col min="8442" max="8442" width="14.44140625" style="8" customWidth="1"/>
    <col min="8443" max="8443" width="7.332031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6640625" style="8" customWidth="1"/>
    <col min="8697" max="8697" width="9.88671875" style="8" customWidth="1"/>
    <col min="8698" max="8698" width="14.44140625" style="8" customWidth="1"/>
    <col min="8699" max="8699" width="7.332031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6640625" style="8" customWidth="1"/>
    <col min="8953" max="8953" width="9.88671875" style="8" customWidth="1"/>
    <col min="8954" max="8954" width="14.44140625" style="8" customWidth="1"/>
    <col min="8955" max="8955" width="7.332031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6640625" style="8" customWidth="1"/>
    <col min="9209" max="9209" width="9.88671875" style="8" customWidth="1"/>
    <col min="9210" max="9210" width="14.44140625" style="8" customWidth="1"/>
    <col min="9211" max="9211" width="7.332031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6640625" style="8" customWidth="1"/>
    <col min="9465" max="9465" width="9.88671875" style="8" customWidth="1"/>
    <col min="9466" max="9466" width="14.44140625" style="8" customWidth="1"/>
    <col min="9467" max="9467" width="7.332031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6640625" style="8" customWidth="1"/>
    <col min="9721" max="9721" width="9.88671875" style="8" customWidth="1"/>
    <col min="9722" max="9722" width="14.44140625" style="8" customWidth="1"/>
    <col min="9723" max="9723" width="7.332031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6640625" style="8" customWidth="1"/>
    <col min="9977" max="9977" width="9.88671875" style="8" customWidth="1"/>
    <col min="9978" max="9978" width="14.44140625" style="8" customWidth="1"/>
    <col min="9979" max="9979" width="7.332031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6640625" style="8" customWidth="1"/>
    <col min="10233" max="10233" width="9.88671875" style="8" customWidth="1"/>
    <col min="10234" max="10234" width="14.44140625" style="8" customWidth="1"/>
    <col min="10235" max="10235" width="7.332031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6640625" style="8" customWidth="1"/>
    <col min="10489" max="10489" width="9.88671875" style="8" customWidth="1"/>
    <col min="10490" max="10490" width="14.44140625" style="8" customWidth="1"/>
    <col min="10491" max="10491" width="7.332031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6640625" style="8" customWidth="1"/>
    <col min="10745" max="10745" width="9.88671875" style="8" customWidth="1"/>
    <col min="10746" max="10746" width="14.44140625" style="8" customWidth="1"/>
    <col min="10747" max="10747" width="7.332031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6640625" style="8" customWidth="1"/>
    <col min="11001" max="11001" width="9.88671875" style="8" customWidth="1"/>
    <col min="11002" max="11002" width="14.44140625" style="8" customWidth="1"/>
    <col min="11003" max="11003" width="7.332031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6640625" style="8" customWidth="1"/>
    <col min="11257" max="11257" width="9.88671875" style="8" customWidth="1"/>
    <col min="11258" max="11258" width="14.44140625" style="8" customWidth="1"/>
    <col min="11259" max="11259" width="7.332031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6640625" style="8" customWidth="1"/>
    <col min="11513" max="11513" width="9.88671875" style="8" customWidth="1"/>
    <col min="11514" max="11514" width="14.44140625" style="8" customWidth="1"/>
    <col min="11515" max="11515" width="7.332031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6640625" style="8" customWidth="1"/>
    <col min="11769" max="11769" width="9.88671875" style="8" customWidth="1"/>
    <col min="11770" max="11770" width="14.44140625" style="8" customWidth="1"/>
    <col min="11771" max="11771" width="7.332031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6640625" style="8" customWidth="1"/>
    <col min="12025" max="12025" width="9.88671875" style="8" customWidth="1"/>
    <col min="12026" max="12026" width="14.44140625" style="8" customWidth="1"/>
    <col min="12027" max="12027" width="7.332031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6640625" style="8" customWidth="1"/>
    <col min="12281" max="12281" width="9.88671875" style="8" customWidth="1"/>
    <col min="12282" max="12282" width="14.44140625" style="8" customWidth="1"/>
    <col min="12283" max="12283" width="7.332031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6640625" style="8" customWidth="1"/>
    <col min="12537" max="12537" width="9.88671875" style="8" customWidth="1"/>
    <col min="12538" max="12538" width="14.44140625" style="8" customWidth="1"/>
    <col min="12539" max="12539" width="7.332031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6640625" style="8" customWidth="1"/>
    <col min="12793" max="12793" width="9.88671875" style="8" customWidth="1"/>
    <col min="12794" max="12794" width="14.44140625" style="8" customWidth="1"/>
    <col min="12795" max="12795" width="7.332031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6640625" style="8" customWidth="1"/>
    <col min="13049" max="13049" width="9.88671875" style="8" customWidth="1"/>
    <col min="13050" max="13050" width="14.44140625" style="8" customWidth="1"/>
    <col min="13051" max="13051" width="7.332031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6640625" style="8" customWidth="1"/>
    <col min="13305" max="13305" width="9.88671875" style="8" customWidth="1"/>
    <col min="13306" max="13306" width="14.44140625" style="8" customWidth="1"/>
    <col min="13307" max="13307" width="7.332031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6640625" style="8" customWidth="1"/>
    <col min="13561" max="13561" width="9.88671875" style="8" customWidth="1"/>
    <col min="13562" max="13562" width="14.44140625" style="8" customWidth="1"/>
    <col min="13563" max="13563" width="7.332031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6640625" style="8" customWidth="1"/>
    <col min="13817" max="13817" width="9.88671875" style="8" customWidth="1"/>
    <col min="13818" max="13818" width="14.44140625" style="8" customWidth="1"/>
    <col min="13819" max="13819" width="7.332031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6640625" style="8" customWidth="1"/>
    <col min="14073" max="14073" width="9.88671875" style="8" customWidth="1"/>
    <col min="14074" max="14074" width="14.44140625" style="8" customWidth="1"/>
    <col min="14075" max="14075" width="7.332031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6640625" style="8" customWidth="1"/>
    <col min="14329" max="14329" width="9.88671875" style="8" customWidth="1"/>
    <col min="14330" max="14330" width="14.44140625" style="8" customWidth="1"/>
    <col min="14331" max="14331" width="7.332031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6640625" style="8" customWidth="1"/>
    <col min="14585" max="14585" width="9.88671875" style="8" customWidth="1"/>
    <col min="14586" max="14586" width="14.44140625" style="8" customWidth="1"/>
    <col min="14587" max="14587" width="7.332031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6640625" style="8" customWidth="1"/>
    <col min="14841" max="14841" width="9.88671875" style="8" customWidth="1"/>
    <col min="14842" max="14842" width="14.44140625" style="8" customWidth="1"/>
    <col min="14843" max="14843" width="7.332031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6640625" style="8" customWidth="1"/>
    <col min="15097" max="15097" width="9.88671875" style="8" customWidth="1"/>
    <col min="15098" max="15098" width="14.44140625" style="8" customWidth="1"/>
    <col min="15099" max="15099" width="7.332031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6640625" style="8" customWidth="1"/>
    <col min="15353" max="15353" width="9.88671875" style="8" customWidth="1"/>
    <col min="15354" max="15354" width="14.44140625" style="8" customWidth="1"/>
    <col min="15355" max="15355" width="7.332031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6640625" style="8" customWidth="1"/>
    <col min="15609" max="15609" width="9.88671875" style="8" customWidth="1"/>
    <col min="15610" max="15610" width="14.44140625" style="8" customWidth="1"/>
    <col min="15611" max="15611" width="7.332031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6640625" style="8" customWidth="1"/>
    <col min="15865" max="15865" width="9.88671875" style="8" customWidth="1"/>
    <col min="15866" max="15866" width="14.44140625" style="8" customWidth="1"/>
    <col min="15867" max="15867" width="7.332031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6640625" style="8" customWidth="1"/>
    <col min="16121" max="16121" width="9.88671875" style="8" customWidth="1"/>
    <col min="16122" max="16122" width="14.44140625" style="8" customWidth="1"/>
    <col min="16123" max="16123" width="7.332031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18" ht="46.5" customHeight="1" x14ac:dyDescent="0.3">
      <c r="A1" s="154" t="s">
        <v>244</v>
      </c>
      <c r="B1" s="154"/>
      <c r="C1" s="154"/>
      <c r="D1" s="154"/>
      <c r="E1" s="154"/>
      <c r="F1" s="154"/>
      <c r="G1" s="154"/>
      <c r="H1" s="154"/>
      <c r="J1" s="8" t="s">
        <v>257</v>
      </c>
    </row>
    <row r="2" spans="1:18" ht="16.5" customHeight="1" x14ac:dyDescent="0.3">
      <c r="A2" s="139" t="s">
        <v>0</v>
      </c>
      <c r="B2" s="139"/>
      <c r="C2" s="139"/>
      <c r="D2" s="139"/>
      <c r="E2" s="139"/>
      <c r="F2" s="139"/>
      <c r="G2" s="139"/>
      <c r="H2" s="139"/>
      <c r="J2" s="69" t="s">
        <v>255</v>
      </c>
      <c r="K2" s="70"/>
      <c r="L2" s="70"/>
      <c r="M2" s="70"/>
      <c r="N2" s="70"/>
      <c r="O2" s="70"/>
      <c r="P2" s="70"/>
      <c r="Q2" s="70"/>
      <c r="R2" s="70"/>
    </row>
    <row r="3" spans="1:18" x14ac:dyDescent="0.3">
      <c r="A3" s="68" t="s">
        <v>1</v>
      </c>
      <c r="B3" s="68"/>
      <c r="C3" s="68"/>
      <c r="D3" s="68"/>
      <c r="E3" s="153" t="str">
        <f ca="1">TEXT(TODAY(),"DD/MM/YYYY")</f>
        <v>13/08/2025</v>
      </c>
      <c r="F3" s="153"/>
      <c r="G3" s="153"/>
      <c r="H3" s="153"/>
      <c r="J3" s="69"/>
      <c r="K3" s="70"/>
      <c r="L3" s="70"/>
      <c r="M3" s="70"/>
      <c r="N3" s="70"/>
      <c r="O3" s="70"/>
      <c r="P3" s="70"/>
      <c r="Q3" s="70"/>
      <c r="R3" s="70"/>
    </row>
    <row r="4" spans="1:18" ht="15" customHeight="1" x14ac:dyDescent="0.3">
      <c r="A4" s="68" t="s">
        <v>2</v>
      </c>
      <c r="B4" s="68"/>
      <c r="C4" s="68"/>
      <c r="D4" s="68"/>
      <c r="E4" s="150" t="s">
        <v>202</v>
      </c>
      <c r="F4" s="150"/>
      <c r="G4" s="150"/>
      <c r="H4" s="150"/>
      <c r="J4" s="71" t="s">
        <v>256</v>
      </c>
      <c r="K4" s="72"/>
      <c r="L4" s="72"/>
      <c r="M4" s="72"/>
      <c r="N4" s="72"/>
      <c r="O4" s="72"/>
      <c r="P4" s="72"/>
      <c r="Q4" s="72"/>
      <c r="R4" s="72"/>
    </row>
    <row r="5" spans="1:18" x14ac:dyDescent="0.3">
      <c r="A5" s="68" t="s">
        <v>3</v>
      </c>
      <c r="B5" s="68"/>
      <c r="C5" s="68"/>
      <c r="D5" s="68"/>
      <c r="E5" s="153">
        <v>45881</v>
      </c>
      <c r="F5" s="153"/>
      <c r="G5" s="153"/>
      <c r="H5" s="153"/>
    </row>
    <row r="6" spans="1:18" ht="16.5" customHeight="1" x14ac:dyDescent="0.3">
      <c r="A6" s="68" t="s">
        <v>4</v>
      </c>
      <c r="B6" s="68"/>
      <c r="C6" s="68"/>
      <c r="D6" s="68"/>
      <c r="E6" s="149" t="s">
        <v>265</v>
      </c>
      <c r="F6" s="149"/>
      <c r="G6" s="149"/>
      <c r="H6" s="149"/>
    </row>
    <row r="7" spans="1:18" ht="15" customHeight="1" x14ac:dyDescent="0.3">
      <c r="A7" s="68" t="s">
        <v>5</v>
      </c>
      <c r="B7" s="68"/>
      <c r="C7" s="68"/>
      <c r="D7" s="68"/>
      <c r="E7" s="149" t="str">
        <f>E6</f>
        <v>M/s. Space Edge Projects Pvt Ltd</v>
      </c>
      <c r="F7" s="149"/>
      <c r="G7" s="149"/>
      <c r="H7" s="149"/>
    </row>
    <row r="8" spans="1:18" x14ac:dyDescent="0.3">
      <c r="A8" s="68" t="s">
        <v>260</v>
      </c>
      <c r="B8" s="68"/>
      <c r="C8" s="68"/>
      <c r="D8" s="68"/>
      <c r="E8" s="97" t="s">
        <v>175</v>
      </c>
      <c r="F8" s="97"/>
      <c r="G8" s="97"/>
      <c r="H8" s="97"/>
    </row>
    <row r="9" spans="1:18" x14ac:dyDescent="0.3">
      <c r="A9" s="68" t="s">
        <v>261</v>
      </c>
      <c r="B9" s="68"/>
      <c r="C9" s="68"/>
      <c r="D9" s="68"/>
      <c r="E9" s="97" t="s">
        <v>259</v>
      </c>
      <c r="F9" s="97"/>
      <c r="G9" s="97"/>
      <c r="H9" s="97"/>
    </row>
    <row r="10" spans="1:18" x14ac:dyDescent="0.3">
      <c r="A10" s="68" t="s">
        <v>148</v>
      </c>
      <c r="B10" s="68"/>
      <c r="C10" s="68"/>
      <c r="D10" s="68"/>
      <c r="E10" s="68" t="s">
        <v>177</v>
      </c>
      <c r="F10" s="68"/>
      <c r="G10" s="68"/>
      <c r="H10" s="68"/>
    </row>
    <row r="11" spans="1:18" x14ac:dyDescent="0.3">
      <c r="A11" s="149" t="s">
        <v>249</v>
      </c>
      <c r="B11" s="68"/>
      <c r="C11" s="68"/>
      <c r="D11" s="68"/>
      <c r="E11" s="68" t="s">
        <v>263</v>
      </c>
      <c r="F11" s="68"/>
      <c r="G11" s="68"/>
      <c r="H11" s="68"/>
      <c r="I11" s="68" t="s">
        <v>250</v>
      </c>
      <c r="J11" s="68"/>
      <c r="K11" s="68"/>
      <c r="L11" s="68"/>
    </row>
    <row r="12" spans="1:18" x14ac:dyDescent="0.3">
      <c r="A12" s="68" t="s">
        <v>6</v>
      </c>
      <c r="B12" s="68"/>
      <c r="C12" s="68"/>
      <c r="D12" s="68"/>
      <c r="E12" s="149" t="s">
        <v>201</v>
      </c>
      <c r="F12" s="68"/>
      <c r="G12" s="68"/>
      <c r="H12" s="68"/>
    </row>
    <row r="13" spans="1:18" x14ac:dyDescent="0.3">
      <c r="A13" s="68" t="s">
        <v>7</v>
      </c>
      <c r="B13" s="68"/>
      <c r="C13" s="68"/>
      <c r="D13" s="68"/>
      <c r="E13" s="149" t="s">
        <v>234</v>
      </c>
      <c r="F13" s="149"/>
      <c r="G13" s="149"/>
      <c r="H13" s="149"/>
    </row>
    <row r="14" spans="1:18" x14ac:dyDescent="0.3">
      <c r="A14" s="68" t="s">
        <v>176</v>
      </c>
      <c r="B14" s="68"/>
      <c r="C14" s="68"/>
      <c r="D14" s="68"/>
      <c r="E14" s="149" t="s">
        <v>266</v>
      </c>
      <c r="F14" s="68"/>
      <c r="G14" s="68"/>
      <c r="H14" s="68"/>
    </row>
    <row r="15" spans="1:18" ht="38.25" customHeight="1" x14ac:dyDescent="0.3">
      <c r="A15" s="149" t="s">
        <v>8</v>
      </c>
      <c r="B15" s="149"/>
      <c r="C15" s="149" t="str">
        <f>CONCATENATE((IF(OR(E8="",E8="NA"),"",E8)),", ",(IF(OR(A16="",A16="NA"),"",A16)),".",(IF(OR(C16="",C16="NA"),"",C16)),", near ",(IF(OR(C20="",C20="NA"),"",C20)),", ",(IF(OR(C17="",C17="NA"),"",C17)),", ",(IF(OR(G17="",G17="NA"),"",G17)),", ",(IF(OR(C18="",C18="NA"),"",C18)),", ",(IF(OR(C19="",C19="NA"),"",C19)),", ",(IF(OR(G18="",G18="NA"),"",G18))," - ",(IF(OR(G19="",G19="NA"),"",G19)),".")</f>
        <v>Tulip Heights, Survey No.43, H.No.2/1, near Rajbhar Arcade, Church Road, Katemanevali, Kalyan East, Kalyan, Thane - 421306.</v>
      </c>
      <c r="D15" s="149"/>
      <c r="E15" s="149"/>
      <c r="F15" s="149"/>
      <c r="G15" s="149"/>
      <c r="H15" s="149"/>
    </row>
    <row r="16" spans="1:18" x14ac:dyDescent="0.3">
      <c r="A16" s="149" t="s">
        <v>235</v>
      </c>
      <c r="B16" s="149"/>
      <c r="C16" s="149" t="s">
        <v>179</v>
      </c>
      <c r="D16" s="149"/>
      <c r="E16" s="149"/>
      <c r="F16" s="149"/>
      <c r="G16" s="149"/>
      <c r="H16" s="149"/>
    </row>
    <row r="17" spans="1:8" ht="15.75" customHeight="1" x14ac:dyDescent="0.3">
      <c r="A17" s="149" t="s">
        <v>9</v>
      </c>
      <c r="B17" s="149"/>
      <c r="C17" s="68" t="s">
        <v>195</v>
      </c>
      <c r="D17" s="68"/>
      <c r="E17" s="149" t="s">
        <v>99</v>
      </c>
      <c r="F17" s="149"/>
      <c r="G17" s="149" t="s">
        <v>180</v>
      </c>
      <c r="H17" s="149"/>
    </row>
    <row r="18" spans="1:8" x14ac:dyDescent="0.3">
      <c r="A18" s="68" t="s">
        <v>11</v>
      </c>
      <c r="B18" s="68"/>
      <c r="C18" s="149" t="s">
        <v>200</v>
      </c>
      <c r="D18" s="149"/>
      <c r="E18" s="149" t="s">
        <v>10</v>
      </c>
      <c r="F18" s="149"/>
      <c r="G18" s="151" t="s">
        <v>181</v>
      </c>
      <c r="H18" s="151"/>
    </row>
    <row r="19" spans="1:8" x14ac:dyDescent="0.3">
      <c r="A19" s="68" t="s">
        <v>100</v>
      </c>
      <c r="B19" s="68"/>
      <c r="C19" s="149" t="s">
        <v>178</v>
      </c>
      <c r="D19" s="149"/>
      <c r="E19" s="149" t="s">
        <v>12</v>
      </c>
      <c r="F19" s="149"/>
      <c r="G19" s="149">
        <v>421306</v>
      </c>
      <c r="H19" s="149"/>
    </row>
    <row r="20" spans="1:8" ht="32.25" customHeight="1" x14ac:dyDescent="0.3">
      <c r="A20" s="68" t="s">
        <v>149</v>
      </c>
      <c r="B20" s="68"/>
      <c r="C20" s="152" t="s">
        <v>196</v>
      </c>
      <c r="D20" s="152"/>
      <c r="E20" s="149" t="s">
        <v>13</v>
      </c>
      <c r="F20" s="149"/>
      <c r="G20" s="149" t="s">
        <v>237</v>
      </c>
      <c r="H20" s="149"/>
    </row>
    <row r="21" spans="1:8" ht="15" customHeight="1" x14ac:dyDescent="0.3">
      <c r="A21" s="149" t="s">
        <v>105</v>
      </c>
      <c r="B21" s="149"/>
      <c r="C21" s="149"/>
      <c r="D21" s="149"/>
      <c r="E21" s="68" t="s">
        <v>14</v>
      </c>
      <c r="F21" s="68"/>
      <c r="G21" s="68"/>
      <c r="H21" s="68"/>
    </row>
    <row r="22" spans="1:8" ht="18.75" customHeight="1" x14ac:dyDescent="0.3">
      <c r="A22" s="149"/>
      <c r="B22" s="149"/>
      <c r="C22" s="149"/>
      <c r="D22" s="149"/>
      <c r="E22" s="68"/>
      <c r="F22" s="68"/>
      <c r="G22" s="68"/>
      <c r="H22" s="68"/>
    </row>
    <row r="23" spans="1:8" ht="15" customHeight="1" x14ac:dyDescent="0.3">
      <c r="A23" s="149" t="s">
        <v>15</v>
      </c>
      <c r="B23" s="149"/>
      <c r="C23" s="149"/>
      <c r="D23" s="149"/>
      <c r="E23" s="149" t="s">
        <v>16</v>
      </c>
      <c r="F23" s="149"/>
      <c r="G23" s="149"/>
      <c r="H23" s="149"/>
    </row>
    <row r="24" spans="1:8" ht="15" customHeight="1" x14ac:dyDescent="0.3">
      <c r="A24" s="68" t="s">
        <v>17</v>
      </c>
      <c r="B24" s="68"/>
      <c r="C24" s="68"/>
      <c r="D24" s="68"/>
      <c r="E24" s="149" t="str">
        <f>IF(AND(G18="Mumbai"),"Upper Class","Middle Class")</f>
        <v>Middle Class</v>
      </c>
      <c r="F24" s="149"/>
      <c r="G24" s="149"/>
      <c r="H24" s="149"/>
    </row>
    <row r="25" spans="1:8" x14ac:dyDescent="0.3">
      <c r="A25" s="68" t="s">
        <v>18</v>
      </c>
      <c r="B25" s="68"/>
      <c r="C25" s="68"/>
      <c r="D25" s="68"/>
      <c r="E25" s="149" t="s">
        <v>19</v>
      </c>
      <c r="F25" s="149"/>
      <c r="G25" s="149"/>
      <c r="H25" s="149"/>
    </row>
    <row r="26" spans="1:8" ht="15.75" customHeight="1" x14ac:dyDescent="0.3">
      <c r="A26" s="68" t="s">
        <v>20</v>
      </c>
      <c r="B26" s="68"/>
      <c r="C26" s="68"/>
      <c r="D26" s="68"/>
      <c r="E26" s="149" t="str">
        <f>IF(AND(G18="Mumbai"),"Developed","Developing")</f>
        <v>Developing</v>
      </c>
      <c r="F26" s="149"/>
      <c r="G26" s="149"/>
      <c r="H26" s="149"/>
    </row>
    <row r="27" spans="1:8" x14ac:dyDescent="0.3">
      <c r="A27" s="68" t="s">
        <v>21</v>
      </c>
      <c r="B27" s="68"/>
      <c r="C27" s="68"/>
      <c r="D27" s="68"/>
      <c r="E27" s="149" t="s">
        <v>22</v>
      </c>
      <c r="F27" s="149"/>
      <c r="G27" s="149"/>
      <c r="H27" s="149"/>
    </row>
    <row r="28" spans="1:8" x14ac:dyDescent="0.3">
      <c r="A28" s="68" t="s">
        <v>113</v>
      </c>
      <c r="B28" s="68"/>
      <c r="C28" s="68"/>
      <c r="D28" s="68"/>
      <c r="E28" s="149" t="s">
        <v>114</v>
      </c>
      <c r="F28" s="149"/>
      <c r="G28" s="149"/>
      <c r="H28" s="149"/>
    </row>
    <row r="29" spans="1:8" ht="15" customHeight="1" x14ac:dyDescent="0.3">
      <c r="A29" s="149" t="s">
        <v>31</v>
      </c>
      <c r="B29" s="149"/>
      <c r="C29" s="149"/>
      <c r="D29" s="149"/>
      <c r="E29" s="150" t="s">
        <v>109</v>
      </c>
      <c r="F29" s="150"/>
      <c r="G29" s="150"/>
      <c r="H29" s="150"/>
    </row>
    <row r="30" spans="1:8" x14ac:dyDescent="0.3">
      <c r="A30" s="149" t="s">
        <v>125</v>
      </c>
      <c r="B30" s="149"/>
      <c r="C30" s="149"/>
      <c r="D30" s="149"/>
      <c r="E30" s="149" t="s">
        <v>32</v>
      </c>
      <c r="F30" s="149"/>
      <c r="G30" s="149"/>
      <c r="H30" s="149"/>
    </row>
    <row r="31" spans="1:8" s="11" customFormat="1" x14ac:dyDescent="0.3">
      <c r="A31" s="141" t="s">
        <v>126</v>
      </c>
      <c r="B31" s="141"/>
      <c r="C31" s="139" t="s">
        <v>27</v>
      </c>
      <c r="D31" s="139"/>
      <c r="E31" s="139"/>
      <c r="F31" s="139" t="s">
        <v>29</v>
      </c>
      <c r="G31" s="139"/>
      <c r="H31" s="139"/>
    </row>
    <row r="32" spans="1:8" s="11" customFormat="1" x14ac:dyDescent="0.3">
      <c r="A32" s="140" t="s">
        <v>23</v>
      </c>
      <c r="B32" s="140" t="s">
        <v>28</v>
      </c>
      <c r="C32" s="138" t="s">
        <v>28</v>
      </c>
      <c r="D32" s="138"/>
      <c r="E32" s="138"/>
      <c r="F32" s="138" t="s">
        <v>197</v>
      </c>
      <c r="G32" s="138"/>
      <c r="H32" s="138"/>
    </row>
    <row r="33" spans="1:8" x14ac:dyDescent="0.3">
      <c r="A33" s="140" t="s">
        <v>24</v>
      </c>
      <c r="B33" s="140" t="s">
        <v>28</v>
      </c>
      <c r="C33" s="138" t="s">
        <v>28</v>
      </c>
      <c r="D33" s="138"/>
      <c r="E33" s="138"/>
      <c r="F33" s="138" t="s">
        <v>196</v>
      </c>
      <c r="G33" s="138"/>
      <c r="H33" s="138"/>
    </row>
    <row r="34" spans="1:8" s="11" customFormat="1" x14ac:dyDescent="0.3">
      <c r="A34" s="140" t="s">
        <v>26</v>
      </c>
      <c r="B34" s="140" t="s">
        <v>28</v>
      </c>
      <c r="C34" s="138" t="s">
        <v>28</v>
      </c>
      <c r="D34" s="138"/>
      <c r="E34" s="138"/>
      <c r="F34" s="138" t="s">
        <v>198</v>
      </c>
      <c r="G34" s="138"/>
      <c r="H34" s="138"/>
    </row>
    <row r="35" spans="1:8" x14ac:dyDescent="0.3">
      <c r="A35" s="140" t="s">
        <v>25</v>
      </c>
      <c r="B35" s="140" t="s">
        <v>28</v>
      </c>
      <c r="C35" s="138" t="s">
        <v>28</v>
      </c>
      <c r="D35" s="138"/>
      <c r="E35" s="138"/>
      <c r="F35" s="138" t="s">
        <v>199</v>
      </c>
      <c r="G35" s="138"/>
      <c r="H35" s="138"/>
    </row>
    <row r="36" spans="1:8" x14ac:dyDescent="0.3">
      <c r="A36" s="136" t="s">
        <v>30</v>
      </c>
      <c r="B36" s="136"/>
      <c r="C36" s="136"/>
      <c r="D36" s="136"/>
      <c r="E36" s="136"/>
      <c r="F36" s="136"/>
      <c r="G36" s="136"/>
      <c r="H36" s="136"/>
    </row>
    <row r="37" spans="1:8" ht="15.75" customHeight="1" x14ac:dyDescent="0.3">
      <c r="A37" s="136" t="s">
        <v>252</v>
      </c>
      <c r="B37" s="136"/>
      <c r="C37" s="146" t="s">
        <v>253</v>
      </c>
      <c r="D37" s="147"/>
      <c r="E37" s="147"/>
      <c r="F37" s="147"/>
      <c r="G37" s="147"/>
      <c r="H37" s="148"/>
    </row>
    <row r="38" spans="1:8" ht="15.75" customHeight="1" x14ac:dyDescent="0.3">
      <c r="A38" s="136" t="s">
        <v>245</v>
      </c>
      <c r="B38" s="136"/>
      <c r="C38" s="143" t="s">
        <v>246</v>
      </c>
      <c r="D38" s="144"/>
      <c r="E38" s="144"/>
      <c r="F38" s="144"/>
      <c r="G38" s="144"/>
      <c r="H38" s="145"/>
    </row>
    <row r="39" spans="1:8" x14ac:dyDescent="0.3">
      <c r="A39" s="142" t="s">
        <v>33</v>
      </c>
      <c r="B39" s="142"/>
      <c r="C39" s="142"/>
      <c r="D39" s="142"/>
      <c r="E39" s="142"/>
      <c r="F39" s="142"/>
      <c r="G39" s="142"/>
      <c r="H39" s="142"/>
    </row>
    <row r="40" spans="1:8" x14ac:dyDescent="0.3">
      <c r="A40" s="136" t="s">
        <v>34</v>
      </c>
      <c r="B40" s="136"/>
      <c r="C40" s="136"/>
      <c r="D40" s="136"/>
      <c r="E40" s="137">
        <v>4450.5200000000004</v>
      </c>
      <c r="F40" s="137"/>
      <c r="G40" s="137"/>
      <c r="H40" s="137"/>
    </row>
    <row r="41" spans="1:8" x14ac:dyDescent="0.3">
      <c r="A41" s="136" t="s">
        <v>35</v>
      </c>
      <c r="B41" s="136"/>
      <c r="C41" s="136"/>
      <c r="D41" s="136"/>
      <c r="E41" s="159">
        <v>1.1000000000000001</v>
      </c>
      <c r="F41" s="159"/>
      <c r="G41" s="159"/>
      <c r="H41" s="159"/>
    </row>
    <row r="42" spans="1:8" x14ac:dyDescent="0.3">
      <c r="A42" s="136" t="s">
        <v>36</v>
      </c>
      <c r="B42" s="136"/>
      <c r="C42" s="136"/>
      <c r="D42" s="136"/>
      <c r="E42" s="159">
        <f>E44/E40-E41</f>
        <v>-4.493856899934201E-7</v>
      </c>
      <c r="F42" s="159"/>
      <c r="G42" s="159"/>
      <c r="H42" s="159"/>
    </row>
    <row r="43" spans="1:8" x14ac:dyDescent="0.3">
      <c r="A43" s="68" t="s">
        <v>37</v>
      </c>
      <c r="B43" s="68"/>
      <c r="C43" s="68"/>
      <c r="D43" s="68"/>
      <c r="E43" s="160">
        <f>E41+E42</f>
        <v>1.0999995506143101</v>
      </c>
      <c r="F43" s="160"/>
      <c r="G43" s="160"/>
      <c r="H43" s="160"/>
    </row>
    <row r="44" spans="1:8" x14ac:dyDescent="0.3">
      <c r="A44" s="68" t="s">
        <v>124</v>
      </c>
      <c r="B44" s="68"/>
      <c r="C44" s="68"/>
      <c r="D44" s="68"/>
      <c r="E44" s="161">
        <v>4895.57</v>
      </c>
      <c r="F44" s="161"/>
      <c r="G44" s="161"/>
      <c r="H44" s="161"/>
    </row>
    <row r="45" spans="1:8" x14ac:dyDescent="0.3">
      <c r="A45" s="68" t="s">
        <v>38</v>
      </c>
      <c r="B45" s="68"/>
      <c r="C45" s="68"/>
      <c r="D45" s="68"/>
      <c r="E45" s="68" t="s">
        <v>243</v>
      </c>
      <c r="F45" s="68"/>
      <c r="G45" s="68"/>
      <c r="H45" s="68"/>
    </row>
    <row r="46" spans="1:8" x14ac:dyDescent="0.3">
      <c r="A46" s="97" t="s">
        <v>39</v>
      </c>
      <c r="B46" s="97"/>
      <c r="C46" s="97"/>
      <c r="D46" s="97"/>
      <c r="E46" s="97"/>
      <c r="F46" s="97"/>
      <c r="G46" s="97"/>
      <c r="H46" s="97"/>
    </row>
    <row r="47" spans="1:8" x14ac:dyDescent="0.3">
      <c r="A47" s="149" t="s">
        <v>40</v>
      </c>
      <c r="B47" s="149"/>
      <c r="C47" s="152" t="s">
        <v>182</v>
      </c>
      <c r="D47" s="152"/>
      <c r="E47" s="152"/>
      <c r="F47" s="37" t="s">
        <v>41</v>
      </c>
      <c r="G47" s="167">
        <v>44277</v>
      </c>
      <c r="H47" s="167"/>
    </row>
    <row r="48" spans="1:8" x14ac:dyDescent="0.3">
      <c r="A48" s="68" t="s">
        <v>42</v>
      </c>
      <c r="B48" s="68"/>
      <c r="C48" s="152" t="str">
        <f>C47</f>
        <v>KDMC/TPD/BP/KD/2019-20/0041/158</v>
      </c>
      <c r="D48" s="152"/>
      <c r="E48" s="152"/>
      <c r="F48" s="37" t="s">
        <v>41</v>
      </c>
      <c r="G48" s="167">
        <f>G47</f>
        <v>44277</v>
      </c>
      <c r="H48" s="167"/>
    </row>
    <row r="49" spans="1:14" s="10" customFormat="1" x14ac:dyDescent="0.3">
      <c r="A49" s="149" t="s">
        <v>268</v>
      </c>
      <c r="B49" s="149"/>
      <c r="C49" s="152" t="s">
        <v>269</v>
      </c>
      <c r="D49" s="103"/>
      <c r="E49" s="103"/>
      <c r="F49" s="13" t="s">
        <v>41</v>
      </c>
      <c r="G49" s="167">
        <v>45191</v>
      </c>
      <c r="H49" s="167"/>
    </row>
    <row r="50" spans="1:14" s="10" customFormat="1" ht="64.2" customHeight="1" x14ac:dyDescent="0.3">
      <c r="A50" s="149"/>
      <c r="B50" s="149"/>
      <c r="C50" s="201" t="s">
        <v>274</v>
      </c>
      <c r="D50" s="202"/>
      <c r="E50" s="202"/>
      <c r="F50" s="202"/>
      <c r="G50" s="202"/>
      <c r="H50" s="203"/>
    </row>
    <row r="51" spans="1:14" x14ac:dyDescent="0.3">
      <c r="A51" s="98" t="s">
        <v>43</v>
      </c>
      <c r="B51" s="98"/>
      <c r="C51" s="194" t="s">
        <v>141</v>
      </c>
      <c r="D51" s="195"/>
      <c r="E51" s="195" t="s">
        <v>44</v>
      </c>
      <c r="F51" s="38" t="s">
        <v>41</v>
      </c>
      <c r="G51" s="197" t="s">
        <v>28</v>
      </c>
      <c r="H51" s="197"/>
    </row>
    <row r="52" spans="1:14" x14ac:dyDescent="0.3">
      <c r="A52" s="196" t="s">
        <v>46</v>
      </c>
      <c r="B52" s="196"/>
      <c r="C52" s="196"/>
      <c r="D52" s="196"/>
      <c r="E52" s="196"/>
      <c r="F52" s="196"/>
      <c r="G52" s="196"/>
      <c r="H52" s="196"/>
    </row>
    <row r="53" spans="1:14" x14ac:dyDescent="0.3">
      <c r="A53" s="174" t="s">
        <v>123</v>
      </c>
      <c r="B53" s="174"/>
      <c r="C53" s="174"/>
      <c r="D53" s="136">
        <f>E44</f>
        <v>4895.57</v>
      </c>
      <c r="E53" s="136"/>
      <c r="F53" s="136"/>
      <c r="G53" s="136"/>
      <c r="H53" s="136"/>
    </row>
    <row r="54" spans="1:14" x14ac:dyDescent="0.3">
      <c r="A54" s="149" t="s">
        <v>47</v>
      </c>
      <c r="B54" s="68"/>
      <c r="C54" s="68"/>
      <c r="D54" s="68" t="s">
        <v>241</v>
      </c>
      <c r="E54" s="68"/>
      <c r="F54" s="68"/>
      <c r="G54" s="68"/>
      <c r="H54" s="68"/>
      <c r="I54" s="28"/>
    </row>
    <row r="55" spans="1:14" ht="65.25" customHeight="1" x14ac:dyDescent="0.3">
      <c r="A55" s="164" t="s">
        <v>48</v>
      </c>
      <c r="B55" s="165"/>
      <c r="C55" s="166"/>
      <c r="D55" s="162" t="s">
        <v>238</v>
      </c>
      <c r="E55" s="163"/>
      <c r="F55" s="163"/>
      <c r="G55" s="163"/>
      <c r="H55" s="163"/>
    </row>
    <row r="56" spans="1:14" ht="15.75" customHeight="1" x14ac:dyDescent="0.3">
      <c r="A56" s="164" t="s">
        <v>121</v>
      </c>
      <c r="B56" s="165"/>
      <c r="C56" s="165"/>
      <c r="D56" s="188" t="s">
        <v>271</v>
      </c>
      <c r="E56" s="189"/>
      <c r="F56" s="189"/>
      <c r="G56" s="189"/>
      <c r="H56" s="190"/>
    </row>
    <row r="57" spans="1:14" ht="15.75" customHeight="1" x14ac:dyDescent="0.3">
      <c r="A57" s="184"/>
      <c r="B57" s="185"/>
      <c r="C57" s="185"/>
      <c r="D57" s="191" t="s">
        <v>232</v>
      </c>
      <c r="E57" s="192"/>
      <c r="F57" s="192"/>
      <c r="G57" s="192"/>
      <c r="H57" s="193"/>
    </row>
    <row r="58" spans="1:14" ht="15.75" customHeight="1" x14ac:dyDescent="0.3">
      <c r="A58" s="186"/>
      <c r="B58" s="187"/>
      <c r="C58" s="187"/>
      <c r="D58" s="198" t="s">
        <v>233</v>
      </c>
      <c r="E58" s="199"/>
      <c r="F58" s="199"/>
      <c r="G58" s="199"/>
      <c r="H58" s="200"/>
    </row>
    <row r="59" spans="1:14" ht="15.75" customHeight="1" x14ac:dyDescent="0.3">
      <c r="A59" s="136" t="s">
        <v>45</v>
      </c>
      <c r="B59" s="136"/>
      <c r="C59" s="136"/>
      <c r="D59" s="155" t="s">
        <v>264</v>
      </c>
      <c r="E59" s="155"/>
      <c r="F59" s="155"/>
      <c r="G59" s="155"/>
      <c r="H59" s="155"/>
      <c r="J59" s="27"/>
      <c r="K59" s="28"/>
      <c r="N59" s="28"/>
    </row>
    <row r="60" spans="1:14" ht="15.75" customHeight="1" x14ac:dyDescent="0.3">
      <c r="A60" s="136" t="s">
        <v>119</v>
      </c>
      <c r="B60" s="136"/>
      <c r="C60" s="136"/>
      <c r="D60" s="158" t="str">
        <f>(IF(G51="NA","60 Years After Completion",IF(G51&lt;&gt;"NA",""&amp;60-ROUNDDOWN((E3-G51)/360,0)&amp;" Years"," ")))</f>
        <v>60 Years After Completion</v>
      </c>
      <c r="E60" s="158"/>
      <c r="F60" s="158"/>
      <c r="G60" s="158"/>
      <c r="H60" s="158"/>
      <c r="N60" s="28"/>
    </row>
    <row r="61" spans="1:14" ht="15.75" customHeight="1" x14ac:dyDescent="0.3">
      <c r="A61" s="136" t="s">
        <v>120</v>
      </c>
      <c r="B61" s="136"/>
      <c r="C61" s="136"/>
      <c r="D61" s="174" t="s">
        <v>22</v>
      </c>
      <c r="E61" s="174"/>
      <c r="F61" s="174"/>
      <c r="G61" s="174"/>
      <c r="H61" s="174"/>
      <c r="J61" s="18"/>
      <c r="K61" s="18"/>
    </row>
    <row r="62" spans="1:14" ht="15.75" customHeight="1" thickBot="1" x14ac:dyDescent="0.35">
      <c r="A62" s="168" t="s">
        <v>118</v>
      </c>
      <c r="B62" s="168"/>
      <c r="C62" s="168"/>
      <c r="D62" s="162" t="str">
        <f ca="1">(IF(G67&gt;95%,"Nothing",IF(G67&gt;0%,"Cement, Aggregate, Steel, etc",IF(G67=0%,"Work not yet Started"))))</f>
        <v>Cement, Aggregate, Steel, etc</v>
      </c>
      <c r="E62" s="162"/>
      <c r="F62" s="162"/>
      <c r="G62" s="162"/>
      <c r="H62" s="162"/>
      <c r="J62" s="18"/>
    </row>
    <row r="63" spans="1:14" ht="33.75" customHeight="1" x14ac:dyDescent="0.3">
      <c r="A63" s="169" t="s">
        <v>247</v>
      </c>
      <c r="B63" s="170"/>
      <c r="C63" s="171" t="s">
        <v>272</v>
      </c>
      <c r="D63" s="172"/>
      <c r="E63" s="172"/>
      <c r="F63" s="172"/>
      <c r="G63" s="172"/>
      <c r="H63" s="173"/>
      <c r="I63" s="30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Slab",IF(C69&gt;0,", RCC upto "&amp;C69&amp;" Slab",""))&amp;(IF(C70=H64,", Brickwork",IF(C70&gt;0,", Brickwork upto "&amp;C70&amp;" Floor",""))&amp;(IF(C71=H64,", Internal Plaster",IF(C71&gt;0,", Internal Plaster upto "&amp;C71&amp;" Floor",""))&amp;(IF(C72=H64,", External Plaster",IF(C72&gt;0,", External Plaster upto "&amp;C72&amp;" Floor",""))&amp;(IF(C73=H64,", Flooring",IF(C73&gt;0,", Flooring upto "&amp;C73&amp;" Floor",""))&amp;(IF(C74=H64,", Painting",IF(C74&gt;0,", Painting upto "&amp;C74&amp;" Floor",""))&amp;(IF(C75&gt;0,", Finishing upto "&amp;C75&amp;" Floor","")&amp;(IF(C69&gt;0.5," Completed",""))))))))))))))</f>
        <v>Excavation work Completed. Plinth work completed, RCC Slab, Brickwork, Internal Plaster upto 22 Floor, External Plaster upto 15 Floor, Flooring upto 1 Floor Completed</v>
      </c>
      <c r="J63" s="19"/>
    </row>
    <row r="64" spans="1:14" x14ac:dyDescent="0.3">
      <c r="A64" s="35" t="s">
        <v>169</v>
      </c>
      <c r="B64" s="39">
        <v>1</v>
      </c>
      <c r="C64" s="39" t="s">
        <v>98</v>
      </c>
      <c r="D64" s="39">
        <v>1</v>
      </c>
      <c r="E64" s="39" t="s">
        <v>97</v>
      </c>
      <c r="F64" s="39">
        <v>0</v>
      </c>
      <c r="G64" s="39" t="s">
        <v>112</v>
      </c>
      <c r="H64" s="36">
        <f ca="1">--TRIM(RIGHT(SUBSTITUTE(LEFT(C63,_xlfn.AGGREGATE(16,6,FIND({0,1,2,3,4,5,6,7,8,9},C63,ROW(INDIRECT("1:"&amp;LEN(C63)))),1))," ",REPT(" ",LEN(C63))),LEN(C63)))</f>
        <v>24</v>
      </c>
      <c r="I64" s="18"/>
      <c r="J64" s="20"/>
    </row>
    <row r="65" spans="1:10" ht="47.55" customHeight="1" x14ac:dyDescent="0.3">
      <c r="A65" s="96" t="s">
        <v>122</v>
      </c>
      <c r="B65" s="97"/>
      <c r="C65" s="98" t="str">
        <f ca="1">I63</f>
        <v>Excavation work Completed. Plinth work completed, RCC Slab, Brickwork, Internal Plaster upto 22 Floor, External Plaster upto 15 Floor, Flooring upto 1 Floor Completed</v>
      </c>
      <c r="D65" s="98"/>
      <c r="E65" s="98"/>
      <c r="F65" s="98"/>
      <c r="G65" s="98"/>
      <c r="H65" s="99"/>
      <c r="I65" s="18" t="s">
        <v>140</v>
      </c>
      <c r="J65" s="20"/>
    </row>
    <row r="66" spans="1:10" ht="15.75" customHeight="1" x14ac:dyDescent="0.3">
      <c r="A66" s="100" t="s">
        <v>49</v>
      </c>
      <c r="B66" s="101"/>
      <c r="C66" s="40" t="s">
        <v>166</v>
      </c>
      <c r="D66" s="40" t="s">
        <v>115</v>
      </c>
      <c r="E66" s="101" t="s">
        <v>117</v>
      </c>
      <c r="F66" s="101"/>
      <c r="G66" s="101" t="s">
        <v>116</v>
      </c>
      <c r="H66" s="102"/>
      <c r="I66" s="26" t="s">
        <v>168</v>
      </c>
      <c r="J66" s="21">
        <f ca="1">H64*25%</f>
        <v>6</v>
      </c>
    </row>
    <row r="67" spans="1:10" x14ac:dyDescent="0.3">
      <c r="A67" s="100" t="s">
        <v>155</v>
      </c>
      <c r="B67" s="101"/>
      <c r="C67" s="41">
        <f ca="1">J68</f>
        <v>24</v>
      </c>
      <c r="D67" s="42">
        <f ca="1">((100/H64)*C67)/100</f>
        <v>1</v>
      </c>
      <c r="E67" s="104">
        <f ca="1">(((C68/H64*10)+(40/(D64+F64+H64)*C69)+(7.5/(H64)*C70)+(7.5/(H64)*C71)+(10/H64*C72)+(10/H64*C73)+(5/H64*C74)+(5/H64*C75)+(5/H64*C76))/100)</f>
        <v>0.7104166666666667</v>
      </c>
      <c r="F67" s="104"/>
      <c r="G67" s="104">
        <f ca="1">((((C67/H64)*20)+((C68/H64)*25)+(30/(H64+F64+D64)*C69)+(5/H64*C70)+(5/H64*C71)+(5/H64*C72)+(5/H64*C73)+(0/H64*C74)+(0/H64*C75)+(5/H64*C76))/100)</f>
        <v>0.87916666666666654</v>
      </c>
      <c r="H67" s="106"/>
      <c r="I67" s="26" t="s">
        <v>135</v>
      </c>
      <c r="J67" s="29">
        <f ca="1">H64*50%</f>
        <v>12</v>
      </c>
    </row>
    <row r="68" spans="1:10" x14ac:dyDescent="0.3">
      <c r="A68" s="100" t="s">
        <v>50</v>
      </c>
      <c r="B68" s="101"/>
      <c r="C68" s="43">
        <f ca="1">J76</f>
        <v>24</v>
      </c>
      <c r="D68" s="42">
        <f ca="1">((100/H64)*C68)/100</f>
        <v>1</v>
      </c>
      <c r="E68" s="104"/>
      <c r="F68" s="104"/>
      <c r="G68" s="104"/>
      <c r="H68" s="106"/>
      <c r="I68" s="26" t="s">
        <v>136</v>
      </c>
      <c r="J68" s="29">
        <f ca="1">H64</f>
        <v>24</v>
      </c>
    </row>
    <row r="69" spans="1:10" ht="15.75" customHeight="1" x14ac:dyDescent="0.3">
      <c r="A69" s="100" t="s">
        <v>156</v>
      </c>
      <c r="B69" s="101"/>
      <c r="C69" s="43">
        <v>25</v>
      </c>
      <c r="D69" s="42">
        <f ca="1">((100/(D64+F64+H64))*C69)/100</f>
        <v>1</v>
      </c>
      <c r="E69" s="104"/>
      <c r="F69" s="104"/>
      <c r="G69" s="104"/>
      <c r="H69" s="106"/>
      <c r="I69" s="26" t="s">
        <v>137</v>
      </c>
      <c r="J69" s="32">
        <f ca="1">(IF(B64&gt;1,(H64/(B64+2)),H64/4))</f>
        <v>6</v>
      </c>
    </row>
    <row r="70" spans="1:10" ht="15.75" customHeight="1" x14ac:dyDescent="0.3">
      <c r="A70" s="100" t="s">
        <v>163</v>
      </c>
      <c r="B70" s="101" t="s">
        <v>157</v>
      </c>
      <c r="C70" s="41">
        <v>24</v>
      </c>
      <c r="D70" s="42">
        <f ca="1">((100/H64)*C70)/100</f>
        <v>1</v>
      </c>
      <c r="E70" s="104"/>
      <c r="F70" s="104"/>
      <c r="G70" s="104"/>
      <c r="H70" s="106"/>
      <c r="I70" s="26" t="s">
        <v>138</v>
      </c>
      <c r="J70" s="32">
        <f ca="1">(IF(B64&gt;1,(H64/(B64+2)+J69),H64/4+J69))</f>
        <v>12</v>
      </c>
    </row>
    <row r="71" spans="1:10" ht="15.75" customHeight="1" x14ac:dyDescent="0.3">
      <c r="A71" s="100" t="s">
        <v>164</v>
      </c>
      <c r="B71" s="101" t="s">
        <v>157</v>
      </c>
      <c r="C71" s="41">
        <v>22</v>
      </c>
      <c r="D71" s="42">
        <f ca="1">((100/H64)*C71)/100</f>
        <v>0.91666666666666674</v>
      </c>
      <c r="E71" s="104"/>
      <c r="F71" s="104"/>
      <c r="G71" s="104"/>
      <c r="H71" s="106"/>
      <c r="I71" s="26" t="s">
        <v>173</v>
      </c>
      <c r="J71" s="32">
        <f>(IF(B64&gt;1,(H64/(B64+2)+J70),0))</f>
        <v>0</v>
      </c>
    </row>
    <row r="72" spans="1:10" ht="15" customHeight="1" x14ac:dyDescent="0.3">
      <c r="A72" s="100" t="s">
        <v>162</v>
      </c>
      <c r="B72" s="101" t="s">
        <v>159</v>
      </c>
      <c r="C72" s="41">
        <v>15</v>
      </c>
      <c r="D72" s="42">
        <f ca="1">((100/(H64))*C72)/100</f>
        <v>0.62500000000000011</v>
      </c>
      <c r="E72" s="104"/>
      <c r="F72" s="104"/>
      <c r="G72" s="104"/>
      <c r="H72" s="106"/>
      <c r="I72" s="26" t="s">
        <v>170</v>
      </c>
      <c r="J72" s="32">
        <f>(IF(B64&gt;2,(H64/(B64+2)+J71),0))</f>
        <v>0</v>
      </c>
    </row>
    <row r="73" spans="1:10" ht="15.75" customHeight="1" x14ac:dyDescent="0.3">
      <c r="A73" s="100" t="s">
        <v>158</v>
      </c>
      <c r="B73" s="101" t="s">
        <v>158</v>
      </c>
      <c r="C73" s="41">
        <v>1</v>
      </c>
      <c r="D73" s="42">
        <f ca="1">((100/H64)*C73)/100</f>
        <v>4.1666666666666671E-2</v>
      </c>
      <c r="E73" s="104"/>
      <c r="F73" s="104"/>
      <c r="G73" s="104"/>
      <c r="H73" s="106"/>
      <c r="I73" s="26" t="s">
        <v>171</v>
      </c>
      <c r="J73" s="33">
        <f>(IF(B64&gt;3,(H64/(B64+2)+J72),0))</f>
        <v>0</v>
      </c>
    </row>
    <row r="74" spans="1:10" ht="15.75" customHeight="1" x14ac:dyDescent="0.3">
      <c r="A74" s="100" t="s">
        <v>165</v>
      </c>
      <c r="B74" s="101"/>
      <c r="C74" s="41">
        <v>0</v>
      </c>
      <c r="D74" s="42">
        <f ca="1">((100/H64)*C74)/100</f>
        <v>0</v>
      </c>
      <c r="E74" s="104"/>
      <c r="F74" s="104"/>
      <c r="G74" s="104"/>
      <c r="H74" s="106"/>
      <c r="I74" s="26" t="s">
        <v>172</v>
      </c>
      <c r="J74" s="32">
        <f>(IF(B64&gt;4,(H64/(B64+2)+J73),0))</f>
        <v>0</v>
      </c>
    </row>
    <row r="75" spans="1:10" ht="15.75" customHeight="1" x14ac:dyDescent="0.3">
      <c r="A75" s="100" t="s">
        <v>160</v>
      </c>
      <c r="B75" s="101" t="s">
        <v>160</v>
      </c>
      <c r="C75" s="41">
        <v>0</v>
      </c>
      <c r="D75" s="42">
        <f ca="1">((100/(H64))*C75)/100</f>
        <v>0</v>
      </c>
      <c r="E75" s="104"/>
      <c r="F75" s="104"/>
      <c r="G75" s="104"/>
      <c r="H75" s="106"/>
      <c r="I75" s="26" t="s">
        <v>174</v>
      </c>
      <c r="J75" s="32">
        <f ca="1">(IF(B64=1,(H64/(B64+3)+J70),IF(B64=0,(H64/4+J70),IF(B64&gt;1,0))))</f>
        <v>18</v>
      </c>
    </row>
    <row r="76" spans="1:10" ht="16.2" thickBot="1" x14ac:dyDescent="0.35">
      <c r="A76" s="156" t="s">
        <v>161</v>
      </c>
      <c r="B76" s="157"/>
      <c r="C76" s="44">
        <v>0</v>
      </c>
      <c r="D76" s="45">
        <f ca="1">((100/(H64))*C76)/100</f>
        <v>0</v>
      </c>
      <c r="E76" s="105"/>
      <c r="F76" s="105"/>
      <c r="G76" s="105"/>
      <c r="H76" s="107"/>
      <c r="I76" s="31" t="s">
        <v>139</v>
      </c>
      <c r="J76" s="34">
        <f ca="1">(IF(B64&gt;1.5,(H64/(B64+2)+J70+MAX(0,J71-J70)+MAX(0,J72-J71)+MAX(0,J73-J72)+MAX(0,J74-J73)+MAX(0,J75-J74)),IF(B64=1,(H64/(B64+3)+J75),IF(B64=0,H64/4+J75))))</f>
        <v>24</v>
      </c>
    </row>
    <row r="77" spans="1:10" ht="30.75" customHeight="1" x14ac:dyDescent="0.3">
      <c r="A77" s="169" t="s">
        <v>247</v>
      </c>
      <c r="B77" s="170"/>
      <c r="C77" s="171" t="s">
        <v>273</v>
      </c>
      <c r="D77" s="172"/>
      <c r="E77" s="172"/>
      <c r="F77" s="172"/>
      <c r="G77" s="172"/>
      <c r="H77" s="173"/>
      <c r="I77" s="30" t="str">
        <f ca="1">(IF(E81&gt;99%,"All work completed. Please provide OC.",IF(E81&gt;89.8%,"Plinth, RCC, Brick, Plaster, Flooring, Painting work Completed. Finishing work is in process.",IF(E81&lt;94%,(IF(C81=0,"Work not yet Started.",IF(D81=25%,"Piling work in process",IF(D81=50%,"Excavation work in process",IF(D81=100%,"Excavation work Completed. ","0")))&amp;(IF(C82=0%,"",IF(C82=J83,"Footing work is process",IF(C82=J84,"Footing work Completed",IF(C82=J85,"1st Basement Completed",IF(C82=J86,"1st &amp; 2nd Basement Completed",IF(C82=J87,"1st to 3rd Basement Completed",IF(C82=J88,"1st to 4th Basement Completed",IF(C82=J89,"Plinth work is process",IF(C82=J90,"Plinth work completed","0")))))))))))&amp;(IF(C83=(D78+F78+H78),", RCC Slab",IF(C83&gt;0,", RCC upto "&amp;C83&amp;" Slab",""))&amp;(IF(C84=H78,", Brickwork",IF(C84&gt;0,", Brickwork upto "&amp;C84&amp;" Floor",""))&amp;(IF(C85=H78,", Internal Plaster",IF(C85&gt;0,", Internal Plaster upto "&amp;C85&amp;" Floor",""))&amp;(IF(C86=H78,", External Plaster",IF(C86&gt;0,", External Plaster upto "&amp;C86&amp;" Floor",""))&amp;(IF(C87=H78,", Flooring",IF(C87&gt;0,", Flooring upto "&amp;C87&amp;" Floor",""))&amp;(IF(C88=H78,", Painting",IF(C88&gt;0,", Painting upto "&amp;C88&amp;" Floor",""))&amp;(IF(C89&gt;0,", Finishing upto "&amp;C89&amp;" Floor","")&amp;(IF(C83&gt;0.5," Completed",""))))))))))))))</f>
        <v>Excavation work Completed. Plinth work completed, RCC upto 24 Slab, Brickwork upto 19 Floor, Internal Plaster upto 12 Floor Completed</v>
      </c>
      <c r="J77" s="19"/>
    </row>
    <row r="78" spans="1:10" x14ac:dyDescent="0.3">
      <c r="A78" s="35" t="s">
        <v>169</v>
      </c>
      <c r="B78" s="39">
        <v>1</v>
      </c>
      <c r="C78" s="39" t="s">
        <v>98</v>
      </c>
      <c r="D78" s="39">
        <v>1</v>
      </c>
      <c r="E78" s="39" t="s">
        <v>97</v>
      </c>
      <c r="F78" s="39">
        <v>0</v>
      </c>
      <c r="G78" s="39" t="s">
        <v>112</v>
      </c>
      <c r="H78" s="36">
        <f ca="1">--TRIM(RIGHT(SUBSTITUTE(LEFT(C77,_xlfn.AGGREGATE(16,6,FIND({0,1,2,3,4,5,6,7,8,9},C77,ROW(INDIRECT("1:"&amp;LEN(C77)))),1))," ",REPT(" ",LEN(C77))),LEN(C77)))</f>
        <v>24</v>
      </c>
      <c r="I78" s="18"/>
      <c r="J78" s="20"/>
    </row>
    <row r="79" spans="1:10" ht="30.6" customHeight="1" x14ac:dyDescent="0.3">
      <c r="A79" s="96" t="s">
        <v>122</v>
      </c>
      <c r="B79" s="97"/>
      <c r="C79" s="98" t="str">
        <f ca="1">I77</f>
        <v>Excavation work Completed. Plinth work completed, RCC upto 24 Slab, Brickwork upto 19 Floor, Internal Plaster upto 12 Floor Completed</v>
      </c>
      <c r="D79" s="98"/>
      <c r="E79" s="98"/>
      <c r="F79" s="98"/>
      <c r="G79" s="98"/>
      <c r="H79" s="99"/>
      <c r="I79" s="18" t="s">
        <v>140</v>
      </c>
      <c r="J79" s="20"/>
    </row>
    <row r="80" spans="1:10" ht="15.75" customHeight="1" x14ac:dyDescent="0.3">
      <c r="A80" s="100" t="s">
        <v>49</v>
      </c>
      <c r="B80" s="101"/>
      <c r="C80" s="40" t="s">
        <v>166</v>
      </c>
      <c r="D80" s="40" t="s">
        <v>115</v>
      </c>
      <c r="E80" s="101" t="s">
        <v>117</v>
      </c>
      <c r="F80" s="101"/>
      <c r="G80" s="101" t="s">
        <v>116</v>
      </c>
      <c r="H80" s="102"/>
      <c r="I80" s="26" t="s">
        <v>168</v>
      </c>
      <c r="J80" s="21">
        <f ca="1">H78*25%</f>
        <v>6</v>
      </c>
    </row>
    <row r="81" spans="1:10" x14ac:dyDescent="0.3">
      <c r="A81" s="100" t="s">
        <v>155</v>
      </c>
      <c r="B81" s="101"/>
      <c r="C81" s="41">
        <f ca="1">J82</f>
        <v>24</v>
      </c>
      <c r="D81" s="42">
        <f ca="1">((100/H78)*C81)/100</f>
        <v>1</v>
      </c>
      <c r="E81" s="104">
        <f ca="1">(((C82/H78*10)+(40/(D78+F78+H78)*C83)+(7.5/(H78)*C84)+(7.5/(H78)*C85)+(10/H78*C86)+(10/H78*C87)+(5/H78*C88)+(5/H78*C89)+(5/H78*C90))/100)</f>
        <v>0.58087500000000003</v>
      </c>
      <c r="F81" s="104"/>
      <c r="G81" s="104">
        <f ca="1">((((C81/H78)*20)+((C82/H78)*25)+(30/(H78+F78+D78)*C83)+(5/H78*C84)+(5/H78*C85)+(5/H78*C86)+(5/H78*C87)+(0/H78*C88)+(0/H78*C89)+(5/H78*C90))/100)</f>
        <v>0.8025833333333332</v>
      </c>
      <c r="H81" s="106"/>
      <c r="I81" s="26" t="s">
        <v>135</v>
      </c>
      <c r="J81" s="29">
        <f ca="1">H78*50%</f>
        <v>12</v>
      </c>
    </row>
    <row r="82" spans="1:10" x14ac:dyDescent="0.3">
      <c r="A82" s="100" t="s">
        <v>50</v>
      </c>
      <c r="B82" s="101"/>
      <c r="C82" s="43">
        <f ca="1">J90</f>
        <v>24</v>
      </c>
      <c r="D82" s="42">
        <f ca="1">((100/H78)*C82)/100</f>
        <v>1</v>
      </c>
      <c r="E82" s="104"/>
      <c r="F82" s="104"/>
      <c r="G82" s="104"/>
      <c r="H82" s="106"/>
      <c r="I82" s="26" t="s">
        <v>136</v>
      </c>
      <c r="J82" s="29">
        <f ca="1">H78</f>
        <v>24</v>
      </c>
    </row>
    <row r="83" spans="1:10" ht="15.75" customHeight="1" x14ac:dyDescent="0.3">
      <c r="A83" s="100" t="s">
        <v>156</v>
      </c>
      <c r="B83" s="101"/>
      <c r="C83" s="43">
        <v>24</v>
      </c>
      <c r="D83" s="42">
        <f ca="1">((100/(D78+F78+H78))*C83)/100</f>
        <v>0.96</v>
      </c>
      <c r="E83" s="104"/>
      <c r="F83" s="104"/>
      <c r="G83" s="104"/>
      <c r="H83" s="106"/>
      <c r="I83" s="26" t="s">
        <v>137</v>
      </c>
      <c r="J83" s="32">
        <f ca="1">(IF(B78&gt;1,(H78/(B78+2)),H78/4))</f>
        <v>6</v>
      </c>
    </row>
    <row r="84" spans="1:10" ht="15.75" customHeight="1" x14ac:dyDescent="0.3">
      <c r="A84" s="100" t="s">
        <v>163</v>
      </c>
      <c r="B84" s="101" t="s">
        <v>157</v>
      </c>
      <c r="C84" s="41">
        <v>19</v>
      </c>
      <c r="D84" s="42">
        <f ca="1">((100/H78)*C84)/100</f>
        <v>0.79166666666666674</v>
      </c>
      <c r="E84" s="104"/>
      <c r="F84" s="104"/>
      <c r="G84" s="104"/>
      <c r="H84" s="106"/>
      <c r="I84" s="26" t="s">
        <v>138</v>
      </c>
      <c r="J84" s="32">
        <f ca="1">(IF(B78&gt;1,(H78/(B78+2)+J83),H78/4+J83))</f>
        <v>12</v>
      </c>
    </row>
    <row r="85" spans="1:10" ht="15.75" customHeight="1" x14ac:dyDescent="0.3">
      <c r="A85" s="100" t="s">
        <v>164</v>
      </c>
      <c r="B85" s="101" t="s">
        <v>157</v>
      </c>
      <c r="C85" s="41">
        <v>12</v>
      </c>
      <c r="D85" s="42">
        <f ca="1">((100/H78)*C85)/100</f>
        <v>0.5</v>
      </c>
      <c r="E85" s="104"/>
      <c r="F85" s="104"/>
      <c r="G85" s="104"/>
      <c r="H85" s="106"/>
      <c r="I85" s="26" t="s">
        <v>173</v>
      </c>
      <c r="J85" s="32">
        <f>(IF(B78&gt;1,(H78/(B78+2)+J84),0))</f>
        <v>0</v>
      </c>
    </row>
    <row r="86" spans="1:10" ht="15" customHeight="1" x14ac:dyDescent="0.3">
      <c r="A86" s="100" t="s">
        <v>162</v>
      </c>
      <c r="B86" s="101" t="s">
        <v>159</v>
      </c>
      <c r="C86" s="41">
        <v>0</v>
      </c>
      <c r="D86" s="42">
        <f ca="1">((100/(H78))*C86)/100</f>
        <v>0</v>
      </c>
      <c r="E86" s="104"/>
      <c r="F86" s="104"/>
      <c r="G86" s="104"/>
      <c r="H86" s="106"/>
      <c r="I86" s="26" t="s">
        <v>170</v>
      </c>
      <c r="J86" s="32">
        <f>(IF(B78&gt;2,(H78/(B78+2)+J85),0))</f>
        <v>0</v>
      </c>
    </row>
    <row r="87" spans="1:10" ht="15.75" customHeight="1" x14ac:dyDescent="0.3">
      <c r="A87" s="100" t="s">
        <v>158</v>
      </c>
      <c r="B87" s="101" t="s">
        <v>158</v>
      </c>
      <c r="C87" s="41">
        <v>0</v>
      </c>
      <c r="D87" s="42">
        <f ca="1">((100/H78)*C87)/100</f>
        <v>0</v>
      </c>
      <c r="E87" s="104"/>
      <c r="F87" s="104"/>
      <c r="G87" s="104"/>
      <c r="H87" s="106"/>
      <c r="I87" s="26" t="s">
        <v>171</v>
      </c>
      <c r="J87" s="33">
        <f>(IF(B78&gt;3,(H78/(B78+2)+J86),0))</f>
        <v>0</v>
      </c>
    </row>
    <row r="88" spans="1:10" ht="15.75" customHeight="1" x14ac:dyDescent="0.3">
      <c r="A88" s="100" t="s">
        <v>165</v>
      </c>
      <c r="B88" s="101"/>
      <c r="C88" s="41">
        <v>0</v>
      </c>
      <c r="D88" s="42">
        <f ca="1">((100/H78)*C88)/100</f>
        <v>0</v>
      </c>
      <c r="E88" s="104"/>
      <c r="F88" s="104"/>
      <c r="G88" s="104"/>
      <c r="H88" s="106"/>
      <c r="I88" s="26" t="s">
        <v>172</v>
      </c>
      <c r="J88" s="32">
        <f>(IF(B78&gt;4,(H78/(B78+2)+J87),0))</f>
        <v>0</v>
      </c>
    </row>
    <row r="89" spans="1:10" ht="15.75" customHeight="1" x14ac:dyDescent="0.3">
      <c r="A89" s="100" t="s">
        <v>160</v>
      </c>
      <c r="B89" s="101" t="s">
        <v>160</v>
      </c>
      <c r="C89" s="41">
        <v>0</v>
      </c>
      <c r="D89" s="42">
        <f ca="1">((100/(H78))*C89)/100</f>
        <v>0</v>
      </c>
      <c r="E89" s="104"/>
      <c r="F89" s="104"/>
      <c r="G89" s="104"/>
      <c r="H89" s="106"/>
      <c r="I89" s="26" t="s">
        <v>174</v>
      </c>
      <c r="J89" s="32">
        <f ca="1">(IF(B78=1,(H78/(B78+3)+J84),IF(B78=0,(H78/4+J84),IF(B78&gt;1,0))))</f>
        <v>18</v>
      </c>
    </row>
    <row r="90" spans="1:10" ht="16.2" thickBot="1" x14ac:dyDescent="0.35">
      <c r="A90" s="214" t="s">
        <v>161</v>
      </c>
      <c r="B90" s="215"/>
      <c r="C90" s="66">
        <v>0</v>
      </c>
      <c r="D90" s="67">
        <f ca="1">((100/(H78))*C90)/100</f>
        <v>0</v>
      </c>
      <c r="E90" s="225"/>
      <c r="F90" s="225"/>
      <c r="G90" s="225"/>
      <c r="H90" s="226"/>
      <c r="I90" s="31" t="s">
        <v>139</v>
      </c>
      <c r="J90" s="34">
        <f ca="1">(IF(B78&gt;1.5,(H78/(B78+2)+J84+MAX(0,J85-J84)+MAX(0,J86-J85)+MAX(0,J87-J86)+MAX(0,J88-J87)+MAX(0,J89-J88)),IF(B78=1,(H78/(B78+3)+J89),IF(B78=0,H78/4+J89))))</f>
        <v>24</v>
      </c>
    </row>
    <row r="91" spans="1:10" x14ac:dyDescent="0.3">
      <c r="A91" s="216" t="s">
        <v>117</v>
      </c>
      <c r="B91" s="217"/>
      <c r="C91" s="220">
        <f ca="1">AVERAGE(E67,E81)</f>
        <v>0.64564583333333336</v>
      </c>
      <c r="D91" s="217"/>
      <c r="E91" s="221" t="s">
        <v>116</v>
      </c>
      <c r="F91" s="221"/>
      <c r="G91" s="221">
        <f ca="1">AVERAGE(G67,G81)</f>
        <v>0.84087499999999982</v>
      </c>
      <c r="H91" s="223"/>
      <c r="I91" s="26"/>
      <c r="J91" s="32"/>
    </row>
    <row r="92" spans="1:10" ht="16.2" thickBot="1" x14ac:dyDescent="0.35">
      <c r="A92" s="218"/>
      <c r="B92" s="219"/>
      <c r="C92" s="219"/>
      <c r="D92" s="219"/>
      <c r="E92" s="222"/>
      <c r="F92" s="222"/>
      <c r="G92" s="222"/>
      <c r="H92" s="224"/>
      <c r="I92" s="26"/>
      <c r="J92" s="32"/>
    </row>
    <row r="93" spans="1:10" ht="15.75" customHeight="1" x14ac:dyDescent="0.3">
      <c r="A93" s="209" t="s">
        <v>167</v>
      </c>
      <c r="B93" s="210"/>
      <c r="C93" s="211" t="str">
        <f>D57</f>
        <v>Building No.2(Wing A) = Gr + 1st to 7th Floor</v>
      </c>
      <c r="D93" s="212"/>
      <c r="E93" s="212"/>
      <c r="F93" s="212"/>
      <c r="G93" s="212"/>
      <c r="H93" s="213"/>
      <c r="I93" s="30" t="str">
        <f ca="1">(IF(E97&gt;99%,"All work completed. Please provide OC.",IF(E97&gt;89.8%,"Plinth, RCC, Brick, Plaster, Flooring, Painting work Completed. Finishing work is in process.",IF(E97&lt;94%,(IF(C97=0,"Work not yet Started.",IF(D97=25%,"Piling work in process",IF(D97=50%,"Excavation work in process",IF(D97=100%,"Excavation work Completed. ","0")))&amp;(IF(C98=0%,"",IF(C98=J99,"Footing work is process",IF(C98=J100,"Footing work Completed",IF(C98=J101,"1st Basement Completed",IF(C98=J102,"1st &amp; 2nd Basement Completed",IF(C98=J103,"1st to 3rd Basement Completed",IF(C98=J104,"1st to 4th Basement Completed",IF(C98=J105,"Plinth work is process",IF(C98=J106,"Plinth work completed","0")))))))))))&amp;(IF(C99=(D94+F94+H94),", RCC Slab",IF(C99&gt;0,", RCC upto "&amp;C99&amp;" Slab",""))&amp;(IF(C100=H94,", Brickwork",IF(C100&gt;0,", Brickwork upto "&amp;C100&amp;" Floor",""))&amp;(IF(C101=H94,", Internal Plaster",IF(C101&gt;0,", Internal Plaster upto "&amp;C101&amp;" Floor",""))&amp;(IF(C102=H94,", External Plaster",IF(C102&gt;0,", External Plaster upto "&amp;C102&amp;" Floor",""))&amp;(IF(C103=H94,", Flooring",IF(C103&gt;0,", Flooring upto "&amp;C103&amp;" Floor",""))&amp;(IF(C104=H94,", Painting",IF(C104&gt;0,", Painting upto "&amp;C104&amp;" Floor",""))&amp;(IF(C105&gt;0,", Finishing upto "&amp;C105&amp;" Floor","")&amp;(IF(C99&gt;0.5," Completed",""))))))))))))))</f>
        <v>All work completed. Please provide OC.</v>
      </c>
      <c r="J93" s="19"/>
    </row>
    <row r="94" spans="1:10" x14ac:dyDescent="0.3">
      <c r="A94" s="35" t="s">
        <v>169</v>
      </c>
      <c r="B94" s="39">
        <v>0</v>
      </c>
      <c r="C94" s="39" t="s">
        <v>98</v>
      </c>
      <c r="D94" s="39">
        <v>1</v>
      </c>
      <c r="E94" s="39" t="s">
        <v>97</v>
      </c>
      <c r="F94" s="39">
        <v>0</v>
      </c>
      <c r="G94" s="39" t="s">
        <v>112</v>
      </c>
      <c r="H94" s="36">
        <f ca="1">--TRIM(RIGHT(SUBSTITUTE(LEFT(C93,_xlfn.AGGREGATE(16,6,FIND({0,1,2,3,4,5,6,7,8,9},C93,ROW(INDIRECT("1:"&amp;LEN(C93)))),1))," ",REPT(" ",LEN(C93))),LEN(C93)))</f>
        <v>7</v>
      </c>
      <c r="I94" s="18"/>
      <c r="J94" s="20"/>
    </row>
    <row r="95" spans="1:10" ht="15.75" customHeight="1" x14ac:dyDescent="0.3">
      <c r="A95" s="96" t="s">
        <v>122</v>
      </c>
      <c r="B95" s="97"/>
      <c r="C95" s="98" t="str">
        <f ca="1">I93</f>
        <v>All work completed. Please provide OC.</v>
      </c>
      <c r="D95" s="98"/>
      <c r="E95" s="98"/>
      <c r="F95" s="98"/>
      <c r="G95" s="98"/>
      <c r="H95" s="99"/>
      <c r="I95" s="18" t="s">
        <v>140</v>
      </c>
      <c r="J95" s="20"/>
    </row>
    <row r="96" spans="1:10" ht="15.75" customHeight="1" x14ac:dyDescent="0.3">
      <c r="A96" s="100" t="s">
        <v>49</v>
      </c>
      <c r="B96" s="101"/>
      <c r="C96" s="40" t="s">
        <v>166</v>
      </c>
      <c r="D96" s="40" t="s">
        <v>115</v>
      </c>
      <c r="E96" s="101" t="s">
        <v>117</v>
      </c>
      <c r="F96" s="101"/>
      <c r="G96" s="101" t="s">
        <v>116</v>
      </c>
      <c r="H96" s="102"/>
      <c r="I96" s="26" t="s">
        <v>168</v>
      </c>
      <c r="J96" s="21">
        <f ca="1">H94*25%</f>
        <v>1.75</v>
      </c>
    </row>
    <row r="97" spans="1:19" x14ac:dyDescent="0.3">
      <c r="A97" s="101" t="s">
        <v>155</v>
      </c>
      <c r="B97" s="101"/>
      <c r="C97" s="43">
        <f ca="1">J98</f>
        <v>7</v>
      </c>
      <c r="D97" s="42">
        <f ca="1">((100/H94)*C97)/100</f>
        <v>1</v>
      </c>
      <c r="E97" s="104">
        <f ca="1">(((C98/H94*10)+(40/(D94+F94+H94)*C99)+(7.5/(H94)*C100)+(7.5/(H94)*C101)+(10/H94*C102)+(10/H94*C103)+(5/H94*C104)+(5/H94*C105)+(5/H94*C106))/100)</f>
        <v>1</v>
      </c>
      <c r="F97" s="104"/>
      <c r="G97" s="104">
        <f ca="1">((((C97/H94)*20)+((C98/H94)*25)+(30/(H94+F94+D94)*C99)+(5/H94*C100)+(5/H94*C101)+(5/H94*C102)+(5/H94*C103)+(0/H94*C104)+(0/H94*C105)+(5/H94*C106))/100)</f>
        <v>1</v>
      </c>
      <c r="H97" s="104"/>
      <c r="I97" s="26" t="s">
        <v>135</v>
      </c>
      <c r="J97" s="29">
        <f ca="1">H94*50%</f>
        <v>3.5</v>
      </c>
    </row>
    <row r="98" spans="1:19" x14ac:dyDescent="0.3">
      <c r="A98" s="101" t="s">
        <v>50</v>
      </c>
      <c r="B98" s="101"/>
      <c r="C98" s="43">
        <f ca="1">J106</f>
        <v>7</v>
      </c>
      <c r="D98" s="42">
        <f ca="1">((100/H94)*C98)/100</f>
        <v>1</v>
      </c>
      <c r="E98" s="104"/>
      <c r="F98" s="104"/>
      <c r="G98" s="104"/>
      <c r="H98" s="104"/>
      <c r="I98" s="26" t="s">
        <v>136</v>
      </c>
      <c r="J98" s="29">
        <f ca="1">H94</f>
        <v>7</v>
      </c>
    </row>
    <row r="99" spans="1:19" ht="15.75" customHeight="1" x14ac:dyDescent="0.3">
      <c r="A99" s="101" t="s">
        <v>156</v>
      </c>
      <c r="B99" s="101"/>
      <c r="C99" s="41">
        <v>8</v>
      </c>
      <c r="D99" s="42">
        <f ca="1">((100/(D94+F94+H94))*C99)/100</f>
        <v>1</v>
      </c>
      <c r="E99" s="104"/>
      <c r="F99" s="104"/>
      <c r="G99" s="104"/>
      <c r="H99" s="104"/>
      <c r="I99" s="26" t="s">
        <v>137</v>
      </c>
      <c r="J99" s="32">
        <f ca="1">(IF(B94&gt;1,(H94/(B94+2)),H94/4))</f>
        <v>1.75</v>
      </c>
      <c r="K99" s="69" t="s">
        <v>255</v>
      </c>
      <c r="L99" s="70"/>
      <c r="M99" s="70"/>
      <c r="N99" s="70"/>
      <c r="O99" s="70"/>
      <c r="P99" s="70"/>
      <c r="Q99" s="70"/>
      <c r="R99" s="70"/>
      <c r="S99" s="70"/>
    </row>
    <row r="100" spans="1:19" ht="15.75" customHeight="1" x14ac:dyDescent="0.3">
      <c r="A100" s="101" t="s">
        <v>163</v>
      </c>
      <c r="B100" s="101" t="s">
        <v>157</v>
      </c>
      <c r="C100" s="41">
        <v>7</v>
      </c>
      <c r="D100" s="42">
        <f ca="1">((100/H94)*C100)/100</f>
        <v>1</v>
      </c>
      <c r="E100" s="104"/>
      <c r="F100" s="104"/>
      <c r="G100" s="104"/>
      <c r="H100" s="104"/>
      <c r="I100" s="26" t="s">
        <v>138</v>
      </c>
      <c r="J100" s="32">
        <f ca="1">(IF(B94&gt;1,(H94/(B94+2)+J99),H94/4+J99))</f>
        <v>3.5</v>
      </c>
      <c r="K100" s="69"/>
      <c r="L100" s="70"/>
      <c r="M100" s="70"/>
      <c r="N100" s="70"/>
      <c r="O100" s="70"/>
      <c r="P100" s="70"/>
      <c r="Q100" s="70"/>
      <c r="R100" s="70"/>
      <c r="S100" s="70"/>
    </row>
    <row r="101" spans="1:19" ht="15.75" customHeight="1" x14ac:dyDescent="0.3">
      <c r="A101" s="101" t="s">
        <v>164</v>
      </c>
      <c r="B101" s="101" t="s">
        <v>157</v>
      </c>
      <c r="C101" s="41">
        <v>7</v>
      </c>
      <c r="D101" s="42">
        <f ca="1">((100/H94)*C101)/100</f>
        <v>1</v>
      </c>
      <c r="E101" s="104"/>
      <c r="F101" s="104"/>
      <c r="G101" s="104"/>
      <c r="H101" s="104"/>
      <c r="I101" s="26" t="s">
        <v>173</v>
      </c>
      <c r="J101" s="32">
        <f>(IF(B94&gt;1,(H94/(B94+2)+J100),0))</f>
        <v>0</v>
      </c>
      <c r="K101" s="71" t="s">
        <v>256</v>
      </c>
      <c r="L101" s="72"/>
      <c r="M101" s="72"/>
      <c r="N101" s="72"/>
      <c r="O101" s="72"/>
      <c r="P101" s="72"/>
      <c r="Q101" s="72"/>
      <c r="R101" s="72"/>
      <c r="S101" s="72"/>
    </row>
    <row r="102" spans="1:19" ht="15" customHeight="1" x14ac:dyDescent="0.3">
      <c r="A102" s="101" t="s">
        <v>162</v>
      </c>
      <c r="B102" s="101" t="s">
        <v>159</v>
      </c>
      <c r="C102" s="41">
        <v>7</v>
      </c>
      <c r="D102" s="42">
        <f ca="1">((100/(H94))*C102)/100</f>
        <v>1</v>
      </c>
      <c r="E102" s="104"/>
      <c r="F102" s="104"/>
      <c r="G102" s="104"/>
      <c r="H102" s="104"/>
      <c r="I102" s="26" t="s">
        <v>170</v>
      </c>
      <c r="J102" s="32">
        <f>(IF(B94&gt;2,(H94/(B94+2)+J101),0))</f>
        <v>0</v>
      </c>
    </row>
    <row r="103" spans="1:19" ht="15.75" customHeight="1" x14ac:dyDescent="0.3">
      <c r="A103" s="101" t="s">
        <v>158</v>
      </c>
      <c r="B103" s="101" t="s">
        <v>158</v>
      </c>
      <c r="C103" s="41">
        <v>7</v>
      </c>
      <c r="D103" s="42">
        <f ca="1">((100/H94)*C103)/100</f>
        <v>1</v>
      </c>
      <c r="E103" s="104"/>
      <c r="F103" s="104"/>
      <c r="G103" s="104"/>
      <c r="H103" s="104"/>
      <c r="I103" s="26" t="s">
        <v>171</v>
      </c>
      <c r="J103" s="33">
        <f>(IF(B94&gt;3,(H94/(B94+2)+J102),0))</f>
        <v>0</v>
      </c>
    </row>
    <row r="104" spans="1:19" ht="15.75" customHeight="1" x14ac:dyDescent="0.3">
      <c r="A104" s="101" t="s">
        <v>165</v>
      </c>
      <c r="B104" s="101"/>
      <c r="C104" s="41">
        <v>7</v>
      </c>
      <c r="D104" s="42">
        <f ca="1">((100/H94)*C104)/100</f>
        <v>1</v>
      </c>
      <c r="E104" s="104"/>
      <c r="F104" s="104"/>
      <c r="G104" s="104"/>
      <c r="H104" s="104"/>
      <c r="I104" s="26" t="s">
        <v>172</v>
      </c>
      <c r="J104" s="32">
        <f>(IF(B94&gt;4,(H94/(B94+2)+J103),0))</f>
        <v>0</v>
      </c>
    </row>
    <row r="105" spans="1:19" ht="15.75" customHeight="1" x14ac:dyDescent="0.3">
      <c r="A105" s="101" t="s">
        <v>160</v>
      </c>
      <c r="B105" s="101" t="s">
        <v>160</v>
      </c>
      <c r="C105" s="41">
        <v>7</v>
      </c>
      <c r="D105" s="42">
        <f ca="1">((100/(H94))*C105)/100</f>
        <v>1</v>
      </c>
      <c r="E105" s="104"/>
      <c r="F105" s="104"/>
      <c r="G105" s="104"/>
      <c r="H105" s="104"/>
      <c r="I105" s="26" t="s">
        <v>174</v>
      </c>
      <c r="J105" s="32">
        <f ca="1">(IF(B94=1,(H94/(B94+3)+J100),IF(B94=0,(H94/4+J100),IF(B94&gt;1,0))))</f>
        <v>5.25</v>
      </c>
    </row>
    <row r="106" spans="1:19" ht="16.2" thickBot="1" x14ac:dyDescent="0.35">
      <c r="A106" s="101" t="s">
        <v>161</v>
      </c>
      <c r="B106" s="101"/>
      <c r="C106" s="41">
        <v>7</v>
      </c>
      <c r="D106" s="42">
        <f ca="1">((100/(H94))*C106)/100</f>
        <v>1</v>
      </c>
      <c r="E106" s="104"/>
      <c r="F106" s="104"/>
      <c r="G106" s="104"/>
      <c r="H106" s="104"/>
      <c r="I106" s="31" t="s">
        <v>139</v>
      </c>
      <c r="J106" s="34">
        <f ca="1">(IF(B94&gt;1.5,(H94/(B94+2)+J100+MAX(0,J101-J100)+MAX(0,J102-J101)+MAX(0,J103-J102)+MAX(0,J104-J103)+MAX(0,J105-J104)),IF(B94=1,(H94/(B94+3)+J105),IF(B94=0,H94/4+J105))))</f>
        <v>7</v>
      </c>
    </row>
    <row r="107" spans="1:19" ht="15.75" customHeight="1" x14ac:dyDescent="0.3">
      <c r="A107" s="98" t="s">
        <v>167</v>
      </c>
      <c r="B107" s="98"/>
      <c r="C107" s="98" t="str">
        <f>D58</f>
        <v>Building No.2(Wing B) = Gr + 1st to 11th Floor</v>
      </c>
      <c r="D107" s="98"/>
      <c r="E107" s="98"/>
      <c r="F107" s="98"/>
      <c r="G107" s="98"/>
      <c r="H107" s="98"/>
      <c r="I107" s="30" t="str">
        <f ca="1">(IF(E111&gt;99%,"All work completed. Please provide OC.",IF(E111&gt;89.8%,"Plinth, RCC, Brick, Plaster, Flooring, Painting work Completed. Finishing work is in process.",IF(E111&lt;94%,(IF(C111=0,"Work not yet Started.",IF(D111=25%,"Piling work in process",IF(D111=50%,"Excavation work in process",IF(D111=100%,"Excavation work Completed. ","0")))&amp;(IF(C112=0%,"",IF(C112=J113,"Footing work is process",IF(C112=J114,"Footing work Completed",IF(C112=J115,"1st Basement Completed",IF(C112=J116,"1st &amp; 2nd Basement Completed",IF(C112=J117,"1st to 3rd Basement Completed",IF(C112=J118,"1st to 4th Basement Completed",IF(C112=J119,"Plinth work is process",IF(C112=J120,"Plinth work completed","0")))))))))))&amp;(IF(C113=(D108+F108+H108),", RCC Slab",IF(C113&gt;0,", RCC upto "&amp;C113&amp;" Slab",""))&amp;(IF(C114=H108,", Brickwork",IF(C114&gt;0,", Brickwork upto "&amp;C114&amp;" Floor",""))&amp;(IF(C115=H108,", Internal Plaster",IF(C115&gt;0,", Internal Plaster upto "&amp;C115&amp;" Floor",""))&amp;(IF(C116=H108,", External Plaster",IF(C116&gt;0,", External Plaster upto "&amp;C116&amp;" Floor",""))&amp;(IF(C117=H108,", Flooring",IF(C117&gt;0,", Flooring upto "&amp;C117&amp;" Floor",""))&amp;(IF(C118=H108,", Painting",IF(C118&gt;0,", Painting upto "&amp;C118&amp;" Floor",""))&amp;(IF(C119&gt;0,", Finishing upto "&amp;C119&amp;" Floor","")&amp;(IF(C113&gt;0.5," Completed",""))))))))))))))</f>
        <v>All work completed. Please provide OC.</v>
      </c>
      <c r="J107" s="19"/>
    </row>
    <row r="108" spans="1:19" x14ac:dyDescent="0.3">
      <c r="A108" s="39" t="s">
        <v>169</v>
      </c>
      <c r="B108" s="39">
        <v>0</v>
      </c>
      <c r="C108" s="39" t="s">
        <v>98</v>
      </c>
      <c r="D108" s="39">
        <v>1</v>
      </c>
      <c r="E108" s="39" t="s">
        <v>97</v>
      </c>
      <c r="F108" s="39">
        <v>0</v>
      </c>
      <c r="G108" s="39" t="s">
        <v>112</v>
      </c>
      <c r="H108" s="39">
        <f ca="1">--TRIM(RIGHT(SUBSTITUTE(LEFT(C107,_xlfn.AGGREGATE(16,6,FIND({0,1,2,3,4,5,6,7,8,9},C107,ROW(INDIRECT("1:"&amp;LEN(C107)))),1))," ",REPT(" ",LEN(C107))),LEN(C107)))</f>
        <v>11</v>
      </c>
      <c r="I108" s="18"/>
      <c r="J108" s="20"/>
    </row>
    <row r="109" spans="1:19" ht="15.75" customHeight="1" x14ac:dyDescent="0.3">
      <c r="A109" s="97" t="s">
        <v>122</v>
      </c>
      <c r="B109" s="97"/>
      <c r="C109" s="98" t="str">
        <f ca="1">I107</f>
        <v>All work completed. Please provide OC.</v>
      </c>
      <c r="D109" s="98"/>
      <c r="E109" s="98"/>
      <c r="F109" s="98"/>
      <c r="G109" s="98"/>
      <c r="H109" s="98"/>
      <c r="I109" s="18" t="s">
        <v>140</v>
      </c>
      <c r="J109" s="20"/>
    </row>
    <row r="110" spans="1:19" ht="15.75" customHeight="1" x14ac:dyDescent="0.3">
      <c r="A110" s="101" t="s">
        <v>49</v>
      </c>
      <c r="B110" s="101"/>
      <c r="C110" s="40" t="s">
        <v>166</v>
      </c>
      <c r="D110" s="40" t="s">
        <v>115</v>
      </c>
      <c r="E110" s="101" t="s">
        <v>117</v>
      </c>
      <c r="F110" s="101"/>
      <c r="G110" s="101" t="s">
        <v>116</v>
      </c>
      <c r="H110" s="101"/>
      <c r="I110" s="26" t="s">
        <v>168</v>
      </c>
      <c r="J110" s="21">
        <f ca="1">H108*25%</f>
        <v>2.75</v>
      </c>
    </row>
    <row r="111" spans="1:19" x14ac:dyDescent="0.3">
      <c r="A111" s="100" t="s">
        <v>155</v>
      </c>
      <c r="B111" s="101"/>
      <c r="C111" s="41">
        <f ca="1">J112</f>
        <v>11</v>
      </c>
      <c r="D111" s="42">
        <f ca="1">((100/H108)*C111)/100</f>
        <v>1.0000000000000002</v>
      </c>
      <c r="E111" s="104">
        <f ca="1">(((C112/H108*10)+(40/(D108+F108+H108)*C113)+(7.5/(H108)*C114)+(7.5/(H108)*C115)+(10/H108*C116)+(10/H108*C117)+(5/H108*C118)+(5/H108*C119)+(5/H108*C120))/100)</f>
        <v>1</v>
      </c>
      <c r="F111" s="104"/>
      <c r="G111" s="104">
        <f ca="1">((((C111/H108)*20)+((C112/H108)*25)+(30/(H108+F108+D108)*C113)+(5/H108*C114)+(5/H108*C115)+(5/H108*C116)+(5/H108*C117)+(0/H108*C118)+(0/H108*C119)+(5/H108*C120))/100)</f>
        <v>1</v>
      </c>
      <c r="H111" s="106"/>
      <c r="I111" s="26" t="s">
        <v>135</v>
      </c>
      <c r="J111" s="29">
        <f ca="1">H108*50%</f>
        <v>5.5</v>
      </c>
    </row>
    <row r="112" spans="1:19" x14ac:dyDescent="0.3">
      <c r="A112" s="100" t="s">
        <v>50</v>
      </c>
      <c r="B112" s="101"/>
      <c r="C112" s="43">
        <f ca="1">J120</f>
        <v>11</v>
      </c>
      <c r="D112" s="42">
        <f ca="1">((100/H108)*C112)/100</f>
        <v>1.0000000000000002</v>
      </c>
      <c r="E112" s="104"/>
      <c r="F112" s="104"/>
      <c r="G112" s="104"/>
      <c r="H112" s="106"/>
      <c r="I112" s="26" t="s">
        <v>136</v>
      </c>
      <c r="J112" s="29">
        <f ca="1">H108</f>
        <v>11</v>
      </c>
    </row>
    <row r="113" spans="1:10" ht="15.75" customHeight="1" x14ac:dyDescent="0.3">
      <c r="A113" s="100" t="s">
        <v>156</v>
      </c>
      <c r="B113" s="101"/>
      <c r="C113" s="41">
        <v>12</v>
      </c>
      <c r="D113" s="42">
        <f ca="1">((100/(D108+F108+H108))*C113)/100</f>
        <v>1</v>
      </c>
      <c r="E113" s="104"/>
      <c r="F113" s="104"/>
      <c r="G113" s="104"/>
      <c r="H113" s="106"/>
      <c r="I113" s="26" t="s">
        <v>137</v>
      </c>
      <c r="J113" s="32">
        <f ca="1">(IF(B108&gt;1,(H108/(B108+2)),H108/4))</f>
        <v>2.75</v>
      </c>
    </row>
    <row r="114" spans="1:10" ht="15.75" customHeight="1" x14ac:dyDescent="0.3">
      <c r="A114" s="100" t="s">
        <v>163</v>
      </c>
      <c r="B114" s="101" t="s">
        <v>157</v>
      </c>
      <c r="C114" s="41">
        <v>11</v>
      </c>
      <c r="D114" s="42">
        <f ca="1">((100/H108)*C114)/100</f>
        <v>1.0000000000000002</v>
      </c>
      <c r="E114" s="104"/>
      <c r="F114" s="104"/>
      <c r="G114" s="104"/>
      <c r="H114" s="106"/>
      <c r="I114" s="26" t="s">
        <v>138</v>
      </c>
      <c r="J114" s="32">
        <f ca="1">(IF(B108&gt;1,(H108/(B108+2)+J113),H108/4+J113))</f>
        <v>5.5</v>
      </c>
    </row>
    <row r="115" spans="1:10" ht="15.75" customHeight="1" x14ac:dyDescent="0.3">
      <c r="A115" s="100" t="s">
        <v>164</v>
      </c>
      <c r="B115" s="101" t="s">
        <v>157</v>
      </c>
      <c r="C115" s="41">
        <v>11</v>
      </c>
      <c r="D115" s="42">
        <f ca="1">((100/H108)*C115)/100</f>
        <v>1.0000000000000002</v>
      </c>
      <c r="E115" s="104"/>
      <c r="F115" s="104"/>
      <c r="G115" s="104"/>
      <c r="H115" s="106"/>
      <c r="I115" s="26" t="s">
        <v>173</v>
      </c>
      <c r="J115" s="32">
        <f>(IF(B108&gt;1,(H108/(B108+2)+J114),0))</f>
        <v>0</v>
      </c>
    </row>
    <row r="116" spans="1:10" ht="15" customHeight="1" x14ac:dyDescent="0.3">
      <c r="A116" s="100" t="s">
        <v>162</v>
      </c>
      <c r="B116" s="101" t="s">
        <v>159</v>
      </c>
      <c r="C116" s="41">
        <v>11</v>
      </c>
      <c r="D116" s="42">
        <f ca="1">((100/(H108))*C116)/100</f>
        <v>1.0000000000000002</v>
      </c>
      <c r="E116" s="104"/>
      <c r="F116" s="104"/>
      <c r="G116" s="104"/>
      <c r="H116" s="106"/>
      <c r="I116" s="26" t="s">
        <v>170</v>
      </c>
      <c r="J116" s="32">
        <f>(IF(B108&gt;2,(H108/(B108+2)+J115),0))</f>
        <v>0</v>
      </c>
    </row>
    <row r="117" spans="1:10" ht="15.75" customHeight="1" x14ac:dyDescent="0.3">
      <c r="A117" s="100" t="s">
        <v>158</v>
      </c>
      <c r="B117" s="101" t="s">
        <v>158</v>
      </c>
      <c r="C117" s="41">
        <v>11</v>
      </c>
      <c r="D117" s="42">
        <f ca="1">((100/H108)*C117)/100</f>
        <v>1.0000000000000002</v>
      </c>
      <c r="E117" s="104"/>
      <c r="F117" s="104"/>
      <c r="G117" s="104"/>
      <c r="H117" s="106"/>
      <c r="I117" s="26" t="s">
        <v>171</v>
      </c>
      <c r="J117" s="33">
        <f>(IF(B108&gt;3,(H108/(B108+2)+J116),0))</f>
        <v>0</v>
      </c>
    </row>
    <row r="118" spans="1:10" ht="15.75" customHeight="1" x14ac:dyDescent="0.3">
      <c r="A118" s="100" t="s">
        <v>165</v>
      </c>
      <c r="B118" s="101"/>
      <c r="C118" s="41">
        <v>11</v>
      </c>
      <c r="D118" s="42">
        <f ca="1">((100/H108)*C118)/100</f>
        <v>1.0000000000000002</v>
      </c>
      <c r="E118" s="104"/>
      <c r="F118" s="104"/>
      <c r="G118" s="104"/>
      <c r="H118" s="106"/>
      <c r="I118" s="26" t="s">
        <v>172</v>
      </c>
      <c r="J118" s="32">
        <f>(IF(B108&gt;4,(H108/(B108+2)+J117),0))</f>
        <v>0</v>
      </c>
    </row>
    <row r="119" spans="1:10" ht="15.75" customHeight="1" x14ac:dyDescent="0.3">
      <c r="A119" s="100" t="s">
        <v>160</v>
      </c>
      <c r="B119" s="101" t="s">
        <v>160</v>
      </c>
      <c r="C119" s="41">
        <v>11</v>
      </c>
      <c r="D119" s="42">
        <f ca="1">((100/(H108))*C119)/100</f>
        <v>1.0000000000000002</v>
      </c>
      <c r="E119" s="104"/>
      <c r="F119" s="104"/>
      <c r="G119" s="104"/>
      <c r="H119" s="106"/>
      <c r="I119" s="26" t="s">
        <v>174</v>
      </c>
      <c r="J119" s="32">
        <f ca="1">(IF(B108=1,(H108/(B108+3)+J114),IF(B108=0,(H108/4+J114),IF(B108&gt;1,0))))</f>
        <v>8.25</v>
      </c>
    </row>
    <row r="120" spans="1:10" ht="16.2" thickBot="1" x14ac:dyDescent="0.35">
      <c r="A120" s="156" t="s">
        <v>161</v>
      </c>
      <c r="B120" s="157"/>
      <c r="C120" s="44">
        <v>11</v>
      </c>
      <c r="D120" s="45">
        <f ca="1">((100/(H108))*C120)/100</f>
        <v>1.0000000000000002</v>
      </c>
      <c r="E120" s="105"/>
      <c r="F120" s="105"/>
      <c r="G120" s="105"/>
      <c r="H120" s="107"/>
      <c r="I120" s="31" t="s">
        <v>139</v>
      </c>
      <c r="J120" s="34">
        <f ca="1">(IF(B108&gt;1.5,(H108/(B108+2)+J114+MAX(0,J115-J114)+MAX(0,J116-J115)+MAX(0,J117-J116)+MAX(0,J118-J117)+MAX(0,J119-J118)),IF(B108=1,(H108/(B108+3)+J119),IF(B108=0,H108/4+J119))))</f>
        <v>11</v>
      </c>
    </row>
    <row r="121" spans="1:10" x14ac:dyDescent="0.3">
      <c r="A121" s="181" t="s">
        <v>143</v>
      </c>
      <c r="B121" s="182"/>
      <c r="C121" s="182"/>
      <c r="D121" s="182"/>
      <c r="E121" s="183"/>
      <c r="F121" s="181" t="str">
        <f ca="1">(IF(D62="Nothing","Yes",IF(D62="Cement, Aggregate, Steel, etc","Under Construction",IF(D62="Work not yet Started","Work not yet Started"))))</f>
        <v>Under Construction</v>
      </c>
      <c r="G121" s="182"/>
      <c r="H121" s="183"/>
    </row>
    <row r="122" spans="1:10" x14ac:dyDescent="0.3">
      <c r="A122" s="68" t="s">
        <v>51</v>
      </c>
      <c r="B122" s="68"/>
      <c r="C122" s="68"/>
      <c r="D122" s="68"/>
      <c r="E122" s="68"/>
      <c r="F122" s="68"/>
      <c r="G122" s="68"/>
      <c r="H122" s="68"/>
    </row>
    <row r="123" spans="1:10" ht="15" customHeight="1" x14ac:dyDescent="0.3">
      <c r="A123" s="97" t="s">
        <v>101</v>
      </c>
      <c r="B123" s="97"/>
      <c r="C123" s="98" t="s">
        <v>102</v>
      </c>
      <c r="D123" s="98"/>
      <c r="E123" s="98"/>
      <c r="F123" s="98"/>
      <c r="G123" s="98"/>
      <c r="H123" s="98"/>
    </row>
    <row r="124" spans="1:10" x14ac:dyDescent="0.3">
      <c r="A124" s="97" t="s">
        <v>52</v>
      </c>
      <c r="B124" s="97"/>
      <c r="C124" s="97"/>
      <c r="D124" s="97"/>
      <c r="E124" s="97"/>
      <c r="F124" s="97"/>
      <c r="G124" s="97"/>
      <c r="H124" s="97"/>
    </row>
    <row r="125" spans="1:10" x14ac:dyDescent="0.3">
      <c r="A125" s="68" t="s">
        <v>103</v>
      </c>
      <c r="B125" s="68"/>
      <c r="C125" s="68"/>
      <c r="D125" s="68"/>
      <c r="E125" s="68"/>
      <c r="F125" s="195">
        <v>5700</v>
      </c>
      <c r="G125" s="195"/>
      <c r="H125" s="195"/>
    </row>
    <row r="126" spans="1:10" x14ac:dyDescent="0.3">
      <c r="A126" s="68" t="s">
        <v>110</v>
      </c>
      <c r="B126" s="68"/>
      <c r="C126" s="68"/>
      <c r="D126" s="68"/>
      <c r="E126" s="68"/>
      <c r="F126" s="103">
        <v>10000</v>
      </c>
      <c r="G126" s="103"/>
      <c r="H126" s="103"/>
    </row>
    <row r="127" spans="1:10" hidden="1" x14ac:dyDescent="0.3">
      <c r="A127" s="68" t="s">
        <v>111</v>
      </c>
      <c r="B127" s="68"/>
      <c r="C127" s="68"/>
      <c r="D127" s="68"/>
      <c r="E127" s="68"/>
      <c r="F127" s="103"/>
      <c r="G127" s="103"/>
      <c r="H127" s="103"/>
    </row>
    <row r="128" spans="1:10" s="12" customFormat="1" hidden="1" x14ac:dyDescent="0.25">
      <c r="A128" s="68" t="s">
        <v>127</v>
      </c>
      <c r="B128" s="68"/>
      <c r="C128" s="68"/>
      <c r="D128" s="68"/>
      <c r="E128" s="68"/>
      <c r="F128" s="103" t="s">
        <v>28</v>
      </c>
      <c r="G128" s="103"/>
      <c r="H128" s="103"/>
    </row>
    <row r="129" spans="1:10" s="12" customFormat="1" hidden="1" x14ac:dyDescent="0.25">
      <c r="A129" s="68" t="s">
        <v>128</v>
      </c>
      <c r="B129" s="68"/>
      <c r="C129" s="68"/>
      <c r="D129" s="68"/>
      <c r="E129" s="68"/>
      <c r="F129" s="103" t="s">
        <v>28</v>
      </c>
      <c r="G129" s="103"/>
      <c r="H129" s="103"/>
    </row>
    <row r="130" spans="1:10" s="12" customFormat="1" hidden="1" x14ac:dyDescent="0.25">
      <c r="A130" s="68" t="s">
        <v>129</v>
      </c>
      <c r="B130" s="68"/>
      <c r="C130" s="68"/>
      <c r="D130" s="68"/>
      <c r="E130" s="68"/>
      <c r="F130" s="103" t="s">
        <v>28</v>
      </c>
      <c r="G130" s="103"/>
      <c r="H130" s="103"/>
    </row>
    <row r="131" spans="1:10" s="12" customFormat="1" hidden="1" x14ac:dyDescent="0.25">
      <c r="A131" s="68" t="s">
        <v>130</v>
      </c>
      <c r="B131" s="68"/>
      <c r="C131" s="68"/>
      <c r="D131" s="68"/>
      <c r="E131" s="68"/>
      <c r="F131" s="103" t="s">
        <v>28</v>
      </c>
      <c r="G131" s="103"/>
      <c r="H131" s="103"/>
    </row>
    <row r="132" spans="1:10" s="12" customFormat="1" hidden="1" x14ac:dyDescent="0.25">
      <c r="A132" s="68" t="s">
        <v>131</v>
      </c>
      <c r="B132" s="68"/>
      <c r="C132" s="68"/>
      <c r="D132" s="68"/>
      <c r="E132" s="68"/>
      <c r="F132" s="103" t="s">
        <v>28</v>
      </c>
      <c r="G132" s="103"/>
      <c r="H132" s="103"/>
    </row>
    <row r="133" spans="1:10" s="12" customFormat="1" hidden="1" x14ac:dyDescent="0.25">
      <c r="A133" s="68" t="s">
        <v>132</v>
      </c>
      <c r="B133" s="68"/>
      <c r="C133" s="68"/>
      <c r="D133" s="68"/>
      <c r="E133" s="68"/>
      <c r="F133" s="103" t="s">
        <v>28</v>
      </c>
      <c r="G133" s="103"/>
      <c r="H133" s="103"/>
    </row>
    <row r="134" spans="1:10" s="12" customFormat="1" hidden="1" x14ac:dyDescent="0.25">
      <c r="A134" s="68" t="s">
        <v>133</v>
      </c>
      <c r="B134" s="68"/>
      <c r="C134" s="68"/>
      <c r="D134" s="68"/>
      <c r="E134" s="68"/>
      <c r="F134" s="103" t="s">
        <v>28</v>
      </c>
      <c r="G134" s="103"/>
      <c r="H134" s="103"/>
    </row>
    <row r="135" spans="1:10" s="12" customFormat="1" hidden="1" x14ac:dyDescent="0.25">
      <c r="A135" s="68" t="s">
        <v>134</v>
      </c>
      <c r="B135" s="68"/>
      <c r="C135" s="68"/>
      <c r="D135" s="68"/>
      <c r="E135" s="68"/>
      <c r="F135" s="103" t="s">
        <v>28</v>
      </c>
      <c r="G135" s="103"/>
      <c r="H135" s="103"/>
    </row>
    <row r="136" spans="1:10" x14ac:dyDescent="0.3">
      <c r="A136" s="68" t="s">
        <v>53</v>
      </c>
      <c r="B136" s="68"/>
      <c r="C136" s="68"/>
      <c r="D136" s="68"/>
      <c r="E136" s="68"/>
      <c r="F136" s="178">
        <v>150000</v>
      </c>
      <c r="G136" s="152"/>
      <c r="H136" s="152"/>
    </row>
    <row r="137" spans="1:10" s="9" customFormat="1" x14ac:dyDescent="0.3">
      <c r="A137" s="97" t="s">
        <v>54</v>
      </c>
      <c r="B137" s="97"/>
      <c r="C137" s="97"/>
      <c r="D137" s="97"/>
      <c r="E137" s="97"/>
      <c r="F137" s="103">
        <f>F125*0.8</f>
        <v>4560</v>
      </c>
      <c r="G137" s="103"/>
      <c r="H137" s="103"/>
    </row>
    <row r="138" spans="1:10" s="1" customFormat="1" ht="15.75" customHeight="1" x14ac:dyDescent="0.3">
      <c r="A138" s="177" t="s">
        <v>104</v>
      </c>
      <c r="B138" s="177"/>
      <c r="C138" s="177"/>
      <c r="D138" s="177"/>
      <c r="E138" s="177"/>
      <c r="F138" s="177"/>
      <c r="G138" s="177"/>
      <c r="H138" s="177"/>
    </row>
    <row r="139" spans="1:10" s="1" customFormat="1" ht="15.75" customHeight="1" x14ac:dyDescent="0.3">
      <c r="A139" s="117" t="s">
        <v>55</v>
      </c>
      <c r="B139" s="117"/>
      <c r="C139" s="116" t="s">
        <v>107</v>
      </c>
      <c r="D139" s="116"/>
      <c r="E139" s="118" t="s">
        <v>56</v>
      </c>
      <c r="F139" s="118"/>
      <c r="G139" s="117" t="s">
        <v>57</v>
      </c>
      <c r="H139" s="117"/>
    </row>
    <row r="140" spans="1:10" s="1" customFormat="1" ht="15.75" customHeight="1" x14ac:dyDescent="0.3">
      <c r="A140" s="46" t="s">
        <v>230</v>
      </c>
      <c r="B140" s="46" t="s">
        <v>185</v>
      </c>
      <c r="C140" s="129">
        <f>COUNT(D153:D170)</f>
        <v>18</v>
      </c>
      <c r="D140" s="129"/>
      <c r="E140" s="130">
        <f>SUM(D153:D170)</f>
        <v>3310.0376399999996</v>
      </c>
      <c r="F140" s="131"/>
      <c r="G140" s="130">
        <f>SUM(F153:F170)</f>
        <v>5296.0602239999989</v>
      </c>
      <c r="H140" s="131"/>
      <c r="J140" s="65">
        <f>SUM(E140,E146)</f>
        <v>121385.02778999998</v>
      </c>
    </row>
    <row r="141" spans="1:10" s="1" customFormat="1" x14ac:dyDescent="0.3">
      <c r="A141" s="177" t="s">
        <v>96</v>
      </c>
      <c r="B141" s="177"/>
      <c r="C141" s="177"/>
      <c r="D141" s="177"/>
      <c r="E141" s="177"/>
      <c r="F141" s="177"/>
      <c r="G141" s="177"/>
      <c r="H141" s="177"/>
    </row>
    <row r="142" spans="1:10" s="1" customFormat="1" ht="15.75" customHeight="1" x14ac:dyDescent="0.3">
      <c r="A142" s="117" t="s">
        <v>55</v>
      </c>
      <c r="B142" s="117"/>
      <c r="C142" s="116" t="s">
        <v>107</v>
      </c>
      <c r="D142" s="116"/>
      <c r="E142" s="118" t="s">
        <v>56</v>
      </c>
      <c r="F142" s="118"/>
      <c r="G142" s="117" t="s">
        <v>57</v>
      </c>
      <c r="H142" s="117"/>
    </row>
    <row r="143" spans="1:10" s="1" customFormat="1" ht="15.75" customHeight="1" x14ac:dyDescent="0.3">
      <c r="A143" s="128" t="s">
        <v>230</v>
      </c>
      <c r="B143" s="128"/>
      <c r="C143" s="129">
        <f>COUNT(D177:D188,D190:D201,D203:D214,D216:D227,D244:D251)+COUNT(D231:D238)*3+COUNT(D258:D263)*5+COUNT(D271:D276)*8</f>
        <v>158</v>
      </c>
      <c r="D143" s="129"/>
      <c r="E143" s="130">
        <f>SUM(D177:D188,D190:D201,D203:D214,D216:D227,D244:D251)+SUM(D231:D238)*3+SUM(D258:D263)*5+SUM(D271:D276)*8</f>
        <v>81284.130719999986</v>
      </c>
      <c r="F143" s="131"/>
      <c r="G143" s="130">
        <f>SUM(F177:F188,F190:F201,F203:F214,F216:F227,F244:F251)+SUM(F231:F238)*3+SUM(F258:F263)*5+SUM(F271:F276)*8</f>
        <v>121926.19607999998</v>
      </c>
      <c r="H143" s="131"/>
    </row>
    <row r="144" spans="1:10" s="1" customFormat="1" ht="15.75" customHeight="1" x14ac:dyDescent="0.3">
      <c r="A144" s="134" t="s">
        <v>231</v>
      </c>
      <c r="B144" s="47" t="s">
        <v>189</v>
      </c>
      <c r="C144" s="129">
        <f>COUNT(D284:D288,D297:D302,D304:D309,D311:D316,D318:D323)+COUNT(D290:D295)*3</f>
        <v>47</v>
      </c>
      <c r="D144" s="129"/>
      <c r="E144" s="130">
        <f>SUM(D284:D288,D297:D302,D304:D309,D311:D316,D318:D323)+SUM(D290:D295)*3</f>
        <v>18403.560629999996</v>
      </c>
      <c r="F144" s="131"/>
      <c r="G144" s="130">
        <f>SUM(F284:F288,F297:F302,F304:F309,F311:F316,F318:F323)+SUM(F290:F295)*3</f>
        <v>27605.340944999996</v>
      </c>
      <c r="H144" s="131"/>
    </row>
    <row r="145" spans="1:14" s="1" customFormat="1" ht="15.75" customHeight="1" x14ac:dyDescent="0.3">
      <c r="A145" s="135"/>
      <c r="B145" s="47" t="s">
        <v>190</v>
      </c>
      <c r="C145" s="129">
        <f>COUNT(D326:D328,D335:D338,D340:D343,D345:D348,D350:D353,D355:D358)+COUNT(D330:D333)*3+COUNT(D360:D363)*3</f>
        <v>47</v>
      </c>
      <c r="D145" s="129"/>
      <c r="E145" s="130">
        <f>SUM(D326:D328,D335:D338,D340:D343,D345:D348,D350:D353,D355:D358)+SUM(D330:D333)*3+SUM(D360:D363)*3</f>
        <v>18387.2988</v>
      </c>
      <c r="F145" s="131"/>
      <c r="G145" s="130">
        <f>SUM(F326:F328,F335:F338,F340:F343,F345:F348,F350:F353,F355:F358)+SUM(F330:F333)*3+SUM(F360:F363)*3</f>
        <v>27580.948199999999</v>
      </c>
      <c r="H145" s="131"/>
    </row>
    <row r="146" spans="1:14" s="1" customFormat="1" x14ac:dyDescent="0.3">
      <c r="A146" s="177" t="s">
        <v>59</v>
      </c>
      <c r="B146" s="177"/>
      <c r="C146" s="116">
        <f>SUM(C143:D145)</f>
        <v>252</v>
      </c>
      <c r="D146" s="116"/>
      <c r="E146" s="117">
        <f>SUM(E143:F145)</f>
        <v>118074.99014999998</v>
      </c>
      <c r="F146" s="118"/>
      <c r="G146" s="117">
        <f>SUM(G143:H145)</f>
        <v>177112.48522499995</v>
      </c>
      <c r="H146" s="117"/>
    </row>
    <row r="147" spans="1:14" s="9" customFormat="1" x14ac:dyDescent="0.3">
      <c r="A147" s="139" t="s">
        <v>60</v>
      </c>
      <c r="B147" s="139"/>
      <c r="C147" s="139"/>
      <c r="D147" s="139"/>
      <c r="E147" s="139"/>
      <c r="F147" s="139"/>
      <c r="G147" s="139"/>
      <c r="H147" s="139"/>
    </row>
    <row r="148" spans="1:14" x14ac:dyDescent="0.3">
      <c r="A148" s="139" t="s">
        <v>61</v>
      </c>
      <c r="B148" s="139"/>
      <c r="C148" s="139"/>
      <c r="D148" s="139"/>
      <c r="E148" s="139"/>
      <c r="F148" s="139"/>
      <c r="G148" s="139"/>
      <c r="H148" s="139"/>
    </row>
    <row r="149" spans="1:14" ht="47.25" customHeight="1" x14ac:dyDescent="0.3">
      <c r="A149" s="132" t="s">
        <v>236</v>
      </c>
      <c r="B149" s="132" t="s">
        <v>145</v>
      </c>
      <c r="C149" s="132" t="s">
        <v>62</v>
      </c>
      <c r="D149" s="132" t="s">
        <v>63</v>
      </c>
      <c r="E149" s="122" t="s">
        <v>64</v>
      </c>
      <c r="F149" s="48" t="s">
        <v>144</v>
      </c>
      <c r="G149" s="124" t="s">
        <v>65</v>
      </c>
      <c r="H149" s="125"/>
    </row>
    <row r="150" spans="1:14" s="2" customFormat="1" x14ac:dyDescent="0.3">
      <c r="A150" s="133"/>
      <c r="B150" s="133"/>
      <c r="C150" s="133"/>
      <c r="D150" s="133"/>
      <c r="E150" s="123"/>
      <c r="F150" s="49">
        <v>0.6</v>
      </c>
      <c r="G150" s="126"/>
      <c r="H150" s="127"/>
    </row>
    <row r="151" spans="1:14" s="2" customFormat="1" x14ac:dyDescent="0.3">
      <c r="A151" s="119" t="s">
        <v>183</v>
      </c>
      <c r="B151" s="120"/>
      <c r="C151" s="120"/>
      <c r="D151" s="120"/>
      <c r="E151" s="120"/>
      <c r="F151" s="120"/>
      <c r="G151" s="120"/>
      <c r="H151" s="121"/>
    </row>
    <row r="152" spans="1:14" s="2" customFormat="1" x14ac:dyDescent="0.3">
      <c r="A152" s="119" t="s">
        <v>184</v>
      </c>
      <c r="B152" s="120"/>
      <c r="C152" s="120"/>
      <c r="D152" s="120"/>
      <c r="E152" s="120"/>
      <c r="F152" s="120"/>
      <c r="G152" s="120"/>
      <c r="H152" s="121"/>
    </row>
    <row r="153" spans="1:14" s="2" customFormat="1" ht="15.75" customHeight="1" x14ac:dyDescent="0.3">
      <c r="A153" s="94">
        <v>1</v>
      </c>
      <c r="B153" s="95"/>
      <c r="C153" s="50" t="s">
        <v>185</v>
      </c>
      <c r="D153" s="50">
        <f>3*6.2*10.764</f>
        <v>200.21039999999999</v>
      </c>
      <c r="E153" s="50">
        <v>0</v>
      </c>
      <c r="F153" s="50">
        <f t="shared" ref="F153:F159" si="0">D153*(($F$150)+1)+E153</f>
        <v>320.33663999999999</v>
      </c>
      <c r="G153" s="90" t="str">
        <f>A152</f>
        <v>Ground Floor for Commercial &amp; Parking</v>
      </c>
      <c r="H153" s="91"/>
      <c r="I153" s="23"/>
      <c r="L153" s="79"/>
      <c r="M153" s="79"/>
      <c r="N153" s="23"/>
    </row>
    <row r="154" spans="1:14" s="2" customFormat="1" ht="15.75" customHeight="1" x14ac:dyDescent="0.3">
      <c r="A154" s="94">
        <f t="shared" ref="A154:A170" si="1">A153+1</f>
        <v>2</v>
      </c>
      <c r="B154" s="95"/>
      <c r="C154" s="50" t="s">
        <v>185</v>
      </c>
      <c r="D154" s="50">
        <f>2.25*6.2*10.764</f>
        <v>150.15780000000001</v>
      </c>
      <c r="E154" s="50">
        <v>0</v>
      </c>
      <c r="F154" s="50">
        <f t="shared" si="0"/>
        <v>240.25248000000002</v>
      </c>
      <c r="G154" s="92"/>
      <c r="H154" s="93"/>
      <c r="I154" s="23"/>
      <c r="L154" s="79"/>
      <c r="M154" s="79"/>
      <c r="N154" s="23"/>
    </row>
    <row r="155" spans="1:14" s="2" customFormat="1" ht="15.75" customHeight="1" x14ac:dyDescent="0.3">
      <c r="A155" s="94">
        <f t="shared" si="1"/>
        <v>3</v>
      </c>
      <c r="B155" s="95"/>
      <c r="C155" s="50" t="s">
        <v>185</v>
      </c>
      <c r="D155" s="50">
        <f>1.95*6.2*10.764</f>
        <v>130.13675999999998</v>
      </c>
      <c r="E155" s="50">
        <v>0</v>
      </c>
      <c r="F155" s="50">
        <f t="shared" si="0"/>
        <v>208.21881599999998</v>
      </c>
      <c r="G155" s="92"/>
      <c r="H155" s="93"/>
      <c r="I155" s="23"/>
      <c r="L155" s="79"/>
      <c r="M155" s="79"/>
      <c r="N155" s="23"/>
    </row>
    <row r="156" spans="1:14" s="2" customFormat="1" ht="15.75" customHeight="1" x14ac:dyDescent="0.3">
      <c r="A156" s="94">
        <f t="shared" si="1"/>
        <v>4</v>
      </c>
      <c r="B156" s="95"/>
      <c r="C156" s="50" t="s">
        <v>185</v>
      </c>
      <c r="D156" s="50">
        <f>1.95*7.85*10.764</f>
        <v>164.76992999999999</v>
      </c>
      <c r="E156" s="50">
        <v>0</v>
      </c>
      <c r="F156" s="50">
        <f t="shared" si="0"/>
        <v>263.631888</v>
      </c>
      <c r="G156" s="92"/>
      <c r="H156" s="93"/>
      <c r="I156" s="23"/>
      <c r="L156" s="79"/>
      <c r="M156" s="79"/>
      <c r="N156" s="23"/>
    </row>
    <row r="157" spans="1:14" s="2" customFormat="1" ht="15.75" customHeight="1" x14ac:dyDescent="0.3">
      <c r="A157" s="94">
        <f t="shared" si="1"/>
        <v>5</v>
      </c>
      <c r="B157" s="95"/>
      <c r="C157" s="50" t="s">
        <v>185</v>
      </c>
      <c r="D157" s="50">
        <f>2.25*7.85*10.764</f>
        <v>190.11914999999996</v>
      </c>
      <c r="E157" s="50">
        <v>0</v>
      </c>
      <c r="F157" s="50">
        <f t="shared" si="0"/>
        <v>304.19063999999997</v>
      </c>
      <c r="G157" s="92"/>
      <c r="H157" s="93"/>
      <c r="I157" s="23"/>
      <c r="L157" s="79"/>
      <c r="M157" s="79"/>
      <c r="N157" s="23"/>
    </row>
    <row r="158" spans="1:14" s="2" customFormat="1" ht="15.75" customHeight="1" x14ac:dyDescent="0.3">
      <c r="A158" s="94">
        <f t="shared" si="1"/>
        <v>6</v>
      </c>
      <c r="B158" s="95"/>
      <c r="C158" s="50" t="s">
        <v>185</v>
      </c>
      <c r="D158" s="50">
        <f>2.75*7.85*10.764</f>
        <v>232.36784999999998</v>
      </c>
      <c r="E158" s="50">
        <v>0</v>
      </c>
      <c r="F158" s="50">
        <f t="shared" si="0"/>
        <v>371.78855999999996</v>
      </c>
      <c r="G158" s="92"/>
      <c r="H158" s="93"/>
      <c r="I158" s="23"/>
      <c r="L158" s="79"/>
      <c r="M158" s="79"/>
      <c r="N158" s="23"/>
    </row>
    <row r="159" spans="1:14" s="2" customFormat="1" ht="15.75" customHeight="1" x14ac:dyDescent="0.3">
      <c r="A159" s="94">
        <f t="shared" si="1"/>
        <v>7</v>
      </c>
      <c r="B159" s="95"/>
      <c r="C159" s="50" t="s">
        <v>185</v>
      </c>
      <c r="D159" s="50">
        <f>2.75*7.85*10.764</f>
        <v>232.36784999999998</v>
      </c>
      <c r="E159" s="50">
        <v>0</v>
      </c>
      <c r="F159" s="50">
        <f t="shared" si="0"/>
        <v>371.78855999999996</v>
      </c>
      <c r="G159" s="92"/>
      <c r="H159" s="93"/>
      <c r="I159" s="23"/>
      <c r="L159" s="79"/>
      <c r="M159" s="79"/>
      <c r="N159" s="23"/>
    </row>
    <row r="160" spans="1:14" s="2" customFormat="1" ht="15.75" customHeight="1" x14ac:dyDescent="0.3">
      <c r="A160" s="94">
        <f t="shared" si="1"/>
        <v>8</v>
      </c>
      <c r="B160" s="95"/>
      <c r="C160" s="50" t="s">
        <v>185</v>
      </c>
      <c r="D160" s="50">
        <f>2.25*7.85*10.764</f>
        <v>190.11914999999996</v>
      </c>
      <c r="E160" s="50">
        <v>0</v>
      </c>
      <c r="F160" s="50">
        <f t="shared" ref="F160:F165" si="2">D160*(($F$150)+1)+E160</f>
        <v>304.19063999999997</v>
      </c>
      <c r="G160" s="92"/>
      <c r="H160" s="93"/>
      <c r="I160" s="23"/>
      <c r="L160" s="79"/>
      <c r="M160" s="79"/>
      <c r="N160" s="23"/>
    </row>
    <row r="161" spans="1:14" s="2" customFormat="1" ht="15.75" customHeight="1" x14ac:dyDescent="0.3">
      <c r="A161" s="94">
        <f t="shared" si="1"/>
        <v>9</v>
      </c>
      <c r="B161" s="95"/>
      <c r="C161" s="50" t="s">
        <v>185</v>
      </c>
      <c r="D161" s="50">
        <f>1.95*7.85*10.764</f>
        <v>164.76992999999999</v>
      </c>
      <c r="E161" s="50">
        <v>0</v>
      </c>
      <c r="F161" s="50">
        <f t="shared" si="2"/>
        <v>263.631888</v>
      </c>
      <c r="G161" s="92"/>
      <c r="H161" s="93"/>
      <c r="I161" s="23"/>
      <c r="L161" s="79"/>
      <c r="M161" s="79"/>
      <c r="N161" s="23"/>
    </row>
    <row r="162" spans="1:14" s="2" customFormat="1" ht="15.75" customHeight="1" x14ac:dyDescent="0.3">
      <c r="A162" s="94">
        <f t="shared" si="1"/>
        <v>10</v>
      </c>
      <c r="B162" s="95"/>
      <c r="C162" s="50" t="s">
        <v>185</v>
      </c>
      <c r="D162" s="50">
        <f>1.95*7.85*10.764</f>
        <v>164.76992999999999</v>
      </c>
      <c r="E162" s="50">
        <v>0</v>
      </c>
      <c r="F162" s="50">
        <f t="shared" si="2"/>
        <v>263.631888</v>
      </c>
      <c r="G162" s="92"/>
      <c r="H162" s="93"/>
      <c r="I162" s="23"/>
      <c r="L162" s="79"/>
      <c r="M162" s="79"/>
      <c r="N162" s="23"/>
    </row>
    <row r="163" spans="1:14" s="2" customFormat="1" ht="15.75" customHeight="1" x14ac:dyDescent="0.3">
      <c r="A163" s="94">
        <f t="shared" si="1"/>
        <v>11</v>
      </c>
      <c r="B163" s="95"/>
      <c r="C163" s="50" t="s">
        <v>185</v>
      </c>
      <c r="D163" s="50">
        <f>2.25*7.85*10.764</f>
        <v>190.11914999999996</v>
      </c>
      <c r="E163" s="50">
        <v>0</v>
      </c>
      <c r="F163" s="50">
        <f t="shared" si="2"/>
        <v>304.19063999999997</v>
      </c>
      <c r="G163" s="92"/>
      <c r="H163" s="93"/>
      <c r="I163" s="23"/>
      <c r="L163" s="79"/>
      <c r="M163" s="79"/>
      <c r="N163" s="23"/>
    </row>
    <row r="164" spans="1:14" s="2" customFormat="1" ht="15.75" customHeight="1" x14ac:dyDescent="0.3">
      <c r="A164" s="94">
        <f t="shared" si="1"/>
        <v>12</v>
      </c>
      <c r="B164" s="95"/>
      <c r="C164" s="50" t="s">
        <v>185</v>
      </c>
      <c r="D164" s="50">
        <f t="shared" ref="D164:D165" si="3">2.75*7.85*10.764</f>
        <v>232.36784999999998</v>
      </c>
      <c r="E164" s="50">
        <v>0</v>
      </c>
      <c r="F164" s="50">
        <f t="shared" si="2"/>
        <v>371.78855999999996</v>
      </c>
      <c r="G164" s="92"/>
      <c r="H164" s="93"/>
      <c r="I164" s="23"/>
      <c r="L164" s="79"/>
      <c r="M164" s="79"/>
      <c r="N164" s="23"/>
    </row>
    <row r="165" spans="1:14" s="2" customFormat="1" ht="15.75" customHeight="1" x14ac:dyDescent="0.3">
      <c r="A165" s="94">
        <f t="shared" si="1"/>
        <v>13</v>
      </c>
      <c r="B165" s="95"/>
      <c r="C165" s="50" t="s">
        <v>185</v>
      </c>
      <c r="D165" s="50">
        <f t="shared" si="3"/>
        <v>232.36784999999998</v>
      </c>
      <c r="E165" s="50">
        <v>0</v>
      </c>
      <c r="F165" s="50">
        <f t="shared" si="2"/>
        <v>371.78855999999996</v>
      </c>
      <c r="G165" s="92"/>
      <c r="H165" s="93"/>
      <c r="I165" s="23"/>
      <c r="L165" s="79"/>
      <c r="M165" s="79"/>
      <c r="N165" s="23"/>
    </row>
    <row r="166" spans="1:14" s="2" customFormat="1" ht="15.75" customHeight="1" x14ac:dyDescent="0.3">
      <c r="A166" s="94">
        <f t="shared" si="1"/>
        <v>14</v>
      </c>
      <c r="B166" s="95"/>
      <c r="C166" s="50" t="s">
        <v>185</v>
      </c>
      <c r="D166" s="50">
        <f>2.25*7.85*10.764</f>
        <v>190.11914999999996</v>
      </c>
      <c r="E166" s="50">
        <v>0</v>
      </c>
      <c r="F166" s="50">
        <f t="shared" ref="F166:F170" si="4">D166*(($F$150)+1)+E166</f>
        <v>304.19063999999997</v>
      </c>
      <c r="G166" s="92"/>
      <c r="H166" s="93"/>
      <c r="I166" s="23"/>
      <c r="L166" s="79"/>
      <c r="M166" s="79"/>
      <c r="N166" s="23"/>
    </row>
    <row r="167" spans="1:14" s="2" customFormat="1" ht="15.75" customHeight="1" x14ac:dyDescent="0.3">
      <c r="A167" s="94">
        <f t="shared" si="1"/>
        <v>15</v>
      </c>
      <c r="B167" s="95"/>
      <c r="C167" s="50" t="s">
        <v>185</v>
      </c>
      <c r="D167" s="50">
        <f>1.95*7.85*10.764</f>
        <v>164.76992999999999</v>
      </c>
      <c r="E167" s="50">
        <v>0</v>
      </c>
      <c r="F167" s="50">
        <f t="shared" si="4"/>
        <v>263.631888</v>
      </c>
      <c r="G167" s="92"/>
      <c r="H167" s="93"/>
      <c r="I167" s="23"/>
      <c r="L167" s="79"/>
      <c r="M167" s="79"/>
      <c r="N167" s="23"/>
    </row>
    <row r="168" spans="1:14" s="2" customFormat="1" ht="15.75" customHeight="1" x14ac:dyDescent="0.3">
      <c r="A168" s="94">
        <f t="shared" si="1"/>
        <v>16</v>
      </c>
      <c r="B168" s="95"/>
      <c r="C168" s="50" t="s">
        <v>185</v>
      </c>
      <c r="D168" s="50">
        <f>1.95*6.2*10.764</f>
        <v>130.13675999999998</v>
      </c>
      <c r="E168" s="50">
        <v>0</v>
      </c>
      <c r="F168" s="50">
        <f t="shared" si="4"/>
        <v>208.21881599999998</v>
      </c>
      <c r="G168" s="92"/>
      <c r="H168" s="93"/>
      <c r="I168" s="23"/>
      <c r="L168" s="79"/>
      <c r="M168" s="79"/>
      <c r="N168" s="23"/>
    </row>
    <row r="169" spans="1:14" s="2" customFormat="1" ht="15.75" customHeight="1" x14ac:dyDescent="0.3">
      <c r="A169" s="94">
        <f t="shared" si="1"/>
        <v>17</v>
      </c>
      <c r="B169" s="95"/>
      <c r="C169" s="50" t="s">
        <v>185</v>
      </c>
      <c r="D169" s="50">
        <f>2.25*6.2*10.764</f>
        <v>150.15780000000001</v>
      </c>
      <c r="E169" s="50">
        <v>0</v>
      </c>
      <c r="F169" s="50">
        <f t="shared" si="4"/>
        <v>240.25248000000002</v>
      </c>
      <c r="G169" s="92"/>
      <c r="H169" s="93"/>
      <c r="I169" s="23"/>
      <c r="L169" s="79"/>
      <c r="M169" s="79"/>
      <c r="N169" s="23"/>
    </row>
    <row r="170" spans="1:14" s="2" customFormat="1" ht="15.75" customHeight="1" x14ac:dyDescent="0.3">
      <c r="A170" s="94">
        <f t="shared" si="1"/>
        <v>18</v>
      </c>
      <c r="B170" s="95"/>
      <c r="C170" s="50" t="s">
        <v>185</v>
      </c>
      <c r="D170" s="50">
        <f>3*6.2*10.764</f>
        <v>200.21039999999999</v>
      </c>
      <c r="E170" s="50">
        <v>0</v>
      </c>
      <c r="F170" s="50">
        <f t="shared" si="4"/>
        <v>320.33663999999999</v>
      </c>
      <c r="G170" s="92"/>
      <c r="H170" s="93"/>
      <c r="I170" s="23"/>
      <c r="L170" s="79"/>
      <c r="M170" s="79"/>
      <c r="N170" s="23"/>
    </row>
    <row r="171" spans="1:14" s="2" customFormat="1" x14ac:dyDescent="0.3">
      <c r="A171" s="74"/>
      <c r="B171" s="111"/>
      <c r="C171" s="111"/>
      <c r="D171" s="111"/>
      <c r="E171" s="111"/>
      <c r="F171" s="111"/>
      <c r="G171" s="111"/>
      <c r="H171" s="75"/>
      <c r="I171" s="23"/>
      <c r="N171" s="23"/>
    </row>
    <row r="172" spans="1:14" ht="47.25" customHeight="1" x14ac:dyDescent="0.3">
      <c r="A172" s="112" t="s">
        <v>146</v>
      </c>
      <c r="B172" s="112" t="s">
        <v>147</v>
      </c>
      <c r="C172" s="114" t="s">
        <v>62</v>
      </c>
      <c r="D172" s="114" t="s">
        <v>63</v>
      </c>
      <c r="E172" s="205" t="s">
        <v>64</v>
      </c>
      <c r="F172" s="24" t="s">
        <v>144</v>
      </c>
      <c r="G172" s="112" t="s">
        <v>65</v>
      </c>
      <c r="H172" s="207"/>
      <c r="I172" s="23"/>
    </row>
    <row r="173" spans="1:14" s="2" customFormat="1" x14ac:dyDescent="0.3">
      <c r="A173" s="113"/>
      <c r="B173" s="113"/>
      <c r="C173" s="115"/>
      <c r="D173" s="115"/>
      <c r="E173" s="206"/>
      <c r="F173" s="22">
        <v>0.5</v>
      </c>
      <c r="G173" s="113"/>
      <c r="H173" s="208"/>
      <c r="I173" s="23"/>
    </row>
    <row r="174" spans="1:14" s="2" customFormat="1" x14ac:dyDescent="0.3">
      <c r="A174" s="89" t="s">
        <v>186</v>
      </c>
      <c r="B174" s="89"/>
      <c r="C174" s="89"/>
      <c r="D174" s="89"/>
      <c r="E174" s="89"/>
      <c r="F174" s="89"/>
      <c r="G174" s="89"/>
      <c r="H174" s="89"/>
      <c r="I174" s="23"/>
    </row>
    <row r="175" spans="1:14" s="2" customFormat="1" x14ac:dyDescent="0.3">
      <c r="A175" s="89" t="s">
        <v>187</v>
      </c>
      <c r="B175" s="89"/>
      <c r="C175" s="89"/>
      <c r="D175" s="89"/>
      <c r="E175" s="89"/>
      <c r="F175" s="89"/>
      <c r="G175" s="89"/>
      <c r="H175" s="89"/>
      <c r="I175" s="23"/>
    </row>
    <row r="176" spans="1:14" s="2" customFormat="1" x14ac:dyDescent="0.3">
      <c r="A176" s="76" t="s">
        <v>191</v>
      </c>
      <c r="B176" s="77"/>
      <c r="C176" s="77"/>
      <c r="D176" s="77"/>
      <c r="E176" s="77"/>
      <c r="F176" s="77"/>
      <c r="G176" s="77"/>
      <c r="H176" s="78"/>
      <c r="I176" s="23"/>
      <c r="L176" s="79"/>
      <c r="M176" s="79"/>
    </row>
    <row r="177" spans="1:14" s="2" customFormat="1" x14ac:dyDescent="0.3">
      <c r="A177" s="73">
        <f>LEFT(A176,SUM(LEN(A176)-LEN(SUBSTITUTE(A176,{"0","1","2","3","4","5","6","7","8","9"},""))))*100+1</f>
        <v>101</v>
      </c>
      <c r="B177" s="73"/>
      <c r="C177" s="25" t="s">
        <v>192</v>
      </c>
      <c r="D177" s="25">
        <f>(38.41+6.9)*10.764</f>
        <v>487.71683999999993</v>
      </c>
      <c r="E177" s="25">
        <v>0</v>
      </c>
      <c r="F177" s="25">
        <f t="shared" ref="F177:F182" si="5">D177*(($F$173)+1)+E177</f>
        <v>731.57525999999984</v>
      </c>
      <c r="G177" s="73" t="str">
        <f>A176</f>
        <v>1st Floor for Residential</v>
      </c>
      <c r="H177" s="73"/>
      <c r="I177" s="23">
        <f>4160000/F177</f>
        <v>5686.3595961405272</v>
      </c>
      <c r="J177" s="2">
        <f>4200000/F177</f>
        <v>5741.0361307188014</v>
      </c>
      <c r="N177" s="23"/>
    </row>
    <row r="178" spans="1:14" s="2" customFormat="1" x14ac:dyDescent="0.3">
      <c r="A178" s="73">
        <f t="shared" ref="A178:A188" si="6">A177+1</f>
        <v>102</v>
      </c>
      <c r="B178" s="73"/>
      <c r="C178" s="25" t="s">
        <v>192</v>
      </c>
      <c r="D178" s="25">
        <f>(37.91+6.65)*10.764</f>
        <v>479.6438399999999</v>
      </c>
      <c r="E178" s="25">
        <v>0</v>
      </c>
      <c r="F178" s="25">
        <f t="shared" si="5"/>
        <v>719.46575999999982</v>
      </c>
      <c r="G178" s="73" t="str">
        <f t="shared" ref="G178:G188" si="7">G177</f>
        <v>1st Floor for Residential</v>
      </c>
      <c r="H178" s="73"/>
      <c r="I178" s="23">
        <f t="shared" ref="I178:I182" si="8">4160000/F178</f>
        <v>5782.0680722874167</v>
      </c>
      <c r="N178" s="23"/>
    </row>
    <row r="179" spans="1:14" s="2" customFormat="1" x14ac:dyDescent="0.3">
      <c r="A179" s="73">
        <f t="shared" si="6"/>
        <v>103</v>
      </c>
      <c r="B179" s="73"/>
      <c r="C179" s="25" t="s">
        <v>192</v>
      </c>
      <c r="D179" s="25">
        <f t="shared" ref="D179:D181" si="9">(37.91+6.65)*10.764</f>
        <v>479.6438399999999</v>
      </c>
      <c r="E179" s="25">
        <v>0</v>
      </c>
      <c r="F179" s="25">
        <f t="shared" si="5"/>
        <v>719.46575999999982</v>
      </c>
      <c r="G179" s="73" t="str">
        <f t="shared" si="7"/>
        <v>1st Floor for Residential</v>
      </c>
      <c r="H179" s="73"/>
      <c r="I179" s="23">
        <f t="shared" si="8"/>
        <v>5782.0680722874167</v>
      </c>
      <c r="N179" s="23"/>
    </row>
    <row r="180" spans="1:14" s="2" customFormat="1" x14ac:dyDescent="0.3">
      <c r="A180" s="73">
        <f t="shared" si="6"/>
        <v>104</v>
      </c>
      <c r="B180" s="73"/>
      <c r="C180" s="25" t="s">
        <v>192</v>
      </c>
      <c r="D180" s="25">
        <f t="shared" si="9"/>
        <v>479.6438399999999</v>
      </c>
      <c r="E180" s="25">
        <v>0</v>
      </c>
      <c r="F180" s="25">
        <f t="shared" si="5"/>
        <v>719.46575999999982</v>
      </c>
      <c r="G180" s="73" t="str">
        <f t="shared" si="7"/>
        <v>1st Floor for Residential</v>
      </c>
      <c r="H180" s="73"/>
      <c r="I180" s="23">
        <f t="shared" si="8"/>
        <v>5782.0680722874167</v>
      </c>
      <c r="N180" s="23"/>
    </row>
    <row r="181" spans="1:14" s="2" customFormat="1" x14ac:dyDescent="0.3">
      <c r="A181" s="73">
        <f t="shared" si="6"/>
        <v>105</v>
      </c>
      <c r="B181" s="73"/>
      <c r="C181" s="25" t="s">
        <v>192</v>
      </c>
      <c r="D181" s="25">
        <f t="shared" si="9"/>
        <v>479.6438399999999</v>
      </c>
      <c r="E181" s="25">
        <v>0</v>
      </c>
      <c r="F181" s="25">
        <f t="shared" si="5"/>
        <v>719.46575999999982</v>
      </c>
      <c r="G181" s="73" t="str">
        <f t="shared" si="7"/>
        <v>1st Floor for Residential</v>
      </c>
      <c r="H181" s="73"/>
      <c r="I181" s="23">
        <f t="shared" si="8"/>
        <v>5782.0680722874167</v>
      </c>
      <c r="N181" s="23"/>
    </row>
    <row r="182" spans="1:14" s="2" customFormat="1" x14ac:dyDescent="0.3">
      <c r="A182" s="73">
        <f t="shared" si="6"/>
        <v>106</v>
      </c>
      <c r="B182" s="73"/>
      <c r="C182" s="25" t="s">
        <v>192</v>
      </c>
      <c r="D182" s="25">
        <f>(38.41+6.9)*10.764</f>
        <v>487.71683999999993</v>
      </c>
      <c r="E182" s="25">
        <v>0</v>
      </c>
      <c r="F182" s="25">
        <f t="shared" si="5"/>
        <v>731.57525999999984</v>
      </c>
      <c r="G182" s="73" t="str">
        <f t="shared" si="7"/>
        <v>1st Floor for Residential</v>
      </c>
      <c r="H182" s="73"/>
      <c r="I182" s="23">
        <f t="shared" si="8"/>
        <v>5686.3595961405272</v>
      </c>
      <c r="N182" s="23"/>
    </row>
    <row r="183" spans="1:14" s="2" customFormat="1" x14ac:dyDescent="0.3">
      <c r="A183" s="73">
        <f t="shared" si="6"/>
        <v>107</v>
      </c>
      <c r="B183" s="73"/>
      <c r="C183" s="25" t="s">
        <v>193</v>
      </c>
      <c r="D183" s="25">
        <f>(55.77+13.6)*10.764</f>
        <v>746.69867999999997</v>
      </c>
      <c r="E183" s="25">
        <v>0</v>
      </c>
      <c r="F183" s="25">
        <f t="shared" ref="F183:F187" si="10">D183*(($F$173)+1)+E183</f>
        <v>1120.04802</v>
      </c>
      <c r="G183" s="73" t="str">
        <f t="shared" si="7"/>
        <v>1st Floor for Residential</v>
      </c>
      <c r="H183" s="73"/>
      <c r="I183" s="23">
        <f>6272500/F183</f>
        <v>5600.2063197254702</v>
      </c>
      <c r="J183" s="2">
        <f>6400000/F183</f>
        <v>5714.0407247896392</v>
      </c>
      <c r="N183" s="23"/>
    </row>
    <row r="184" spans="1:14" s="2" customFormat="1" x14ac:dyDescent="0.3">
      <c r="A184" s="73">
        <f t="shared" si="6"/>
        <v>108</v>
      </c>
      <c r="B184" s="73"/>
      <c r="C184" s="25" t="s">
        <v>192</v>
      </c>
      <c r="D184" s="25">
        <f t="shared" ref="D184:D187" si="11">(37.91+6.65)*10.764</f>
        <v>479.6438399999999</v>
      </c>
      <c r="E184" s="25">
        <v>0</v>
      </c>
      <c r="F184" s="25">
        <f t="shared" si="10"/>
        <v>719.46575999999982</v>
      </c>
      <c r="G184" s="73" t="str">
        <f t="shared" si="7"/>
        <v>1st Floor for Residential</v>
      </c>
      <c r="H184" s="73"/>
      <c r="I184" s="23"/>
      <c r="N184" s="23"/>
    </row>
    <row r="185" spans="1:14" s="2" customFormat="1" x14ac:dyDescent="0.3">
      <c r="A185" s="73">
        <f t="shared" si="6"/>
        <v>109</v>
      </c>
      <c r="B185" s="73"/>
      <c r="C185" s="25" t="s">
        <v>192</v>
      </c>
      <c r="D185" s="25">
        <f t="shared" si="11"/>
        <v>479.6438399999999</v>
      </c>
      <c r="E185" s="25">
        <v>0</v>
      </c>
      <c r="F185" s="25">
        <f t="shared" si="10"/>
        <v>719.46575999999982</v>
      </c>
      <c r="G185" s="73" t="str">
        <f t="shared" si="7"/>
        <v>1st Floor for Residential</v>
      </c>
      <c r="H185" s="73"/>
      <c r="I185" s="23"/>
      <c r="N185" s="23"/>
    </row>
    <row r="186" spans="1:14" s="2" customFormat="1" x14ac:dyDescent="0.3">
      <c r="A186" s="73">
        <f t="shared" si="6"/>
        <v>110</v>
      </c>
      <c r="B186" s="73"/>
      <c r="C186" s="25" t="s">
        <v>192</v>
      </c>
      <c r="D186" s="25">
        <f t="shared" si="11"/>
        <v>479.6438399999999</v>
      </c>
      <c r="E186" s="25">
        <v>0</v>
      </c>
      <c r="F186" s="25">
        <f t="shared" si="10"/>
        <v>719.46575999999982</v>
      </c>
      <c r="G186" s="73" t="str">
        <f t="shared" si="7"/>
        <v>1st Floor for Residential</v>
      </c>
      <c r="H186" s="73"/>
      <c r="I186" s="23"/>
      <c r="N186" s="23"/>
    </row>
    <row r="187" spans="1:14" s="2" customFormat="1" x14ac:dyDescent="0.3">
      <c r="A187" s="73">
        <f t="shared" si="6"/>
        <v>111</v>
      </c>
      <c r="B187" s="73"/>
      <c r="C187" s="25" t="s">
        <v>192</v>
      </c>
      <c r="D187" s="25">
        <f t="shared" si="11"/>
        <v>479.6438399999999</v>
      </c>
      <c r="E187" s="25">
        <v>0</v>
      </c>
      <c r="F187" s="25">
        <f t="shared" si="10"/>
        <v>719.46575999999982</v>
      </c>
      <c r="G187" s="73" t="str">
        <f t="shared" si="7"/>
        <v>1st Floor for Residential</v>
      </c>
      <c r="H187" s="73"/>
      <c r="I187" s="23"/>
      <c r="N187" s="23"/>
    </row>
    <row r="188" spans="1:14" s="2" customFormat="1" x14ac:dyDescent="0.3">
      <c r="A188" s="73">
        <f t="shared" si="6"/>
        <v>112</v>
      </c>
      <c r="B188" s="73"/>
      <c r="C188" s="25" t="s">
        <v>193</v>
      </c>
      <c r="D188" s="25">
        <f>(55.77+13.6)*10.764</f>
        <v>746.69867999999997</v>
      </c>
      <c r="E188" s="25">
        <v>0</v>
      </c>
      <c r="F188" s="25">
        <f t="shared" ref="F188" si="12">D188*(($F$173)+1)+E188</f>
        <v>1120.04802</v>
      </c>
      <c r="G188" s="73" t="str">
        <f t="shared" si="7"/>
        <v>1st Floor for Residential</v>
      </c>
      <c r="H188" s="73"/>
      <c r="I188" s="23"/>
      <c r="N188" s="23"/>
    </row>
    <row r="189" spans="1:14" s="2" customFormat="1" x14ac:dyDescent="0.3">
      <c r="A189" s="76" t="s">
        <v>239</v>
      </c>
      <c r="B189" s="77"/>
      <c r="C189" s="77"/>
      <c r="D189" s="77"/>
      <c r="E189" s="77"/>
      <c r="F189" s="77"/>
      <c r="G189" s="77"/>
      <c r="H189" s="78"/>
      <c r="I189" s="23"/>
      <c r="L189" s="79"/>
      <c r="M189" s="79"/>
    </row>
    <row r="190" spans="1:14" s="2" customFormat="1" x14ac:dyDescent="0.3">
      <c r="A190" s="73">
        <f>LEFT(A189,SUM(LEN(A189)-LEN(SUBSTITUTE(A189,{"0","1","2","3","4","5","6","7","8","9"},""))))*100+1</f>
        <v>201</v>
      </c>
      <c r="B190" s="73"/>
      <c r="C190" s="25" t="s">
        <v>192</v>
      </c>
      <c r="D190" s="25">
        <f>(38.41)*10.764</f>
        <v>413.44523999999996</v>
      </c>
      <c r="E190" s="25">
        <v>0</v>
      </c>
      <c r="F190" s="25">
        <f t="shared" ref="F190:F201" si="13">D190*(($F$173)+1)+E190</f>
        <v>620.16785999999991</v>
      </c>
      <c r="G190" s="73" t="str">
        <f>A189</f>
        <v>2nd Floor for MHADA</v>
      </c>
      <c r="H190" s="73"/>
      <c r="I190" s="23"/>
      <c r="N190" s="23"/>
    </row>
    <row r="191" spans="1:14" s="2" customFormat="1" x14ac:dyDescent="0.3">
      <c r="A191" s="73">
        <f t="shared" ref="A191:A201" si="14">A190+1</f>
        <v>202</v>
      </c>
      <c r="B191" s="73"/>
      <c r="C191" s="25" t="s">
        <v>192</v>
      </c>
      <c r="D191" s="25">
        <f>(37.91)*10.764</f>
        <v>408.06323999999995</v>
      </c>
      <c r="E191" s="25">
        <v>0</v>
      </c>
      <c r="F191" s="25">
        <f t="shared" si="13"/>
        <v>612.09485999999993</v>
      </c>
      <c r="G191" s="73" t="str">
        <f t="shared" ref="G191:G201" si="15">G190</f>
        <v>2nd Floor for MHADA</v>
      </c>
      <c r="H191" s="73"/>
      <c r="I191" s="23"/>
      <c r="N191" s="23"/>
    </row>
    <row r="192" spans="1:14" s="2" customFormat="1" x14ac:dyDescent="0.3">
      <c r="A192" s="73">
        <f t="shared" si="14"/>
        <v>203</v>
      </c>
      <c r="B192" s="73"/>
      <c r="C192" s="25" t="s">
        <v>192</v>
      </c>
      <c r="D192" s="25">
        <f>(37.91)*10.764</f>
        <v>408.06323999999995</v>
      </c>
      <c r="E192" s="25">
        <v>0</v>
      </c>
      <c r="F192" s="25">
        <f t="shared" si="13"/>
        <v>612.09485999999993</v>
      </c>
      <c r="G192" s="73" t="str">
        <f t="shared" si="15"/>
        <v>2nd Floor for MHADA</v>
      </c>
      <c r="H192" s="73"/>
      <c r="I192" s="23"/>
      <c r="N192" s="23"/>
    </row>
    <row r="193" spans="1:14" s="2" customFormat="1" x14ac:dyDescent="0.3">
      <c r="A193" s="73">
        <f t="shared" si="14"/>
        <v>204</v>
      </c>
      <c r="B193" s="73"/>
      <c r="C193" s="25" t="s">
        <v>192</v>
      </c>
      <c r="D193" s="25">
        <f t="shared" ref="D193:D194" si="16">(37.91)*10.764</f>
        <v>408.06323999999995</v>
      </c>
      <c r="E193" s="25">
        <v>0</v>
      </c>
      <c r="F193" s="25">
        <f t="shared" si="13"/>
        <v>612.09485999999993</v>
      </c>
      <c r="G193" s="73" t="str">
        <f t="shared" si="15"/>
        <v>2nd Floor for MHADA</v>
      </c>
      <c r="H193" s="73"/>
      <c r="I193" s="23"/>
      <c r="N193" s="23"/>
    </row>
    <row r="194" spans="1:14" s="2" customFormat="1" x14ac:dyDescent="0.3">
      <c r="A194" s="73">
        <f t="shared" si="14"/>
        <v>205</v>
      </c>
      <c r="B194" s="73"/>
      <c r="C194" s="25" t="s">
        <v>192</v>
      </c>
      <c r="D194" s="25">
        <f t="shared" si="16"/>
        <v>408.06323999999995</v>
      </c>
      <c r="E194" s="25">
        <v>0</v>
      </c>
      <c r="F194" s="25">
        <f t="shared" si="13"/>
        <v>612.09485999999993</v>
      </c>
      <c r="G194" s="73" t="str">
        <f t="shared" si="15"/>
        <v>2nd Floor for MHADA</v>
      </c>
      <c r="H194" s="73"/>
      <c r="I194" s="23"/>
      <c r="N194" s="23"/>
    </row>
    <row r="195" spans="1:14" s="2" customFormat="1" x14ac:dyDescent="0.3">
      <c r="A195" s="73">
        <f t="shared" si="14"/>
        <v>206</v>
      </c>
      <c r="B195" s="73"/>
      <c r="C195" s="25" t="s">
        <v>192</v>
      </c>
      <c r="D195" s="25">
        <f>(38.41)*10.764</f>
        <v>413.44523999999996</v>
      </c>
      <c r="E195" s="25">
        <v>0</v>
      </c>
      <c r="F195" s="25">
        <f t="shared" si="13"/>
        <v>620.16785999999991</v>
      </c>
      <c r="G195" s="73" t="str">
        <f t="shared" si="15"/>
        <v>2nd Floor for MHADA</v>
      </c>
      <c r="H195" s="73"/>
      <c r="I195" s="23"/>
      <c r="N195" s="23"/>
    </row>
    <row r="196" spans="1:14" s="2" customFormat="1" x14ac:dyDescent="0.3">
      <c r="A196" s="73">
        <f t="shared" si="14"/>
        <v>207</v>
      </c>
      <c r="B196" s="73"/>
      <c r="C196" s="25" t="s">
        <v>193</v>
      </c>
      <c r="D196" s="25">
        <f>(55.77)*10.764</f>
        <v>600.30827999999997</v>
      </c>
      <c r="E196" s="25">
        <v>0</v>
      </c>
      <c r="F196" s="25">
        <f t="shared" si="13"/>
        <v>900.46241999999995</v>
      </c>
      <c r="G196" s="73" t="str">
        <f t="shared" si="15"/>
        <v>2nd Floor for MHADA</v>
      </c>
      <c r="H196" s="73"/>
      <c r="I196" s="23"/>
      <c r="N196" s="23"/>
    </row>
    <row r="197" spans="1:14" s="2" customFormat="1" x14ac:dyDescent="0.3">
      <c r="A197" s="73">
        <f t="shared" si="14"/>
        <v>208</v>
      </c>
      <c r="B197" s="73"/>
      <c r="C197" s="25" t="s">
        <v>192</v>
      </c>
      <c r="D197" s="25">
        <f>(37.91)*10.764</f>
        <v>408.06323999999995</v>
      </c>
      <c r="E197" s="25">
        <v>0</v>
      </c>
      <c r="F197" s="25">
        <f t="shared" si="13"/>
        <v>612.09485999999993</v>
      </c>
      <c r="G197" s="73" t="str">
        <f t="shared" si="15"/>
        <v>2nd Floor for MHADA</v>
      </c>
      <c r="H197" s="73"/>
      <c r="I197" s="23"/>
      <c r="N197" s="23"/>
    </row>
    <row r="198" spans="1:14" s="2" customFormat="1" x14ac:dyDescent="0.3">
      <c r="A198" s="73">
        <f t="shared" si="14"/>
        <v>209</v>
      </c>
      <c r="B198" s="73"/>
      <c r="C198" s="25" t="s">
        <v>192</v>
      </c>
      <c r="D198" s="25">
        <f t="shared" ref="D198:D200" si="17">(37.91)*10.764</f>
        <v>408.06323999999995</v>
      </c>
      <c r="E198" s="25">
        <v>0</v>
      </c>
      <c r="F198" s="25">
        <f t="shared" si="13"/>
        <v>612.09485999999993</v>
      </c>
      <c r="G198" s="73" t="str">
        <f t="shared" si="15"/>
        <v>2nd Floor for MHADA</v>
      </c>
      <c r="H198" s="73"/>
      <c r="I198" s="23"/>
      <c r="N198" s="23"/>
    </row>
    <row r="199" spans="1:14" s="2" customFormat="1" x14ac:dyDescent="0.3">
      <c r="A199" s="73">
        <f t="shared" si="14"/>
        <v>210</v>
      </c>
      <c r="B199" s="73"/>
      <c r="C199" s="25" t="s">
        <v>192</v>
      </c>
      <c r="D199" s="25">
        <f t="shared" si="17"/>
        <v>408.06323999999995</v>
      </c>
      <c r="E199" s="25">
        <v>0</v>
      </c>
      <c r="F199" s="25">
        <f t="shared" si="13"/>
        <v>612.09485999999993</v>
      </c>
      <c r="G199" s="73" t="str">
        <f t="shared" si="15"/>
        <v>2nd Floor for MHADA</v>
      </c>
      <c r="H199" s="73"/>
      <c r="I199" s="23"/>
      <c r="N199" s="23"/>
    </row>
    <row r="200" spans="1:14" s="2" customFormat="1" x14ac:dyDescent="0.3">
      <c r="A200" s="73">
        <f t="shared" si="14"/>
        <v>211</v>
      </c>
      <c r="B200" s="73"/>
      <c r="C200" s="25" t="s">
        <v>192</v>
      </c>
      <c r="D200" s="25">
        <f t="shared" si="17"/>
        <v>408.06323999999995</v>
      </c>
      <c r="E200" s="25">
        <v>0</v>
      </c>
      <c r="F200" s="25">
        <f t="shared" si="13"/>
        <v>612.09485999999993</v>
      </c>
      <c r="G200" s="73" t="str">
        <f t="shared" si="15"/>
        <v>2nd Floor for MHADA</v>
      </c>
      <c r="H200" s="73"/>
      <c r="I200" s="23"/>
      <c r="N200" s="23"/>
    </row>
    <row r="201" spans="1:14" s="2" customFormat="1" x14ac:dyDescent="0.3">
      <c r="A201" s="73">
        <f t="shared" si="14"/>
        <v>212</v>
      </c>
      <c r="B201" s="73"/>
      <c r="C201" s="25" t="s">
        <v>193</v>
      </c>
      <c r="D201" s="25">
        <f>(55.77)*10.764</f>
        <v>600.30827999999997</v>
      </c>
      <c r="E201" s="25">
        <v>0</v>
      </c>
      <c r="F201" s="25">
        <f t="shared" si="13"/>
        <v>900.46241999999995</v>
      </c>
      <c r="G201" s="73" t="str">
        <f t="shared" si="15"/>
        <v>2nd Floor for MHADA</v>
      </c>
      <c r="H201" s="73"/>
      <c r="I201" s="23"/>
      <c r="N201" s="23"/>
    </row>
    <row r="202" spans="1:14" s="2" customFormat="1" x14ac:dyDescent="0.3">
      <c r="A202" s="76" t="s">
        <v>240</v>
      </c>
      <c r="B202" s="77"/>
      <c r="C202" s="77"/>
      <c r="D202" s="77"/>
      <c r="E202" s="77"/>
      <c r="F202" s="77"/>
      <c r="G202" s="77"/>
      <c r="H202" s="78"/>
      <c r="I202" s="23"/>
      <c r="L202" s="79"/>
      <c r="M202" s="79"/>
    </row>
    <row r="203" spans="1:14" s="2" customFormat="1" x14ac:dyDescent="0.3">
      <c r="A203" s="73">
        <f>LEFT(A202,SUM(LEN(A202)-LEN(SUBSTITUTE(A202,{"0","1","2","3","4","5","6","7","8","9"},""))))*100+1</f>
        <v>301</v>
      </c>
      <c r="B203" s="73"/>
      <c r="C203" s="25" t="s">
        <v>192</v>
      </c>
      <c r="D203" s="25">
        <f>(38.41)*10.764</f>
        <v>413.44523999999996</v>
      </c>
      <c r="E203" s="25">
        <v>0</v>
      </c>
      <c r="F203" s="25">
        <f t="shared" ref="F203:F214" si="18">D203*(($F$173)+1)+E203</f>
        <v>620.16785999999991</v>
      </c>
      <c r="G203" s="73" t="str">
        <f>A202</f>
        <v>3rd Floor  for MHADA</v>
      </c>
      <c r="H203" s="73"/>
      <c r="I203" s="23"/>
      <c r="N203" s="23"/>
    </row>
    <row r="204" spans="1:14" s="2" customFormat="1" x14ac:dyDescent="0.3">
      <c r="A204" s="73">
        <f t="shared" ref="A204:A214" si="19">A203+1</f>
        <v>302</v>
      </c>
      <c r="B204" s="73"/>
      <c r="C204" s="25" t="s">
        <v>192</v>
      </c>
      <c r="D204" s="25">
        <f>(37.91)*10.764</f>
        <v>408.06323999999995</v>
      </c>
      <c r="E204" s="25">
        <v>0</v>
      </c>
      <c r="F204" s="25">
        <f t="shared" si="18"/>
        <v>612.09485999999993</v>
      </c>
      <c r="G204" s="73" t="str">
        <f t="shared" ref="G204:G214" si="20">G203</f>
        <v>3rd Floor  for MHADA</v>
      </c>
      <c r="H204" s="73"/>
      <c r="I204" s="23">
        <f>3.3*3.6+2.25*2.75+2.75*3.5+1.5*1.2+0.9*1.2+2.5*0.9+1.8*1.2+2.3*2+2.75*1</f>
        <v>42.332500000000003</v>
      </c>
      <c r="J204" s="2">
        <f>37.91+6.65</f>
        <v>44.559999999999995</v>
      </c>
      <c r="N204" s="23"/>
    </row>
    <row r="205" spans="1:14" s="2" customFormat="1" x14ac:dyDescent="0.3">
      <c r="A205" s="73">
        <f t="shared" si="19"/>
        <v>303</v>
      </c>
      <c r="B205" s="73"/>
      <c r="C205" s="25" t="s">
        <v>192</v>
      </c>
      <c r="D205" s="25">
        <f>(37.91+6.65)*10.764</f>
        <v>479.6438399999999</v>
      </c>
      <c r="E205" s="25">
        <v>0</v>
      </c>
      <c r="F205" s="25">
        <f t="shared" si="18"/>
        <v>719.46575999999982</v>
      </c>
      <c r="G205" s="73" t="str">
        <f t="shared" si="20"/>
        <v>3rd Floor  for MHADA</v>
      </c>
      <c r="H205" s="73"/>
      <c r="I205" s="23"/>
      <c r="N205" s="23"/>
    </row>
    <row r="206" spans="1:14" s="2" customFormat="1" x14ac:dyDescent="0.3">
      <c r="A206" s="73">
        <f t="shared" si="19"/>
        <v>304</v>
      </c>
      <c r="B206" s="73"/>
      <c r="C206" s="25" t="s">
        <v>192</v>
      </c>
      <c r="D206" s="25">
        <f>(37.91+6.65)*10.764</f>
        <v>479.6438399999999</v>
      </c>
      <c r="E206" s="25">
        <v>0</v>
      </c>
      <c r="F206" s="25">
        <f t="shared" si="18"/>
        <v>719.46575999999982</v>
      </c>
      <c r="G206" s="73" t="str">
        <f t="shared" si="20"/>
        <v>3rd Floor  for MHADA</v>
      </c>
      <c r="H206" s="73"/>
      <c r="I206" s="23"/>
      <c r="N206" s="23"/>
    </row>
    <row r="207" spans="1:14" s="2" customFormat="1" x14ac:dyDescent="0.3">
      <c r="A207" s="73">
        <f t="shared" si="19"/>
        <v>305</v>
      </c>
      <c r="B207" s="73"/>
      <c r="C207" s="25" t="s">
        <v>192</v>
      </c>
      <c r="D207" s="25">
        <f>(37.91+6.65)*10.764</f>
        <v>479.6438399999999</v>
      </c>
      <c r="E207" s="25">
        <v>0</v>
      </c>
      <c r="F207" s="25">
        <f t="shared" si="18"/>
        <v>719.46575999999982</v>
      </c>
      <c r="G207" s="73" t="str">
        <f t="shared" si="20"/>
        <v>3rd Floor  for MHADA</v>
      </c>
      <c r="H207" s="73"/>
      <c r="I207" s="23"/>
      <c r="N207" s="23"/>
    </row>
    <row r="208" spans="1:14" s="2" customFormat="1" x14ac:dyDescent="0.3">
      <c r="A208" s="73">
        <f t="shared" si="19"/>
        <v>306</v>
      </c>
      <c r="B208" s="73"/>
      <c r="C208" s="25" t="s">
        <v>192</v>
      </c>
      <c r="D208" s="25">
        <f>(38.41+6.9)*10.764</f>
        <v>487.71683999999993</v>
      </c>
      <c r="E208" s="25">
        <v>0</v>
      </c>
      <c r="F208" s="25">
        <f t="shared" si="18"/>
        <v>731.57525999999984</v>
      </c>
      <c r="G208" s="73" t="str">
        <f t="shared" si="20"/>
        <v>3rd Floor  for MHADA</v>
      </c>
      <c r="H208" s="73"/>
      <c r="I208" s="23"/>
      <c r="N208" s="23"/>
    </row>
    <row r="209" spans="1:14" s="2" customFormat="1" x14ac:dyDescent="0.3">
      <c r="A209" s="73">
        <f t="shared" si="19"/>
        <v>307</v>
      </c>
      <c r="B209" s="73"/>
      <c r="C209" s="25" t="s">
        <v>193</v>
      </c>
      <c r="D209" s="25">
        <f>(55.77+13.6)*10.764</f>
        <v>746.69867999999997</v>
      </c>
      <c r="E209" s="25">
        <v>0</v>
      </c>
      <c r="F209" s="25">
        <f t="shared" si="18"/>
        <v>1120.04802</v>
      </c>
      <c r="G209" s="73" t="str">
        <f t="shared" si="20"/>
        <v>3rd Floor  for MHADA</v>
      </c>
      <c r="H209" s="73"/>
      <c r="I209" s="23"/>
      <c r="N209" s="23"/>
    </row>
    <row r="210" spans="1:14" s="2" customFormat="1" x14ac:dyDescent="0.3">
      <c r="A210" s="73">
        <f t="shared" si="19"/>
        <v>308</v>
      </c>
      <c r="B210" s="73"/>
      <c r="C210" s="25" t="s">
        <v>192</v>
      </c>
      <c r="D210" s="25">
        <f>(37.91+6.65)*10.764</f>
        <v>479.6438399999999</v>
      </c>
      <c r="E210" s="25">
        <v>0</v>
      </c>
      <c r="F210" s="25">
        <f t="shared" si="18"/>
        <v>719.46575999999982</v>
      </c>
      <c r="G210" s="73" t="str">
        <f t="shared" si="20"/>
        <v>3rd Floor  for MHADA</v>
      </c>
      <c r="H210" s="73"/>
      <c r="I210" s="23"/>
      <c r="N210" s="23"/>
    </row>
    <row r="211" spans="1:14" s="2" customFormat="1" x14ac:dyDescent="0.3">
      <c r="A211" s="73">
        <f t="shared" si="19"/>
        <v>309</v>
      </c>
      <c r="B211" s="73"/>
      <c r="C211" s="25" t="s">
        <v>192</v>
      </c>
      <c r="D211" s="25">
        <f>(37.91+6.65)*10.764</f>
        <v>479.6438399999999</v>
      </c>
      <c r="E211" s="25">
        <v>0</v>
      </c>
      <c r="F211" s="25">
        <f t="shared" si="18"/>
        <v>719.46575999999982</v>
      </c>
      <c r="G211" s="73" t="str">
        <f t="shared" si="20"/>
        <v>3rd Floor  for MHADA</v>
      </c>
      <c r="H211" s="73"/>
      <c r="I211" s="23"/>
      <c r="N211" s="23"/>
    </row>
    <row r="212" spans="1:14" s="2" customFormat="1" x14ac:dyDescent="0.3">
      <c r="A212" s="73">
        <f t="shared" si="19"/>
        <v>310</v>
      </c>
      <c r="B212" s="73"/>
      <c r="C212" s="25" t="s">
        <v>192</v>
      </c>
      <c r="D212" s="25">
        <f>(37.91+6.65)*10.764</f>
        <v>479.6438399999999</v>
      </c>
      <c r="E212" s="25">
        <v>0</v>
      </c>
      <c r="F212" s="25">
        <f t="shared" si="18"/>
        <v>719.46575999999982</v>
      </c>
      <c r="G212" s="73" t="str">
        <f t="shared" si="20"/>
        <v>3rd Floor  for MHADA</v>
      </c>
      <c r="H212" s="73"/>
      <c r="I212" s="23"/>
      <c r="N212" s="23"/>
    </row>
    <row r="213" spans="1:14" s="2" customFormat="1" x14ac:dyDescent="0.3">
      <c r="A213" s="73">
        <f t="shared" si="19"/>
        <v>311</v>
      </c>
      <c r="B213" s="73"/>
      <c r="C213" s="25" t="s">
        <v>192</v>
      </c>
      <c r="D213" s="25">
        <f t="shared" ref="D213" si="21">(37.91)*10.764</f>
        <v>408.06323999999995</v>
      </c>
      <c r="E213" s="25">
        <v>0</v>
      </c>
      <c r="F213" s="25">
        <f t="shared" si="18"/>
        <v>612.09485999999993</v>
      </c>
      <c r="G213" s="73" t="str">
        <f t="shared" si="20"/>
        <v>3rd Floor  for MHADA</v>
      </c>
      <c r="H213" s="73"/>
      <c r="I213" s="23"/>
      <c r="N213" s="23"/>
    </row>
    <row r="214" spans="1:14" s="2" customFormat="1" x14ac:dyDescent="0.3">
      <c r="A214" s="73">
        <f t="shared" si="19"/>
        <v>312</v>
      </c>
      <c r="B214" s="73"/>
      <c r="C214" s="25" t="s">
        <v>193</v>
      </c>
      <c r="D214" s="25">
        <f>(55.77)*10.764</f>
        <v>600.30827999999997</v>
      </c>
      <c r="E214" s="25">
        <v>0</v>
      </c>
      <c r="F214" s="25">
        <f t="shared" si="18"/>
        <v>900.46241999999995</v>
      </c>
      <c r="G214" s="73" t="str">
        <f t="shared" si="20"/>
        <v>3rd Floor  for MHADA</v>
      </c>
      <c r="H214" s="73"/>
      <c r="I214" s="23"/>
      <c r="N214" s="23"/>
    </row>
    <row r="215" spans="1:14" s="2" customFormat="1" x14ac:dyDescent="0.3">
      <c r="A215" s="76" t="s">
        <v>194</v>
      </c>
      <c r="B215" s="77"/>
      <c r="C215" s="77"/>
      <c r="D215" s="77"/>
      <c r="E215" s="77"/>
      <c r="F215" s="77"/>
      <c r="G215" s="77"/>
      <c r="H215" s="78"/>
      <c r="I215" s="23"/>
      <c r="L215" s="79"/>
      <c r="M215" s="79"/>
    </row>
    <row r="216" spans="1:14" s="2" customFormat="1" x14ac:dyDescent="0.3">
      <c r="A216" s="73">
        <f>LEFT(A215,SUM(LEN(A215)-LEN(SUBSTITUTE(A215,{"0","1","2","3","4","5","6","7","8","9"},""))))*100+1</f>
        <v>401</v>
      </c>
      <c r="B216" s="73"/>
      <c r="C216" s="25" t="s">
        <v>192</v>
      </c>
      <c r="D216" s="25">
        <f>(38.41+6.9)*10.764</f>
        <v>487.71683999999993</v>
      </c>
      <c r="E216" s="25">
        <v>0</v>
      </c>
      <c r="F216" s="25">
        <f t="shared" ref="F216:F227" si="22">D216*(($F$173)+1)+E216</f>
        <v>731.57525999999984</v>
      </c>
      <c r="G216" s="73" t="str">
        <f>A215</f>
        <v>4th Floor</v>
      </c>
      <c r="H216" s="73"/>
      <c r="I216" s="23">
        <f>3.3*3.6+2.25*2.75+3*3.5+2.25*1.2+0.9*1.2+2*1.2+0.9*1</f>
        <v>35.647499999999994</v>
      </c>
      <c r="N216" s="23"/>
    </row>
    <row r="217" spans="1:14" s="2" customFormat="1" x14ac:dyDescent="0.3">
      <c r="A217" s="73">
        <f t="shared" ref="A217:A227" si="23">A216+1</f>
        <v>402</v>
      </c>
      <c r="B217" s="73"/>
      <c r="C217" s="25" t="s">
        <v>192</v>
      </c>
      <c r="D217" s="25">
        <f>(37.91+6.65)*10.764</f>
        <v>479.6438399999999</v>
      </c>
      <c r="E217" s="25">
        <v>0</v>
      </c>
      <c r="F217" s="25">
        <f t="shared" si="22"/>
        <v>719.46575999999982</v>
      </c>
      <c r="G217" s="73" t="str">
        <f t="shared" ref="G217:G227" si="24">G216</f>
        <v>4th Floor</v>
      </c>
      <c r="H217" s="73"/>
      <c r="I217" s="23">
        <f>3.3*3.6+2.25*2.75+2.75*3.5+1.5*1.2+0.9*1.2+2.5*0.9+1.8*1.2+2.3*2+2.75*1</f>
        <v>42.332500000000003</v>
      </c>
      <c r="J217" s="2">
        <f>37.91+6.65</f>
        <v>44.559999999999995</v>
      </c>
      <c r="N217" s="23"/>
    </row>
    <row r="218" spans="1:14" s="2" customFormat="1" x14ac:dyDescent="0.3">
      <c r="A218" s="73">
        <f t="shared" si="23"/>
        <v>403</v>
      </c>
      <c r="B218" s="73"/>
      <c r="C218" s="25" t="s">
        <v>192</v>
      </c>
      <c r="D218" s="25">
        <f t="shared" ref="D218:D220" si="25">(37.91+6.65)*10.764</f>
        <v>479.6438399999999</v>
      </c>
      <c r="E218" s="25">
        <v>0</v>
      </c>
      <c r="F218" s="25">
        <f t="shared" si="22"/>
        <v>719.46575999999982</v>
      </c>
      <c r="G218" s="73" t="str">
        <f t="shared" si="24"/>
        <v>4th Floor</v>
      </c>
      <c r="H218" s="73"/>
      <c r="I218" s="23"/>
      <c r="N218" s="23"/>
    </row>
    <row r="219" spans="1:14" s="2" customFormat="1" x14ac:dyDescent="0.3">
      <c r="A219" s="73">
        <f t="shared" si="23"/>
        <v>404</v>
      </c>
      <c r="B219" s="73"/>
      <c r="C219" s="25" t="s">
        <v>192</v>
      </c>
      <c r="D219" s="25">
        <f t="shared" si="25"/>
        <v>479.6438399999999</v>
      </c>
      <c r="E219" s="25">
        <v>0</v>
      </c>
      <c r="F219" s="25">
        <f t="shared" si="22"/>
        <v>719.46575999999982</v>
      </c>
      <c r="G219" s="73" t="str">
        <f t="shared" si="24"/>
        <v>4th Floor</v>
      </c>
      <c r="H219" s="73"/>
      <c r="I219" s="23"/>
      <c r="N219" s="23"/>
    </row>
    <row r="220" spans="1:14" s="2" customFormat="1" x14ac:dyDescent="0.3">
      <c r="A220" s="73">
        <f t="shared" si="23"/>
        <v>405</v>
      </c>
      <c r="B220" s="73"/>
      <c r="C220" s="25" t="s">
        <v>192</v>
      </c>
      <c r="D220" s="25">
        <f t="shared" si="25"/>
        <v>479.6438399999999</v>
      </c>
      <c r="E220" s="25">
        <v>0</v>
      </c>
      <c r="F220" s="25">
        <f t="shared" si="22"/>
        <v>719.46575999999982</v>
      </c>
      <c r="G220" s="73" t="str">
        <f t="shared" si="24"/>
        <v>4th Floor</v>
      </c>
      <c r="H220" s="73"/>
      <c r="I220" s="23"/>
      <c r="N220" s="23"/>
    </row>
    <row r="221" spans="1:14" s="2" customFormat="1" x14ac:dyDescent="0.3">
      <c r="A221" s="73">
        <f t="shared" si="23"/>
        <v>406</v>
      </c>
      <c r="B221" s="73"/>
      <c r="C221" s="25" t="s">
        <v>192</v>
      </c>
      <c r="D221" s="25">
        <f>(38.41+6.9)*10.764</f>
        <v>487.71683999999993</v>
      </c>
      <c r="E221" s="25">
        <v>0</v>
      </c>
      <c r="F221" s="25">
        <f t="shared" si="22"/>
        <v>731.57525999999984</v>
      </c>
      <c r="G221" s="73" t="str">
        <f t="shared" si="24"/>
        <v>4th Floor</v>
      </c>
      <c r="H221" s="73"/>
      <c r="I221" s="23"/>
      <c r="N221" s="23"/>
    </row>
    <row r="222" spans="1:14" s="2" customFormat="1" x14ac:dyDescent="0.3">
      <c r="A222" s="73">
        <f t="shared" si="23"/>
        <v>407</v>
      </c>
      <c r="B222" s="73"/>
      <c r="C222" s="25" t="s">
        <v>193</v>
      </c>
      <c r="D222" s="25">
        <f>(55.77+13.6)*10.764</f>
        <v>746.69867999999997</v>
      </c>
      <c r="E222" s="25">
        <v>0</v>
      </c>
      <c r="F222" s="25">
        <f t="shared" si="22"/>
        <v>1120.04802</v>
      </c>
      <c r="G222" s="73" t="str">
        <f t="shared" si="24"/>
        <v>4th Floor</v>
      </c>
      <c r="H222" s="73"/>
      <c r="I222" s="23"/>
      <c r="N222" s="23"/>
    </row>
    <row r="223" spans="1:14" s="2" customFormat="1" x14ac:dyDescent="0.3">
      <c r="A223" s="73">
        <f t="shared" si="23"/>
        <v>408</v>
      </c>
      <c r="B223" s="73"/>
      <c r="C223" s="25" t="s">
        <v>192</v>
      </c>
      <c r="D223" s="25">
        <f t="shared" ref="D223:D226" si="26">(37.91+6.65)*10.764</f>
        <v>479.6438399999999</v>
      </c>
      <c r="E223" s="25">
        <v>0</v>
      </c>
      <c r="F223" s="25">
        <f t="shared" si="22"/>
        <v>719.46575999999982</v>
      </c>
      <c r="G223" s="73" t="str">
        <f t="shared" si="24"/>
        <v>4th Floor</v>
      </c>
      <c r="H223" s="73"/>
      <c r="I223" s="23"/>
      <c r="N223" s="23"/>
    </row>
    <row r="224" spans="1:14" s="2" customFormat="1" x14ac:dyDescent="0.3">
      <c r="A224" s="73">
        <f t="shared" si="23"/>
        <v>409</v>
      </c>
      <c r="B224" s="73"/>
      <c r="C224" s="25" t="s">
        <v>192</v>
      </c>
      <c r="D224" s="25">
        <f t="shared" si="26"/>
        <v>479.6438399999999</v>
      </c>
      <c r="E224" s="25">
        <v>0</v>
      </c>
      <c r="F224" s="25">
        <f t="shared" si="22"/>
        <v>719.46575999999982</v>
      </c>
      <c r="G224" s="73" t="str">
        <f t="shared" si="24"/>
        <v>4th Floor</v>
      </c>
      <c r="H224" s="73"/>
      <c r="I224" s="23"/>
      <c r="N224" s="23"/>
    </row>
    <row r="225" spans="1:16" s="2" customFormat="1" x14ac:dyDescent="0.3">
      <c r="A225" s="73">
        <f t="shared" si="23"/>
        <v>410</v>
      </c>
      <c r="B225" s="73"/>
      <c r="C225" s="25" t="s">
        <v>192</v>
      </c>
      <c r="D225" s="25">
        <f t="shared" si="26"/>
        <v>479.6438399999999</v>
      </c>
      <c r="E225" s="25">
        <v>0</v>
      </c>
      <c r="F225" s="25">
        <f t="shared" si="22"/>
        <v>719.46575999999982</v>
      </c>
      <c r="G225" s="73" t="str">
        <f t="shared" si="24"/>
        <v>4th Floor</v>
      </c>
      <c r="H225" s="73"/>
      <c r="I225" s="23"/>
      <c r="N225" s="23"/>
    </row>
    <row r="226" spans="1:16" s="2" customFormat="1" x14ac:dyDescent="0.3">
      <c r="A226" s="73">
        <f t="shared" si="23"/>
        <v>411</v>
      </c>
      <c r="B226" s="73"/>
      <c r="C226" s="25" t="s">
        <v>192</v>
      </c>
      <c r="D226" s="25">
        <f t="shared" si="26"/>
        <v>479.6438399999999</v>
      </c>
      <c r="E226" s="25">
        <v>0</v>
      </c>
      <c r="F226" s="25">
        <f t="shared" si="22"/>
        <v>719.46575999999982</v>
      </c>
      <c r="G226" s="73" t="str">
        <f t="shared" si="24"/>
        <v>4th Floor</v>
      </c>
      <c r="H226" s="73"/>
      <c r="I226" s="23"/>
      <c r="N226" s="23"/>
    </row>
    <row r="227" spans="1:16" s="2" customFormat="1" x14ac:dyDescent="0.3">
      <c r="A227" s="73">
        <f t="shared" si="23"/>
        <v>412</v>
      </c>
      <c r="B227" s="73"/>
      <c r="C227" s="25" t="s">
        <v>193</v>
      </c>
      <c r="D227" s="25">
        <f>(55.77+13.6)*10.764</f>
        <v>746.69867999999997</v>
      </c>
      <c r="E227" s="25">
        <v>0</v>
      </c>
      <c r="F227" s="25">
        <f t="shared" si="22"/>
        <v>1120.04802</v>
      </c>
      <c r="G227" s="73" t="str">
        <f t="shared" si="24"/>
        <v>4th Floor</v>
      </c>
      <c r="H227" s="73"/>
      <c r="I227" s="23"/>
      <c r="N227" s="23"/>
    </row>
    <row r="228" spans="1:16" s="2" customFormat="1" x14ac:dyDescent="0.3">
      <c r="A228" s="76" t="s">
        <v>217</v>
      </c>
      <c r="B228" s="77"/>
      <c r="C228" s="77"/>
      <c r="D228" s="77"/>
      <c r="E228" s="77"/>
      <c r="F228" s="77"/>
      <c r="G228" s="77"/>
      <c r="H228" s="78"/>
      <c r="I228" s="23"/>
    </row>
    <row r="229" spans="1:16" s="2" customFormat="1" ht="15.75" customHeight="1" x14ac:dyDescent="0.3">
      <c r="A229" s="73" t="s">
        <v>203</v>
      </c>
      <c r="B229" s="73"/>
      <c r="C229" s="80" t="s">
        <v>215</v>
      </c>
      <c r="D229" s="86"/>
      <c r="E229" s="86"/>
      <c r="F229" s="81"/>
      <c r="G229" s="80" t="str">
        <f>A228</f>
        <v>5th to 7th Floor(Part Refuge Floor)</v>
      </c>
      <c r="H229" s="81"/>
      <c r="N229" s="2" t="e">
        <f t="shared" ref="N229:N234" ca="1" si="27">O229&amp;""&amp;" to "&amp;""&amp;P229</f>
        <v>#REF!</v>
      </c>
      <c r="O229" s="2" t="e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10^ROW(INDIRECT("1:"&amp;LEN((LEFT(A228,SUM(LEN(A228)-LEN(SUBSTITUTE(A228,{"0","1","2"},""))))))))/10))*100+1</f>
        <v>#REF!</v>
      </c>
      <c r="P229" s="2">
        <f ca="1">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",LEN(A228))),LEN(A228)))))))/10))*100+1</f>
        <v>701</v>
      </c>
    </row>
    <row r="230" spans="1:16" s="2" customFormat="1" ht="15.75" customHeight="1" x14ac:dyDescent="0.3">
      <c r="A230" s="73" t="s">
        <v>204</v>
      </c>
      <c r="B230" s="73"/>
      <c r="C230" s="84"/>
      <c r="D230" s="88"/>
      <c r="E230" s="88"/>
      <c r="F230" s="85"/>
      <c r="G230" s="82"/>
      <c r="H230" s="83"/>
      <c r="N230" s="2" t="e">
        <f t="shared" ca="1" si="27"/>
        <v>#REF!</v>
      </c>
      <c r="O230" s="2" t="e">
        <f t="shared" ref="O230:P230" ca="1" si="28">O229+1</f>
        <v>#REF!</v>
      </c>
      <c r="P230" s="2">
        <f t="shared" ca="1" si="28"/>
        <v>702</v>
      </c>
    </row>
    <row r="231" spans="1:16" s="2" customFormat="1" ht="15.75" customHeight="1" x14ac:dyDescent="0.3">
      <c r="A231" s="73" t="s">
        <v>205</v>
      </c>
      <c r="B231" s="73"/>
      <c r="C231" s="25" t="s">
        <v>192</v>
      </c>
      <c r="D231" s="25">
        <f>(37.91+6.65)*10.764</f>
        <v>479.6438399999999</v>
      </c>
      <c r="E231" s="25">
        <v>0</v>
      </c>
      <c r="F231" s="25">
        <f t="shared" ref="F231:F234" si="29">D231*(($F$173)+1)+E231</f>
        <v>719.46575999999982</v>
      </c>
      <c r="G231" s="82"/>
      <c r="H231" s="83"/>
      <c r="N231" s="2" t="e">
        <f t="shared" ca="1" si="27"/>
        <v>#REF!</v>
      </c>
      <c r="O231" s="2" t="e">
        <f t="shared" ref="O231:P231" ca="1" si="30">O230+1</f>
        <v>#REF!</v>
      </c>
      <c r="P231" s="2">
        <f t="shared" ca="1" si="30"/>
        <v>703</v>
      </c>
    </row>
    <row r="232" spans="1:16" s="2" customFormat="1" ht="15.75" customHeight="1" x14ac:dyDescent="0.3">
      <c r="A232" s="73" t="s">
        <v>206</v>
      </c>
      <c r="B232" s="73"/>
      <c r="C232" s="25" t="s">
        <v>192</v>
      </c>
      <c r="D232" s="25">
        <f>(37.91+6.65)*10.764</f>
        <v>479.6438399999999</v>
      </c>
      <c r="E232" s="25">
        <v>0</v>
      </c>
      <c r="F232" s="25">
        <f t="shared" si="29"/>
        <v>719.46575999999982</v>
      </c>
      <c r="G232" s="82"/>
      <c r="H232" s="83"/>
      <c r="N232" s="2" t="e">
        <f t="shared" ca="1" si="27"/>
        <v>#REF!</v>
      </c>
      <c r="O232" s="2" t="e">
        <f t="shared" ref="O232:P232" ca="1" si="31">O231+1</f>
        <v>#REF!</v>
      </c>
      <c r="P232" s="2">
        <f t="shared" ca="1" si="31"/>
        <v>704</v>
      </c>
    </row>
    <row r="233" spans="1:16" s="2" customFormat="1" ht="15.75" customHeight="1" x14ac:dyDescent="0.3">
      <c r="A233" s="73" t="s">
        <v>207</v>
      </c>
      <c r="B233" s="73"/>
      <c r="C233" s="25" t="s">
        <v>192</v>
      </c>
      <c r="D233" s="25">
        <f>(37.91+6.65)*10.764</f>
        <v>479.6438399999999</v>
      </c>
      <c r="E233" s="25">
        <v>0</v>
      </c>
      <c r="F233" s="25">
        <f t="shared" si="29"/>
        <v>719.46575999999982</v>
      </c>
      <c r="G233" s="82"/>
      <c r="H233" s="83"/>
      <c r="N233" s="2" t="e">
        <f t="shared" ca="1" si="27"/>
        <v>#REF!</v>
      </c>
      <c r="O233" s="2" t="e">
        <f t="shared" ref="O233:P233" ca="1" si="32">O232+1</f>
        <v>#REF!</v>
      </c>
      <c r="P233" s="2">
        <f t="shared" ca="1" si="32"/>
        <v>705</v>
      </c>
    </row>
    <row r="234" spans="1:16" s="2" customFormat="1" ht="15.75" customHeight="1" x14ac:dyDescent="0.3">
      <c r="A234" s="73" t="s">
        <v>208</v>
      </c>
      <c r="B234" s="73"/>
      <c r="C234" s="25" t="s">
        <v>192</v>
      </c>
      <c r="D234" s="25">
        <f>(38.41+6.9)*10.764</f>
        <v>487.71683999999993</v>
      </c>
      <c r="E234" s="25">
        <v>0</v>
      </c>
      <c r="F234" s="25">
        <f t="shared" si="29"/>
        <v>731.57525999999984</v>
      </c>
      <c r="G234" s="82"/>
      <c r="H234" s="83"/>
      <c r="N234" s="2" t="e">
        <f t="shared" ca="1" si="27"/>
        <v>#REF!</v>
      </c>
      <c r="O234" s="2" t="e">
        <f ca="1">O233+1</f>
        <v>#REF!</v>
      </c>
      <c r="P234" s="2">
        <f ca="1">P233+1</f>
        <v>706</v>
      </c>
    </row>
    <row r="235" spans="1:16" s="2" customFormat="1" ht="15.75" customHeight="1" x14ac:dyDescent="0.3">
      <c r="A235" s="73" t="s">
        <v>209</v>
      </c>
      <c r="B235" s="73"/>
      <c r="C235" s="25" t="s">
        <v>193</v>
      </c>
      <c r="D235" s="25">
        <f>(55.77+13.6)*10.764</f>
        <v>746.69867999999997</v>
      </c>
      <c r="E235" s="25">
        <v>0</v>
      </c>
      <c r="F235" s="25">
        <f t="shared" ref="F235:F238" si="33">D235*(($F$173)+1)+E235</f>
        <v>1120.04802</v>
      </c>
      <c r="G235" s="82"/>
      <c r="H235" s="83"/>
    </row>
    <row r="236" spans="1:16" s="2" customFormat="1" ht="15.75" customHeight="1" x14ac:dyDescent="0.3">
      <c r="A236" s="73" t="s">
        <v>210</v>
      </c>
      <c r="B236" s="73"/>
      <c r="C236" s="25" t="s">
        <v>192</v>
      </c>
      <c r="D236" s="25">
        <f>(37.91+6.65)*10.764</f>
        <v>479.6438399999999</v>
      </c>
      <c r="E236" s="25">
        <v>0</v>
      </c>
      <c r="F236" s="25">
        <f t="shared" si="33"/>
        <v>719.46575999999982</v>
      </c>
      <c r="G236" s="82"/>
      <c r="H236" s="83"/>
    </row>
    <row r="237" spans="1:16" s="2" customFormat="1" ht="15.75" customHeight="1" x14ac:dyDescent="0.3">
      <c r="A237" s="73" t="s">
        <v>211</v>
      </c>
      <c r="B237" s="73"/>
      <c r="C237" s="25" t="s">
        <v>192</v>
      </c>
      <c r="D237" s="25">
        <f>(37.91+6.65)*10.764</f>
        <v>479.6438399999999</v>
      </c>
      <c r="E237" s="25">
        <v>0</v>
      </c>
      <c r="F237" s="25">
        <f t="shared" si="33"/>
        <v>719.46575999999982</v>
      </c>
      <c r="G237" s="82"/>
      <c r="H237" s="83"/>
    </row>
    <row r="238" spans="1:16" s="2" customFormat="1" ht="15.75" customHeight="1" x14ac:dyDescent="0.3">
      <c r="A238" s="73" t="s">
        <v>212</v>
      </c>
      <c r="B238" s="73"/>
      <c r="C238" s="25" t="s">
        <v>192</v>
      </c>
      <c r="D238" s="25">
        <f>(37.91+6.65)*10.764</f>
        <v>479.6438399999999</v>
      </c>
      <c r="E238" s="25">
        <v>0</v>
      </c>
      <c r="F238" s="25">
        <f t="shared" si="33"/>
        <v>719.46575999999982</v>
      </c>
      <c r="G238" s="82"/>
      <c r="H238" s="83"/>
    </row>
    <row r="239" spans="1:16" s="2" customFormat="1" ht="15.75" customHeight="1" x14ac:dyDescent="0.3">
      <c r="A239" s="73" t="s">
        <v>213</v>
      </c>
      <c r="B239" s="73"/>
      <c r="C239" s="80" t="s">
        <v>215</v>
      </c>
      <c r="D239" s="86"/>
      <c r="E239" s="86"/>
      <c r="F239" s="81"/>
      <c r="G239" s="82"/>
      <c r="H239" s="83"/>
    </row>
    <row r="240" spans="1:16" s="2" customFormat="1" ht="15.75" customHeight="1" x14ac:dyDescent="0.3">
      <c r="A240" s="73" t="s">
        <v>214</v>
      </c>
      <c r="B240" s="73"/>
      <c r="C240" s="84"/>
      <c r="D240" s="88"/>
      <c r="E240" s="88"/>
      <c r="F240" s="85"/>
      <c r="G240" s="84"/>
      <c r="H240" s="85"/>
    </row>
    <row r="241" spans="1:16" s="2" customFormat="1" x14ac:dyDescent="0.3">
      <c r="A241" s="76" t="s">
        <v>216</v>
      </c>
      <c r="B241" s="77"/>
      <c r="C241" s="77"/>
      <c r="D241" s="77"/>
      <c r="E241" s="77"/>
      <c r="F241" s="77"/>
      <c r="G241" s="77"/>
      <c r="H241" s="78"/>
      <c r="I241" s="23"/>
    </row>
    <row r="242" spans="1:16" s="2" customFormat="1" ht="15.75" customHeight="1" x14ac:dyDescent="0.3">
      <c r="A242" s="73" t="s">
        <v>203</v>
      </c>
      <c r="B242" s="73"/>
      <c r="C242" s="80" t="s">
        <v>215</v>
      </c>
      <c r="D242" s="86"/>
      <c r="E242" s="86"/>
      <c r="F242" s="81"/>
      <c r="G242" s="80" t="str">
        <f>A241</f>
        <v>8th Floor(Part Refuge Floor)</v>
      </c>
      <c r="H242" s="81"/>
      <c r="N242" s="2" t="e">
        <f t="shared" ref="N242:N247" ca="1" si="34">O242&amp;""&amp;" to "&amp;""&amp;P242</f>
        <v>#REF!</v>
      </c>
      <c r="O242" s="2" t="e">
        <f ca="1">(SUMPRODUCT(MID(0&amp;(LEFT(A241,SUM(LEN(A241)-LEN(SUBSTITUTE(A241,{"0","1","2"},""))))), LARGE(INDEX(ISNUMBER(--MID((LEFT(A241,SUM(LEN(A241)-LEN(SUBSTITUTE(A241,{"0","1","2"},""))))), ROW(INDIRECT("1:"&amp;LEN((LEFT(A241,SUM(LEN(A241)-LEN(SUBSTITUTE(A241,{"0","1","2"},"")))))))), 1)) * ROW(INDIRECT("1:"&amp;LEN((LEFT(A241,SUM(LEN(A241)-LEN(SUBSTITUTE(A241,{"0","1","2"},"")))))))), 0), ROW(INDIRECT("1:"&amp;LEN((LEFT(A241,SUM(LEN(A241)-LEN(SUBSTITUTE(A241,{"0","1","2"},"")))))))))+1, 1) * 10^ROW(INDIRECT("1:"&amp;LEN((LEFT(A241,SUM(LEN(A241)-LEN(SUBSTITUTE(A241,{"0","1","2"},""))))))))/10))*100+1</f>
        <v>#REF!</v>
      </c>
      <c r="P242" s="2">
        <f ca="1">(SUMPRODUCT(MID(0&amp;(--TRIM(RIGHT(SUBSTITUTE(LEFT(A241,_xlfn.AGGREGATE(16,6,FIND({0,1,2,3,4,5,6,7,8,9},A241,ROW(INDIRECT("1:"&amp;LEN(A241)))),1))," ",REPT(" ",LEN(A241))),LEN(A241)))), LARGE(INDEX(ISNUMBER(--MID((--TRIM(RIGHT(SUBSTITUTE(LEFT(A241,_xlfn.AGGREGATE(16,6,FIND({0,1,2,3,4,5,6,7,8,9},A241,ROW(INDIRECT("1:"&amp;LEN(A241)))),1))," ",REPT(" ",LEN(A241))),LEN(A241)))), ROW(INDIRECT("1:"&amp;LEN((--TRIM(RIGHT(SUBSTITUTE(LEFT(A241,_xlfn.AGGREGATE(16,6,FIND({0,1,2,3,4,5,6,7,8,9},A241,ROW(INDIRECT("1:"&amp;LEN(A241)))),1))," ",REPT(" ",LEN(A241))),LEN(A241))))))), 1)) * ROW(INDIRECT("1:"&amp;LEN((--TRIM(RIGHT(SUBSTITUTE(LEFT(A241,_xlfn.AGGREGATE(16,6,FIND({0,1,2,3,4,5,6,7,8,9},A241,ROW(INDIRECT("1:"&amp;LEN(A241)))),1))," ",REPT(" ",LEN(A241))),LEN(A241))))))), 0), ROW(INDIRECT("1:"&amp;LEN((--TRIM(RIGHT(SUBSTITUTE(LEFT(A241,_xlfn.AGGREGATE(16,6,FIND({0,1,2,3,4,5,6,7,8,9},A241,ROW(INDIRECT("1:"&amp;LEN(A241)))),1))," ",REPT(" ",LEN(A241))),LEN(A241))))))))+1, 1) * 10^ROW(INDIRECT("1:"&amp;LEN((--TRIM(RIGHT(SUBSTITUTE(LEFT(A241,_xlfn.AGGREGATE(16,6,FIND({0,1,2,3,4,5,6,7,8,9},A241,ROW(INDIRECT("1:"&amp;LEN(A241)))),1))," ",REPT(" ",LEN(A241))),LEN(A241)))))))/10))*100+1</f>
        <v>801</v>
      </c>
    </row>
    <row r="243" spans="1:16" s="2" customFormat="1" ht="15.75" customHeight="1" x14ac:dyDescent="0.3">
      <c r="A243" s="73" t="s">
        <v>204</v>
      </c>
      <c r="B243" s="73"/>
      <c r="C243" s="84"/>
      <c r="D243" s="88"/>
      <c r="E243" s="88"/>
      <c r="F243" s="85"/>
      <c r="G243" s="82"/>
      <c r="H243" s="83"/>
      <c r="N243" s="2" t="e">
        <f t="shared" ca="1" si="34"/>
        <v>#REF!</v>
      </c>
      <c r="O243" s="2" t="e">
        <f t="shared" ref="O243:P243" ca="1" si="35">O242+1</f>
        <v>#REF!</v>
      </c>
      <c r="P243" s="2">
        <f t="shared" ca="1" si="35"/>
        <v>802</v>
      </c>
    </row>
    <row r="244" spans="1:16" s="2" customFormat="1" ht="15.75" customHeight="1" x14ac:dyDescent="0.3">
      <c r="A244" s="73" t="s">
        <v>205</v>
      </c>
      <c r="B244" s="73"/>
      <c r="C244" s="25" t="s">
        <v>192</v>
      </c>
      <c r="D244" s="25">
        <f>(37.91+6.65)*10.764</f>
        <v>479.6438399999999</v>
      </c>
      <c r="E244" s="25">
        <v>0</v>
      </c>
      <c r="F244" s="25">
        <f t="shared" ref="F244:F251" si="36">D244*(($F$173)+1)+E244</f>
        <v>719.46575999999982</v>
      </c>
      <c r="G244" s="82"/>
      <c r="H244" s="83"/>
      <c r="N244" s="2" t="e">
        <f t="shared" ca="1" si="34"/>
        <v>#REF!</v>
      </c>
      <c r="O244" s="2" t="e">
        <f t="shared" ref="O244:P244" ca="1" si="37">O243+1</f>
        <v>#REF!</v>
      </c>
      <c r="P244" s="2">
        <f t="shared" ca="1" si="37"/>
        <v>803</v>
      </c>
    </row>
    <row r="245" spans="1:16" s="2" customFormat="1" ht="15.75" customHeight="1" x14ac:dyDescent="0.3">
      <c r="A245" s="73" t="s">
        <v>206</v>
      </c>
      <c r="B245" s="73"/>
      <c r="C245" s="25" t="s">
        <v>192</v>
      </c>
      <c r="D245" s="25">
        <f>(37.91+6.65)*10.764</f>
        <v>479.6438399999999</v>
      </c>
      <c r="E245" s="25">
        <v>0</v>
      </c>
      <c r="F245" s="25">
        <f t="shared" si="36"/>
        <v>719.46575999999982</v>
      </c>
      <c r="G245" s="82"/>
      <c r="H245" s="83"/>
      <c r="N245" s="2" t="e">
        <f t="shared" ca="1" si="34"/>
        <v>#REF!</v>
      </c>
      <c r="O245" s="2" t="e">
        <f t="shared" ref="O245:P245" ca="1" si="38">O244+1</f>
        <v>#REF!</v>
      </c>
      <c r="P245" s="2">
        <f t="shared" ca="1" si="38"/>
        <v>804</v>
      </c>
    </row>
    <row r="246" spans="1:16" s="2" customFormat="1" ht="15.75" customHeight="1" x14ac:dyDescent="0.3">
      <c r="A246" s="73" t="s">
        <v>207</v>
      </c>
      <c r="B246" s="73"/>
      <c r="C246" s="25" t="s">
        <v>192</v>
      </c>
      <c r="D246" s="25">
        <f>(37.91+6.65)*10.764</f>
        <v>479.6438399999999</v>
      </c>
      <c r="E246" s="25">
        <v>0</v>
      </c>
      <c r="F246" s="25">
        <f t="shared" si="36"/>
        <v>719.46575999999982</v>
      </c>
      <c r="G246" s="82"/>
      <c r="H246" s="83"/>
      <c r="N246" s="2" t="e">
        <f t="shared" ca="1" si="34"/>
        <v>#REF!</v>
      </c>
      <c r="O246" s="2" t="e">
        <f t="shared" ref="O246:P246" ca="1" si="39">O245+1</f>
        <v>#REF!</v>
      </c>
      <c r="P246" s="2">
        <f t="shared" ca="1" si="39"/>
        <v>805</v>
      </c>
    </row>
    <row r="247" spans="1:16" s="2" customFormat="1" ht="15.75" customHeight="1" x14ac:dyDescent="0.3">
      <c r="A247" s="73" t="s">
        <v>208</v>
      </c>
      <c r="B247" s="73"/>
      <c r="C247" s="25" t="s">
        <v>192</v>
      </c>
      <c r="D247" s="25">
        <f>(38.41+6.9)*10.764</f>
        <v>487.71683999999993</v>
      </c>
      <c r="E247" s="25">
        <v>0</v>
      </c>
      <c r="F247" s="25">
        <f t="shared" si="36"/>
        <v>731.57525999999984</v>
      </c>
      <c r="G247" s="82"/>
      <c r="H247" s="83"/>
      <c r="N247" s="2" t="e">
        <f t="shared" ca="1" si="34"/>
        <v>#REF!</v>
      </c>
      <c r="O247" s="2" t="e">
        <f ca="1">O246+1</f>
        <v>#REF!</v>
      </c>
      <c r="P247" s="2">
        <f ca="1">P246+1</f>
        <v>806</v>
      </c>
    </row>
    <row r="248" spans="1:16" s="2" customFormat="1" ht="15.75" customHeight="1" x14ac:dyDescent="0.3">
      <c r="A248" s="73" t="s">
        <v>209</v>
      </c>
      <c r="B248" s="73"/>
      <c r="C248" s="25" t="s">
        <v>193</v>
      </c>
      <c r="D248" s="25">
        <f>(55.77+13.6)*10.764</f>
        <v>746.69867999999997</v>
      </c>
      <c r="E248" s="25">
        <v>0</v>
      </c>
      <c r="F248" s="25">
        <f t="shared" si="36"/>
        <v>1120.04802</v>
      </c>
      <c r="G248" s="82"/>
      <c r="H248" s="83"/>
    </row>
    <row r="249" spans="1:16" s="2" customFormat="1" ht="15.75" customHeight="1" x14ac:dyDescent="0.3">
      <c r="A249" s="73" t="s">
        <v>210</v>
      </c>
      <c r="B249" s="73"/>
      <c r="C249" s="25" t="s">
        <v>192</v>
      </c>
      <c r="D249" s="25">
        <f>(37.91+6.65)*10.764</f>
        <v>479.6438399999999</v>
      </c>
      <c r="E249" s="25">
        <v>0</v>
      </c>
      <c r="F249" s="25">
        <f t="shared" si="36"/>
        <v>719.46575999999982</v>
      </c>
      <c r="G249" s="82"/>
      <c r="H249" s="83"/>
    </row>
    <row r="250" spans="1:16" s="2" customFormat="1" ht="15.75" customHeight="1" x14ac:dyDescent="0.3">
      <c r="A250" s="73" t="s">
        <v>211</v>
      </c>
      <c r="B250" s="73"/>
      <c r="C250" s="25" t="s">
        <v>192</v>
      </c>
      <c r="D250" s="25">
        <f>(37.91+6.65)*10.764</f>
        <v>479.6438399999999</v>
      </c>
      <c r="E250" s="25">
        <v>0</v>
      </c>
      <c r="F250" s="25">
        <f t="shared" si="36"/>
        <v>719.46575999999982</v>
      </c>
      <c r="G250" s="82"/>
      <c r="H250" s="83"/>
    </row>
    <row r="251" spans="1:16" s="2" customFormat="1" ht="15.75" customHeight="1" x14ac:dyDescent="0.3">
      <c r="A251" s="73" t="s">
        <v>212</v>
      </c>
      <c r="B251" s="73"/>
      <c r="C251" s="25" t="s">
        <v>192</v>
      </c>
      <c r="D251" s="25">
        <f>(37.91+6.65)*10.764</f>
        <v>479.6438399999999</v>
      </c>
      <c r="E251" s="25">
        <v>0</v>
      </c>
      <c r="F251" s="25">
        <f t="shared" si="36"/>
        <v>719.46575999999982</v>
      </c>
      <c r="G251" s="82"/>
      <c r="H251" s="83"/>
    </row>
    <row r="252" spans="1:16" s="2" customFormat="1" ht="15.75" customHeight="1" x14ac:dyDescent="0.3">
      <c r="A252" s="73" t="s">
        <v>213</v>
      </c>
      <c r="B252" s="73"/>
      <c r="C252" s="80" t="s">
        <v>215</v>
      </c>
      <c r="D252" s="86"/>
      <c r="E252" s="86"/>
      <c r="F252" s="81"/>
      <c r="G252" s="82"/>
      <c r="H252" s="83"/>
    </row>
    <row r="253" spans="1:16" s="2" customFormat="1" x14ac:dyDescent="0.3">
      <c r="A253" s="73" t="s">
        <v>214</v>
      </c>
      <c r="B253" s="73"/>
      <c r="C253" s="84"/>
      <c r="D253" s="88"/>
      <c r="E253" s="88"/>
      <c r="F253" s="85"/>
      <c r="G253" s="84"/>
      <c r="H253" s="85"/>
    </row>
    <row r="254" spans="1:16" s="2" customFormat="1" x14ac:dyDescent="0.3">
      <c r="A254" s="76" t="s">
        <v>218</v>
      </c>
      <c r="B254" s="77"/>
      <c r="C254" s="77"/>
      <c r="D254" s="77"/>
      <c r="E254" s="77"/>
      <c r="F254" s="77"/>
      <c r="G254" s="77"/>
      <c r="H254" s="78"/>
      <c r="I254" s="23"/>
    </row>
    <row r="255" spans="1:16" s="2" customFormat="1" ht="15.75" customHeight="1" x14ac:dyDescent="0.3">
      <c r="A255" s="74" t="str">
        <f t="shared" ref="A255:A260" ca="1" si="40">N255</f>
        <v>901 to 1301</v>
      </c>
      <c r="B255" s="75"/>
      <c r="C255" s="80" t="s">
        <v>215</v>
      </c>
      <c r="D255" s="86"/>
      <c r="E255" s="86"/>
      <c r="F255" s="81"/>
      <c r="G255" s="80" t="str">
        <f>A254</f>
        <v>9th to 13th Floor(Part Refuge Floor)</v>
      </c>
      <c r="H255" s="81"/>
      <c r="I255" s="23"/>
      <c r="N255" s="2" t="str">
        <f t="shared" ref="N255:N260" ca="1" si="41">O255&amp;""&amp;" to "&amp;""&amp;P255</f>
        <v>901 to 1301</v>
      </c>
      <c r="O255" s="2">
        <f ca="1">(SUMPRODUCT(MID(0&amp;(LEFT(A254,SUM(LEN(A254)-LEN(SUBSTITUTE(A254,{"0","1","2"},""))))), LARGE(INDEX(ISNUMBER(--MID((LEFT(A254,SUM(LEN(A254)-LEN(SUBSTITUTE(A254,{"0","1","2"},""))))), ROW(INDIRECT("1:"&amp;LEN((LEFT(A254,SUM(LEN(A254)-LEN(SUBSTITUTE(A254,{"0","1","2"},"")))))))), 1)) * ROW(INDIRECT("1:"&amp;LEN((LEFT(A254,SUM(LEN(A254)-LEN(SUBSTITUTE(A254,{"0","1","2"},"")))))))), 0), ROW(INDIRECT("1:"&amp;LEN((LEFT(A254,SUM(LEN(A254)-LEN(SUBSTITUTE(A254,{"0","1","2"},"")))))))))+1, 1) * 10^ROW(INDIRECT("1:"&amp;LEN((LEFT(A254,SUM(LEN(A254)-LEN(SUBSTITUTE(A254,{"0","1","2"},""))))))))/10))*100+1</f>
        <v>901</v>
      </c>
      <c r="P255" s="2">
        <f ca="1">(SUMPRODUCT(MID(0&amp;(--TRIM(RIGHT(SUBSTITUTE(LEFT(A254,_xlfn.AGGREGATE(16,6,FIND({0,1,2,3,4,5,6,7,8,9},A254,ROW(INDIRECT("1:"&amp;LEN(A254)))),1))," ",REPT(" ",LEN(A254))),LEN(A254)))), LARGE(INDEX(ISNUMBER(--MID((--TRIM(RIGHT(SUBSTITUTE(LEFT(A254,_xlfn.AGGREGATE(16,6,FIND({0,1,2,3,4,5,6,7,8,9},A254,ROW(INDIRECT("1:"&amp;LEN(A254)))),1))," ",REPT(" ",LEN(A254))),LEN(A254)))), ROW(INDIRECT("1:"&amp;LEN((--TRIM(RIGHT(SUBSTITUTE(LEFT(A254,_xlfn.AGGREGATE(16,6,FIND({0,1,2,3,4,5,6,7,8,9},A254,ROW(INDIRECT("1:"&amp;LEN(A254)))),1))," ",REPT(" ",LEN(A254))),LEN(A254))))))), 1)) * ROW(INDIRECT("1:"&amp;LEN((--TRIM(RIGHT(SUBSTITUTE(LEFT(A254,_xlfn.AGGREGATE(16,6,FIND({0,1,2,3,4,5,6,7,8,9},A254,ROW(INDIRECT("1:"&amp;LEN(A254)))),1))," ",REPT(" ",LEN(A254))),LEN(A254))))))), 0), ROW(INDIRECT("1:"&amp;LEN((--TRIM(RIGHT(SUBSTITUTE(LEFT(A254,_xlfn.AGGREGATE(16,6,FIND({0,1,2,3,4,5,6,7,8,9},A254,ROW(INDIRECT("1:"&amp;LEN(A254)))),1))," ",REPT(" ",LEN(A254))),LEN(A254))))))))+1, 1) * 10^ROW(INDIRECT("1:"&amp;LEN((--TRIM(RIGHT(SUBSTITUTE(LEFT(A254,_xlfn.AGGREGATE(16,6,FIND({0,1,2,3,4,5,6,7,8,9},A254,ROW(INDIRECT("1:"&amp;LEN(A254)))),1))," ",REPT(" ",LEN(A254))),LEN(A254)))))))/10))*100+1</f>
        <v>1301</v>
      </c>
    </row>
    <row r="256" spans="1:16" s="2" customFormat="1" ht="15.75" customHeight="1" x14ac:dyDescent="0.3">
      <c r="A256" s="74" t="str">
        <f t="shared" ca="1" si="40"/>
        <v>902 to 1302</v>
      </c>
      <c r="B256" s="75"/>
      <c r="C256" s="82"/>
      <c r="D256" s="87"/>
      <c r="E256" s="87"/>
      <c r="F256" s="83"/>
      <c r="G256" s="82"/>
      <c r="H256" s="83"/>
      <c r="I256" s="23"/>
      <c r="N256" s="2" t="str">
        <f t="shared" ca="1" si="41"/>
        <v>902 to 1302</v>
      </c>
      <c r="O256" s="2">
        <f t="shared" ref="O256:P256" ca="1" si="42">O255+1</f>
        <v>902</v>
      </c>
      <c r="P256" s="2">
        <f t="shared" ca="1" si="42"/>
        <v>1302</v>
      </c>
    </row>
    <row r="257" spans="1:16" s="2" customFormat="1" ht="15.75" customHeight="1" x14ac:dyDescent="0.3">
      <c r="A257" s="74" t="str">
        <f t="shared" ca="1" si="40"/>
        <v>903 to 1303</v>
      </c>
      <c r="B257" s="75"/>
      <c r="C257" s="84"/>
      <c r="D257" s="88"/>
      <c r="E257" s="88"/>
      <c r="F257" s="85"/>
      <c r="G257" s="82"/>
      <c r="H257" s="83"/>
      <c r="I257" s="23"/>
      <c r="N257" s="2" t="str">
        <f t="shared" ca="1" si="41"/>
        <v>903 to 1303</v>
      </c>
      <c r="O257" s="2">
        <f t="shared" ref="O257:P257" ca="1" si="43">O256+1</f>
        <v>903</v>
      </c>
      <c r="P257" s="2">
        <f t="shared" ca="1" si="43"/>
        <v>1303</v>
      </c>
    </row>
    <row r="258" spans="1:16" s="2" customFormat="1" ht="15.75" customHeight="1" x14ac:dyDescent="0.3">
      <c r="A258" s="74" t="str">
        <f t="shared" ca="1" si="40"/>
        <v>904 to 1304</v>
      </c>
      <c r="B258" s="75"/>
      <c r="C258" s="25" t="s">
        <v>192</v>
      </c>
      <c r="D258" s="25">
        <f>(37.91+6.65)*10.764</f>
        <v>479.6438399999999</v>
      </c>
      <c r="E258" s="25">
        <v>0</v>
      </c>
      <c r="F258" s="25">
        <f t="shared" ref="F258:F260" si="44">D258*(($F$173)+1)+E258</f>
        <v>719.46575999999982</v>
      </c>
      <c r="G258" s="82"/>
      <c r="H258" s="83"/>
      <c r="I258" s="23"/>
      <c r="N258" s="2" t="str">
        <f t="shared" ca="1" si="41"/>
        <v>904 to 1304</v>
      </c>
      <c r="O258" s="2">
        <f t="shared" ref="O258:P258" ca="1" si="45">O257+1</f>
        <v>904</v>
      </c>
      <c r="P258" s="2">
        <f t="shared" ca="1" si="45"/>
        <v>1304</v>
      </c>
    </row>
    <row r="259" spans="1:16" s="2" customFormat="1" ht="15.75" customHeight="1" x14ac:dyDescent="0.3">
      <c r="A259" s="74" t="str">
        <f t="shared" ca="1" si="40"/>
        <v>905 to 1305</v>
      </c>
      <c r="B259" s="75"/>
      <c r="C259" s="25" t="s">
        <v>192</v>
      </c>
      <c r="D259" s="25">
        <f>(37.91+6.65)*10.764</f>
        <v>479.6438399999999</v>
      </c>
      <c r="E259" s="25">
        <v>0</v>
      </c>
      <c r="F259" s="25">
        <f t="shared" si="44"/>
        <v>719.46575999999982</v>
      </c>
      <c r="G259" s="82"/>
      <c r="H259" s="83"/>
      <c r="I259" s="23"/>
      <c r="N259" s="2" t="str">
        <f t="shared" ca="1" si="41"/>
        <v>905 to 1305</v>
      </c>
      <c r="O259" s="2">
        <f t="shared" ref="O259:P259" ca="1" si="46">O258+1</f>
        <v>905</v>
      </c>
      <c r="P259" s="2">
        <f t="shared" ca="1" si="46"/>
        <v>1305</v>
      </c>
    </row>
    <row r="260" spans="1:16" s="2" customFormat="1" ht="15.75" customHeight="1" x14ac:dyDescent="0.3">
      <c r="A260" s="74" t="str">
        <f t="shared" ca="1" si="40"/>
        <v>906 to 1306</v>
      </c>
      <c r="B260" s="75"/>
      <c r="C260" s="25" t="s">
        <v>192</v>
      </c>
      <c r="D260" s="25">
        <f>(38.41+6.9)*10.764</f>
        <v>487.71683999999993</v>
      </c>
      <c r="E260" s="25">
        <v>0</v>
      </c>
      <c r="F260" s="25">
        <f t="shared" si="44"/>
        <v>731.57525999999984</v>
      </c>
      <c r="G260" s="82"/>
      <c r="H260" s="83"/>
      <c r="I260" s="23"/>
      <c r="N260" s="2" t="str">
        <f t="shared" ca="1" si="41"/>
        <v>906 to 1306</v>
      </c>
      <c r="O260" s="2">
        <f ca="1">O259+1</f>
        <v>906</v>
      </c>
      <c r="P260" s="2">
        <f ca="1">P259+1</f>
        <v>1306</v>
      </c>
    </row>
    <row r="261" spans="1:16" s="2" customFormat="1" ht="15.75" customHeight="1" x14ac:dyDescent="0.3">
      <c r="A261" s="74" t="str">
        <f t="shared" ref="A261:A265" ca="1" si="47">N261</f>
        <v>907 to 1307</v>
      </c>
      <c r="B261" s="75"/>
      <c r="C261" s="25" t="s">
        <v>193</v>
      </c>
      <c r="D261" s="25">
        <f>(55.77+13.6)*10.764</f>
        <v>746.69867999999997</v>
      </c>
      <c r="E261" s="25">
        <v>0</v>
      </c>
      <c r="F261" s="25">
        <f t="shared" ref="F261:F263" si="48">D261*(($F$173)+1)+E261</f>
        <v>1120.04802</v>
      </c>
      <c r="G261" s="82"/>
      <c r="H261" s="83"/>
      <c r="I261" s="23"/>
      <c r="N261" s="2" t="str">
        <f t="shared" ref="N261:N265" ca="1" si="49">O261&amp;""&amp;" to "&amp;""&amp;P261</f>
        <v>907 to 1307</v>
      </c>
      <c r="O261" s="2">
        <f t="shared" ref="O261:P261" ca="1" si="50">O260+1</f>
        <v>907</v>
      </c>
      <c r="P261" s="2">
        <f t="shared" ca="1" si="50"/>
        <v>1307</v>
      </c>
    </row>
    <row r="262" spans="1:16" s="2" customFormat="1" ht="15.75" customHeight="1" x14ac:dyDescent="0.3">
      <c r="A262" s="74" t="str">
        <f t="shared" ca="1" si="47"/>
        <v>908 to 1308</v>
      </c>
      <c r="B262" s="75"/>
      <c r="C262" s="25" t="s">
        <v>192</v>
      </c>
      <c r="D262" s="25">
        <f>(37.91+6.65)*10.764</f>
        <v>479.6438399999999</v>
      </c>
      <c r="E262" s="25">
        <v>0</v>
      </c>
      <c r="F262" s="25">
        <f t="shared" si="48"/>
        <v>719.46575999999982</v>
      </c>
      <c r="G262" s="82"/>
      <c r="H262" s="83"/>
      <c r="I262" s="23"/>
      <c r="N262" s="2" t="str">
        <f t="shared" ca="1" si="49"/>
        <v>908 to 1308</v>
      </c>
      <c r="O262" s="2">
        <f t="shared" ref="O262:P262" ca="1" si="51">O261+1</f>
        <v>908</v>
      </c>
      <c r="P262" s="2">
        <f t="shared" ca="1" si="51"/>
        <v>1308</v>
      </c>
    </row>
    <row r="263" spans="1:16" s="2" customFormat="1" ht="15.75" customHeight="1" x14ac:dyDescent="0.3">
      <c r="A263" s="74" t="str">
        <f t="shared" ca="1" si="47"/>
        <v>909 to 1309</v>
      </c>
      <c r="B263" s="75"/>
      <c r="C263" s="25" t="s">
        <v>192</v>
      </c>
      <c r="D263" s="25">
        <f>(37.91+6.65)*10.764</f>
        <v>479.6438399999999</v>
      </c>
      <c r="E263" s="25">
        <v>0</v>
      </c>
      <c r="F263" s="25">
        <f t="shared" si="48"/>
        <v>719.46575999999982</v>
      </c>
      <c r="G263" s="82"/>
      <c r="H263" s="83"/>
      <c r="I263" s="23"/>
      <c r="N263" s="2" t="str">
        <f t="shared" ca="1" si="49"/>
        <v>909 to 1309</v>
      </c>
      <c r="O263" s="2">
        <f t="shared" ref="O263:P263" ca="1" si="52">O262+1</f>
        <v>909</v>
      </c>
      <c r="P263" s="2">
        <f t="shared" ca="1" si="52"/>
        <v>1309</v>
      </c>
    </row>
    <row r="264" spans="1:16" s="2" customFormat="1" ht="15.75" customHeight="1" x14ac:dyDescent="0.3">
      <c r="A264" s="74" t="str">
        <f t="shared" ca="1" si="47"/>
        <v>910 to 1310</v>
      </c>
      <c r="B264" s="75"/>
      <c r="C264" s="80" t="s">
        <v>215</v>
      </c>
      <c r="D264" s="86"/>
      <c r="E264" s="86"/>
      <c r="F264" s="81"/>
      <c r="G264" s="82"/>
      <c r="H264" s="83"/>
      <c r="I264" s="23"/>
      <c r="N264" s="2" t="str">
        <f t="shared" ca="1" si="49"/>
        <v>910 to 1310</v>
      </c>
      <c r="O264" s="2">
        <f t="shared" ref="O264:P264" ca="1" si="53">O263+1</f>
        <v>910</v>
      </c>
      <c r="P264" s="2">
        <f t="shared" ca="1" si="53"/>
        <v>1310</v>
      </c>
    </row>
    <row r="265" spans="1:16" s="2" customFormat="1" ht="15.75" customHeight="1" x14ac:dyDescent="0.3">
      <c r="A265" s="74" t="str">
        <f t="shared" ca="1" si="47"/>
        <v>911 to 1311</v>
      </c>
      <c r="B265" s="75"/>
      <c r="C265" s="82"/>
      <c r="D265" s="87"/>
      <c r="E265" s="87"/>
      <c r="F265" s="83"/>
      <c r="G265" s="82"/>
      <c r="H265" s="83"/>
      <c r="I265" s="23"/>
      <c r="N265" s="2" t="str">
        <f t="shared" ca="1" si="49"/>
        <v>911 to 1311</v>
      </c>
      <c r="O265" s="2">
        <f ca="1">O264+1</f>
        <v>911</v>
      </c>
      <c r="P265" s="2">
        <f ca="1">P264+1</f>
        <v>1311</v>
      </c>
    </row>
    <row r="266" spans="1:16" s="2" customFormat="1" ht="15.75" customHeight="1" x14ac:dyDescent="0.3">
      <c r="A266" s="74" t="str">
        <f t="shared" ref="A266" ca="1" si="54">N266</f>
        <v>912 to 1312</v>
      </c>
      <c r="B266" s="75"/>
      <c r="C266" s="84"/>
      <c r="D266" s="88"/>
      <c r="E266" s="88"/>
      <c r="F266" s="85"/>
      <c r="G266" s="84"/>
      <c r="H266" s="85"/>
      <c r="I266" s="23"/>
      <c r="N266" s="2" t="str">
        <f t="shared" ref="N266" ca="1" si="55">O266&amp;""&amp;" to "&amp;""&amp;P266</f>
        <v>912 to 1312</v>
      </c>
      <c r="O266" s="2">
        <f ca="1">O265+1</f>
        <v>912</v>
      </c>
      <c r="P266" s="2">
        <f ca="1">P265+1</f>
        <v>1312</v>
      </c>
    </row>
    <row r="267" spans="1:16" s="2" customFormat="1" x14ac:dyDescent="0.3">
      <c r="A267" s="76" t="s">
        <v>219</v>
      </c>
      <c r="B267" s="77"/>
      <c r="C267" s="77"/>
      <c r="D267" s="77"/>
      <c r="E267" s="77"/>
      <c r="F267" s="77"/>
      <c r="G267" s="77"/>
      <c r="H267" s="78"/>
      <c r="I267" s="23"/>
    </row>
    <row r="268" spans="1:16" s="2" customFormat="1" ht="15.75" customHeight="1" x14ac:dyDescent="0.3">
      <c r="A268" s="74" t="str">
        <f t="shared" ref="A268:A279" ca="1" si="56">N268</f>
        <v>1401 to 2101</v>
      </c>
      <c r="B268" s="75"/>
      <c r="C268" s="80" t="s">
        <v>215</v>
      </c>
      <c r="D268" s="86"/>
      <c r="E268" s="86"/>
      <c r="F268" s="81"/>
      <c r="G268" s="80" t="str">
        <f>A267</f>
        <v>14th to 21st Floor(Part Refuge Floor)</v>
      </c>
      <c r="H268" s="81"/>
      <c r="I268" s="23"/>
      <c r="N268" s="2" t="str">
        <f t="shared" ref="N268:N279" ca="1" si="57">O268&amp;""&amp;" to "&amp;""&amp;P268</f>
        <v>1401 to 2101</v>
      </c>
      <c r="O268" s="2">
        <f ca="1">(SUMPRODUCT(MID(0&amp;(LEFT(A267,SUM(LEN(A267)-LEN(SUBSTITUTE(A267,{"0","1","2"},""))))), LARGE(INDEX(ISNUMBER(--MID((LEFT(A267,SUM(LEN(A267)-LEN(SUBSTITUTE(A267,{"0","1","2"},""))))), ROW(INDIRECT("1:"&amp;LEN((LEFT(A267,SUM(LEN(A267)-LEN(SUBSTITUTE(A267,{"0","1","2"},"")))))))), 1)) * ROW(INDIRECT("1:"&amp;LEN((LEFT(A267,SUM(LEN(A267)-LEN(SUBSTITUTE(A267,{"0","1","2"},"")))))))), 0), ROW(INDIRECT("1:"&amp;LEN((LEFT(A267,SUM(LEN(A267)-LEN(SUBSTITUTE(A267,{"0","1","2"},"")))))))))+1, 1) * 10^ROW(INDIRECT("1:"&amp;LEN((LEFT(A267,SUM(LEN(A267)-LEN(SUBSTITUTE(A267,{"0","1","2"},""))))))))/10))*100+1</f>
        <v>1401</v>
      </c>
      <c r="P268" s="2">
        <f ca="1">(SUMPRODUCT(MID(0&amp;(--TRIM(RIGHT(SUBSTITUTE(LEFT(A267,_xlfn.AGGREGATE(16,6,FIND({0,1,2,3,4,5,6,7,8,9},A267,ROW(INDIRECT("1:"&amp;LEN(A267)))),1))," ",REPT(" ",LEN(A267))),LEN(A267)))), LARGE(INDEX(ISNUMBER(--MID((--TRIM(RIGHT(SUBSTITUTE(LEFT(A267,_xlfn.AGGREGATE(16,6,FIND({0,1,2,3,4,5,6,7,8,9},A267,ROW(INDIRECT("1:"&amp;LEN(A267)))),1))," ",REPT(" ",LEN(A267))),LEN(A267)))), ROW(INDIRECT("1:"&amp;LEN((--TRIM(RIGHT(SUBSTITUTE(LEFT(A267,_xlfn.AGGREGATE(16,6,FIND({0,1,2,3,4,5,6,7,8,9},A267,ROW(INDIRECT("1:"&amp;LEN(A267)))),1))," ",REPT(" ",LEN(A267))),LEN(A267))))))), 1)) * ROW(INDIRECT("1:"&amp;LEN((--TRIM(RIGHT(SUBSTITUTE(LEFT(A267,_xlfn.AGGREGATE(16,6,FIND({0,1,2,3,4,5,6,7,8,9},A267,ROW(INDIRECT("1:"&amp;LEN(A267)))),1))," ",REPT(" ",LEN(A267))),LEN(A267))))))), 0), ROW(INDIRECT("1:"&amp;LEN((--TRIM(RIGHT(SUBSTITUTE(LEFT(A267,_xlfn.AGGREGATE(16,6,FIND({0,1,2,3,4,5,6,7,8,9},A267,ROW(INDIRECT("1:"&amp;LEN(A267)))),1))," ",REPT(" ",LEN(A267))),LEN(A267))))))))+1, 1) * 10^ROW(INDIRECT("1:"&amp;LEN((--TRIM(RIGHT(SUBSTITUTE(LEFT(A267,_xlfn.AGGREGATE(16,6,FIND({0,1,2,3,4,5,6,7,8,9},A267,ROW(INDIRECT("1:"&amp;LEN(A267)))),1))," ",REPT(" ",LEN(A267))),LEN(A267)))))))/10))*100+1</f>
        <v>2101</v>
      </c>
    </row>
    <row r="269" spans="1:16" s="2" customFormat="1" ht="15.75" customHeight="1" x14ac:dyDescent="0.3">
      <c r="A269" s="74" t="str">
        <f t="shared" ca="1" si="56"/>
        <v>1402 to 2102</v>
      </c>
      <c r="B269" s="75"/>
      <c r="C269" s="82"/>
      <c r="D269" s="87"/>
      <c r="E269" s="87"/>
      <c r="F269" s="83"/>
      <c r="G269" s="82"/>
      <c r="H269" s="83"/>
      <c r="I269" s="23"/>
      <c r="N269" s="2" t="str">
        <f t="shared" ca="1" si="57"/>
        <v>1402 to 2102</v>
      </c>
      <c r="O269" s="2">
        <f t="shared" ref="O269:P269" ca="1" si="58">O268+1</f>
        <v>1402</v>
      </c>
      <c r="P269" s="2">
        <f t="shared" ca="1" si="58"/>
        <v>2102</v>
      </c>
    </row>
    <row r="270" spans="1:16" s="2" customFormat="1" ht="15.75" customHeight="1" x14ac:dyDescent="0.3">
      <c r="A270" s="74" t="str">
        <f t="shared" ca="1" si="56"/>
        <v>1403 to 2103</v>
      </c>
      <c r="B270" s="75"/>
      <c r="C270" s="84"/>
      <c r="D270" s="88"/>
      <c r="E270" s="88"/>
      <c r="F270" s="85"/>
      <c r="G270" s="82"/>
      <c r="H270" s="83"/>
      <c r="I270" s="23"/>
      <c r="N270" s="2" t="str">
        <f t="shared" ca="1" si="57"/>
        <v>1403 to 2103</v>
      </c>
      <c r="O270" s="2">
        <f t="shared" ref="O270:P270" ca="1" si="59">O269+1</f>
        <v>1403</v>
      </c>
      <c r="P270" s="2">
        <f t="shared" ca="1" si="59"/>
        <v>2103</v>
      </c>
    </row>
    <row r="271" spans="1:16" s="2" customFormat="1" ht="15.75" customHeight="1" x14ac:dyDescent="0.3">
      <c r="A271" s="74" t="str">
        <f t="shared" ca="1" si="56"/>
        <v>1404 to 2104</v>
      </c>
      <c r="B271" s="75"/>
      <c r="C271" s="25" t="s">
        <v>192</v>
      </c>
      <c r="D271" s="25">
        <f>(37.91+6.65)*10.764</f>
        <v>479.6438399999999</v>
      </c>
      <c r="E271" s="25">
        <v>0</v>
      </c>
      <c r="F271" s="25">
        <f t="shared" ref="F271:F276" si="60">D271*(($F$173)+1)+E271</f>
        <v>719.46575999999982</v>
      </c>
      <c r="G271" s="82"/>
      <c r="H271" s="83"/>
      <c r="I271" s="23"/>
      <c r="N271" s="2" t="str">
        <f t="shared" ca="1" si="57"/>
        <v>1404 to 2104</v>
      </c>
      <c r="O271" s="2">
        <f t="shared" ref="O271:P271" ca="1" si="61">O270+1</f>
        <v>1404</v>
      </c>
      <c r="P271" s="2">
        <f t="shared" ca="1" si="61"/>
        <v>2104</v>
      </c>
    </row>
    <row r="272" spans="1:16" s="2" customFormat="1" ht="15.75" customHeight="1" x14ac:dyDescent="0.3">
      <c r="A272" s="74" t="str">
        <f t="shared" ca="1" si="56"/>
        <v>1405 to 2105</v>
      </c>
      <c r="B272" s="75"/>
      <c r="C272" s="25" t="s">
        <v>192</v>
      </c>
      <c r="D272" s="25">
        <f>(37.91+6.65)*10.764</f>
        <v>479.6438399999999</v>
      </c>
      <c r="E272" s="25">
        <v>0</v>
      </c>
      <c r="F272" s="25">
        <f t="shared" si="60"/>
        <v>719.46575999999982</v>
      </c>
      <c r="G272" s="82"/>
      <c r="H272" s="83"/>
      <c r="I272" s="23"/>
      <c r="N272" s="2" t="str">
        <f t="shared" ca="1" si="57"/>
        <v>1405 to 2105</v>
      </c>
      <c r="O272" s="2">
        <f t="shared" ref="O272:P272" ca="1" si="62">O271+1</f>
        <v>1405</v>
      </c>
      <c r="P272" s="2">
        <f t="shared" ca="1" si="62"/>
        <v>2105</v>
      </c>
    </row>
    <row r="273" spans="1:16" s="2" customFormat="1" ht="15.75" customHeight="1" x14ac:dyDescent="0.3">
      <c r="A273" s="74" t="str">
        <f t="shared" ca="1" si="56"/>
        <v>1406 to 2106</v>
      </c>
      <c r="B273" s="75"/>
      <c r="C273" s="25" t="s">
        <v>192</v>
      </c>
      <c r="D273" s="25">
        <f>(38.41+6.9)*10.764</f>
        <v>487.71683999999993</v>
      </c>
      <c r="E273" s="25">
        <v>0</v>
      </c>
      <c r="F273" s="25">
        <f t="shared" si="60"/>
        <v>731.57525999999984</v>
      </c>
      <c r="G273" s="82"/>
      <c r="H273" s="83"/>
      <c r="I273" s="23"/>
      <c r="N273" s="2" t="str">
        <f t="shared" ca="1" si="57"/>
        <v>1406 to 2106</v>
      </c>
      <c r="O273" s="2">
        <f ca="1">O272+1</f>
        <v>1406</v>
      </c>
      <c r="P273" s="2">
        <f ca="1">P272+1</f>
        <v>2106</v>
      </c>
    </row>
    <row r="274" spans="1:16" s="2" customFormat="1" ht="15.75" customHeight="1" x14ac:dyDescent="0.3">
      <c r="A274" s="74" t="str">
        <f t="shared" ca="1" si="56"/>
        <v>1407 to 2107</v>
      </c>
      <c r="B274" s="75"/>
      <c r="C274" s="25" t="s">
        <v>193</v>
      </c>
      <c r="D274" s="25">
        <f>(55.77+13.6)*10.764</f>
        <v>746.69867999999997</v>
      </c>
      <c r="E274" s="25">
        <v>0</v>
      </c>
      <c r="F274" s="25">
        <f t="shared" si="60"/>
        <v>1120.04802</v>
      </c>
      <c r="G274" s="82"/>
      <c r="H274" s="83"/>
      <c r="I274" s="23"/>
      <c r="N274" s="2" t="str">
        <f t="shared" ca="1" si="57"/>
        <v>1407 to 2107</v>
      </c>
      <c r="O274" s="2">
        <f t="shared" ref="O274:P274" ca="1" si="63">O273+1</f>
        <v>1407</v>
      </c>
      <c r="P274" s="2">
        <f t="shared" ca="1" si="63"/>
        <v>2107</v>
      </c>
    </row>
    <row r="275" spans="1:16" s="2" customFormat="1" ht="15.75" customHeight="1" x14ac:dyDescent="0.3">
      <c r="A275" s="74" t="str">
        <f t="shared" ca="1" si="56"/>
        <v>1408 to 2108</v>
      </c>
      <c r="B275" s="75"/>
      <c r="C275" s="25" t="s">
        <v>192</v>
      </c>
      <c r="D275" s="25">
        <f>(37.91+6.65)*10.764</f>
        <v>479.6438399999999</v>
      </c>
      <c r="E275" s="25">
        <v>0</v>
      </c>
      <c r="F275" s="25">
        <f t="shared" si="60"/>
        <v>719.46575999999982</v>
      </c>
      <c r="G275" s="82"/>
      <c r="H275" s="83"/>
      <c r="I275" s="23"/>
      <c r="N275" s="2" t="str">
        <f t="shared" ca="1" si="57"/>
        <v>1408 to 2108</v>
      </c>
      <c r="O275" s="2">
        <f t="shared" ref="O275:P275" ca="1" si="64">O274+1</f>
        <v>1408</v>
      </c>
      <c r="P275" s="2">
        <f t="shared" ca="1" si="64"/>
        <v>2108</v>
      </c>
    </row>
    <row r="276" spans="1:16" s="2" customFormat="1" ht="15.75" customHeight="1" x14ac:dyDescent="0.3">
      <c r="A276" s="74" t="str">
        <f t="shared" ca="1" si="56"/>
        <v>1409 to 2109</v>
      </c>
      <c r="B276" s="75"/>
      <c r="C276" s="25" t="s">
        <v>192</v>
      </c>
      <c r="D276" s="25">
        <f>(37.91+6.65)*10.764</f>
        <v>479.6438399999999</v>
      </c>
      <c r="E276" s="25">
        <v>0</v>
      </c>
      <c r="F276" s="25">
        <f t="shared" si="60"/>
        <v>719.46575999999982</v>
      </c>
      <c r="G276" s="82"/>
      <c r="H276" s="83"/>
      <c r="I276" s="23"/>
      <c r="N276" s="2" t="str">
        <f t="shared" ca="1" si="57"/>
        <v>1409 to 2109</v>
      </c>
      <c r="O276" s="2">
        <f t="shared" ref="O276:P276" ca="1" si="65">O275+1</f>
        <v>1409</v>
      </c>
      <c r="P276" s="2">
        <f t="shared" ca="1" si="65"/>
        <v>2109</v>
      </c>
    </row>
    <row r="277" spans="1:16" s="2" customFormat="1" ht="15.75" customHeight="1" x14ac:dyDescent="0.3">
      <c r="A277" s="74" t="str">
        <f t="shared" ca="1" si="56"/>
        <v>1410 to 2110</v>
      </c>
      <c r="B277" s="75"/>
      <c r="C277" s="80" t="s">
        <v>215</v>
      </c>
      <c r="D277" s="86"/>
      <c r="E277" s="86"/>
      <c r="F277" s="81"/>
      <c r="G277" s="82"/>
      <c r="H277" s="83"/>
      <c r="I277" s="23"/>
      <c r="N277" s="2" t="str">
        <f t="shared" ca="1" si="57"/>
        <v>1410 to 2110</v>
      </c>
      <c r="O277" s="2">
        <f t="shared" ref="O277:P277" ca="1" si="66">O276+1</f>
        <v>1410</v>
      </c>
      <c r="P277" s="2">
        <f t="shared" ca="1" si="66"/>
        <v>2110</v>
      </c>
    </row>
    <row r="278" spans="1:16" s="2" customFormat="1" ht="15.75" customHeight="1" x14ac:dyDescent="0.3">
      <c r="A278" s="74" t="str">
        <f t="shared" ca="1" si="56"/>
        <v>1411 to 2111</v>
      </c>
      <c r="B278" s="75"/>
      <c r="C278" s="82"/>
      <c r="D278" s="87"/>
      <c r="E278" s="87"/>
      <c r="F278" s="83"/>
      <c r="G278" s="82"/>
      <c r="H278" s="83"/>
      <c r="I278" s="23"/>
      <c r="N278" s="2" t="str">
        <f t="shared" ca="1" si="57"/>
        <v>1411 to 2111</v>
      </c>
      <c r="O278" s="2">
        <f ca="1">O277+1</f>
        <v>1411</v>
      </c>
      <c r="P278" s="2">
        <f ca="1">P277+1</f>
        <v>2111</v>
      </c>
    </row>
    <row r="279" spans="1:16" s="2" customFormat="1" ht="15.75" customHeight="1" x14ac:dyDescent="0.3">
      <c r="A279" s="74" t="str">
        <f t="shared" ca="1" si="56"/>
        <v>1412 to 2112</v>
      </c>
      <c r="B279" s="75"/>
      <c r="C279" s="84"/>
      <c r="D279" s="88"/>
      <c r="E279" s="88"/>
      <c r="F279" s="85"/>
      <c r="G279" s="84"/>
      <c r="H279" s="85"/>
      <c r="I279" s="23"/>
      <c r="N279" s="2" t="str">
        <f t="shared" ca="1" si="57"/>
        <v>1412 to 2112</v>
      </c>
      <c r="O279" s="2">
        <f ca="1">O278+1</f>
        <v>1412</v>
      </c>
      <c r="P279" s="2">
        <f ca="1">P278+1</f>
        <v>2112</v>
      </c>
    </row>
    <row r="280" spans="1:16" s="2" customFormat="1" ht="15.75" customHeight="1" x14ac:dyDescent="0.3">
      <c r="A280" s="89" t="s">
        <v>220</v>
      </c>
      <c r="B280" s="89"/>
      <c r="C280" s="89"/>
      <c r="D280" s="89"/>
      <c r="E280" s="89"/>
      <c r="F280" s="89"/>
      <c r="G280" s="89"/>
      <c r="H280" s="89"/>
      <c r="I280" s="23"/>
    </row>
    <row r="281" spans="1:16" s="2" customFormat="1" x14ac:dyDescent="0.3">
      <c r="A281" s="89" t="s">
        <v>188</v>
      </c>
      <c r="B281" s="89"/>
      <c r="C281" s="89"/>
      <c r="D281" s="89"/>
      <c r="E281" s="89"/>
      <c r="F281" s="89"/>
      <c r="G281" s="89"/>
      <c r="H281" s="89"/>
      <c r="I281" s="23"/>
    </row>
    <row r="282" spans="1:16" s="2" customFormat="1" x14ac:dyDescent="0.3">
      <c r="A282" s="89" t="s">
        <v>189</v>
      </c>
      <c r="B282" s="89"/>
      <c r="C282" s="89"/>
      <c r="D282" s="89"/>
      <c r="E282" s="89"/>
      <c r="F282" s="89"/>
      <c r="G282" s="89"/>
      <c r="H282" s="89"/>
      <c r="I282" s="23"/>
    </row>
    <row r="283" spans="1:16" s="2" customFormat="1" x14ac:dyDescent="0.3">
      <c r="A283" s="76" t="s">
        <v>221</v>
      </c>
      <c r="B283" s="77"/>
      <c r="C283" s="77"/>
      <c r="D283" s="77"/>
      <c r="E283" s="77"/>
      <c r="F283" s="77"/>
      <c r="G283" s="77"/>
      <c r="H283" s="78"/>
      <c r="I283" s="23"/>
      <c r="L283" s="79"/>
      <c r="M283" s="79"/>
    </row>
    <row r="284" spans="1:16" s="2" customFormat="1" ht="15.75" customHeight="1" x14ac:dyDescent="0.3">
      <c r="A284" s="73">
        <v>1</v>
      </c>
      <c r="B284" s="73"/>
      <c r="C284" s="25" t="s">
        <v>193</v>
      </c>
      <c r="D284" s="25">
        <f>43.3*10.764</f>
        <v>466.08119999999997</v>
      </c>
      <c r="E284" s="25">
        <v>0</v>
      </c>
      <c r="F284" s="25">
        <f t="shared" ref="F284:F288" si="67">D284*(($F$173)+1)+E284</f>
        <v>699.12179999999989</v>
      </c>
      <c r="G284" s="80" t="str">
        <f>A283</f>
        <v>Ground Floor for Residential</v>
      </c>
      <c r="H284" s="81"/>
      <c r="I284" s="23"/>
      <c r="N284" s="23"/>
    </row>
    <row r="285" spans="1:16" s="2" customFormat="1" ht="15.75" customHeight="1" x14ac:dyDescent="0.3">
      <c r="A285" s="73">
        <f>A284+1</f>
        <v>2</v>
      </c>
      <c r="B285" s="73"/>
      <c r="C285" s="25" t="s">
        <v>192</v>
      </c>
      <c r="D285" s="25">
        <f>28.86*10.764</f>
        <v>310.64903999999996</v>
      </c>
      <c r="E285" s="25">
        <v>0</v>
      </c>
      <c r="F285" s="25">
        <f>D285*(($F$173)+1)+E285</f>
        <v>465.97355999999991</v>
      </c>
      <c r="G285" s="82"/>
      <c r="H285" s="83"/>
      <c r="I285" s="23">
        <f>2.75*3.75+3.05*2.75+2*2+1.2*2.25+0.9*1.5</f>
        <v>26.75</v>
      </c>
      <c r="N285" s="23"/>
    </row>
    <row r="286" spans="1:16" s="2" customFormat="1" ht="15.75" customHeight="1" x14ac:dyDescent="0.3">
      <c r="A286" s="73">
        <f>A285+1</f>
        <v>3</v>
      </c>
      <c r="B286" s="73"/>
      <c r="C286" s="25" t="s">
        <v>192</v>
      </c>
      <c r="D286" s="25">
        <f>28.86*10.764</f>
        <v>310.64903999999996</v>
      </c>
      <c r="E286" s="25">
        <v>0</v>
      </c>
      <c r="F286" s="25">
        <f t="shared" si="67"/>
        <v>465.97355999999991</v>
      </c>
      <c r="G286" s="82"/>
      <c r="H286" s="83"/>
      <c r="I286" s="23"/>
      <c r="N286" s="23"/>
    </row>
    <row r="287" spans="1:16" s="2" customFormat="1" ht="15.75" customHeight="1" x14ac:dyDescent="0.3">
      <c r="A287" s="73">
        <f>A286+1</f>
        <v>4</v>
      </c>
      <c r="B287" s="73"/>
      <c r="C287" s="25" t="s">
        <v>192</v>
      </c>
      <c r="D287" s="25">
        <f t="shared" ref="D287:D288" si="68">28.86*10.764</f>
        <v>310.64903999999996</v>
      </c>
      <c r="E287" s="25">
        <v>0</v>
      </c>
      <c r="F287" s="25">
        <f t="shared" si="67"/>
        <v>465.97355999999991</v>
      </c>
      <c r="G287" s="82"/>
      <c r="H287" s="83"/>
      <c r="I287" s="23"/>
      <c r="N287" s="23"/>
    </row>
    <row r="288" spans="1:16" s="2" customFormat="1" ht="15.75" customHeight="1" x14ac:dyDescent="0.3">
      <c r="A288" s="73">
        <f>A287+1</f>
        <v>5</v>
      </c>
      <c r="B288" s="73"/>
      <c r="C288" s="25" t="s">
        <v>192</v>
      </c>
      <c r="D288" s="25">
        <f t="shared" si="68"/>
        <v>310.64903999999996</v>
      </c>
      <c r="E288" s="25">
        <v>0</v>
      </c>
      <c r="F288" s="25">
        <f t="shared" si="67"/>
        <v>465.97355999999991</v>
      </c>
      <c r="G288" s="84"/>
      <c r="H288" s="85"/>
      <c r="I288" s="23"/>
      <c r="N288" s="23"/>
    </row>
    <row r="289" spans="1:16" s="2" customFormat="1" x14ac:dyDescent="0.3">
      <c r="A289" s="76" t="s">
        <v>222</v>
      </c>
      <c r="B289" s="77"/>
      <c r="C289" s="77"/>
      <c r="D289" s="77"/>
      <c r="E289" s="77"/>
      <c r="F289" s="77"/>
      <c r="G289" s="77"/>
      <c r="H289" s="78"/>
      <c r="I289" s="23"/>
    </row>
    <row r="290" spans="1:16" s="2" customFormat="1" x14ac:dyDescent="0.3">
      <c r="A290" s="74" t="str">
        <f t="shared" ref="A290:A295" ca="1" si="69">N290</f>
        <v>101 to 301</v>
      </c>
      <c r="B290" s="75"/>
      <c r="C290" s="25" t="s">
        <v>193</v>
      </c>
      <c r="D290" s="25">
        <f>47.3*10.764</f>
        <v>509.13719999999995</v>
      </c>
      <c r="E290" s="25">
        <v>0</v>
      </c>
      <c r="F290" s="25">
        <f t="shared" ref="F290:F295" si="70">D290*(($F$173)+1)+E290</f>
        <v>763.70579999999995</v>
      </c>
      <c r="G290" s="74" t="str">
        <f>A289</f>
        <v>1st to 3rd Floor</v>
      </c>
      <c r="H290" s="75"/>
      <c r="I290" s="23"/>
      <c r="N290" s="2" t="str">
        <f t="shared" ref="N290:N295" ca="1" si="71">O290&amp;""&amp;" to "&amp;""&amp;P290</f>
        <v>101 to 301</v>
      </c>
      <c r="O290" s="2">
        <f ca="1">(SUMPRODUCT(MID(0&amp;(LEFT(A289,SUM(LEN(A289)-LEN(SUBSTITUTE(A289,{"0","1","2"},""))))), LARGE(INDEX(ISNUMBER(--MID((LEFT(A289,SUM(LEN(A289)-LEN(SUBSTITUTE(A289,{"0","1","2"},""))))), ROW(INDIRECT("1:"&amp;LEN((LEFT(A289,SUM(LEN(A289)-LEN(SUBSTITUTE(A289,{"0","1","2"},"")))))))), 1)) * ROW(INDIRECT("1:"&amp;LEN((LEFT(A289,SUM(LEN(A289)-LEN(SUBSTITUTE(A289,{"0","1","2"},"")))))))), 0), ROW(INDIRECT("1:"&amp;LEN((LEFT(A289,SUM(LEN(A289)-LEN(SUBSTITUTE(A289,{"0","1","2"},"")))))))))+1, 1) * 10^ROW(INDIRECT("1:"&amp;LEN((LEFT(A289,SUM(LEN(A289)-LEN(SUBSTITUTE(A289,{"0","1","2"},""))))))))/10))*100+1</f>
        <v>101</v>
      </c>
      <c r="P290" s="2">
        <f ca="1">(SUMPRODUCT(MID(0&amp;(--TRIM(RIGHT(SUBSTITUTE(LEFT(A289,_xlfn.AGGREGATE(16,6,FIND({0,1,2,3,4,5,6,7,8,9},A289,ROW(INDIRECT("1:"&amp;LEN(A289)))),1))," ",REPT(" ",LEN(A289))),LEN(A289)))), LARGE(INDEX(ISNUMBER(--MID((--TRIM(RIGHT(SUBSTITUTE(LEFT(A289,_xlfn.AGGREGATE(16,6,FIND({0,1,2,3,4,5,6,7,8,9},A289,ROW(INDIRECT("1:"&amp;LEN(A289)))),1))," ",REPT(" ",LEN(A289))),LEN(A289)))), ROW(INDIRECT("1:"&amp;LEN((--TRIM(RIGHT(SUBSTITUTE(LEFT(A289,_xlfn.AGGREGATE(16,6,FIND({0,1,2,3,4,5,6,7,8,9},A289,ROW(INDIRECT("1:"&amp;LEN(A289)))),1))," ",REPT(" ",LEN(A289))),LEN(A289))))))), 1)) * ROW(INDIRECT("1:"&amp;LEN((--TRIM(RIGHT(SUBSTITUTE(LEFT(A289,_xlfn.AGGREGATE(16,6,FIND({0,1,2,3,4,5,6,7,8,9},A289,ROW(INDIRECT("1:"&amp;LEN(A289)))),1))," ",REPT(" ",LEN(A289))),LEN(A289))))))), 0), ROW(INDIRECT("1:"&amp;LEN((--TRIM(RIGHT(SUBSTITUTE(LEFT(A289,_xlfn.AGGREGATE(16,6,FIND({0,1,2,3,4,5,6,7,8,9},A289,ROW(INDIRECT("1:"&amp;LEN(A289)))),1))," ",REPT(" ",LEN(A289))),LEN(A289))))))))+1, 1) * 10^ROW(INDIRECT("1:"&amp;LEN((--TRIM(RIGHT(SUBSTITUTE(LEFT(A289,_xlfn.AGGREGATE(16,6,FIND({0,1,2,3,4,5,6,7,8,9},A289,ROW(INDIRECT("1:"&amp;LEN(A289)))),1))," ",REPT(" ",LEN(A289))),LEN(A289)))))))/10))*100+1</f>
        <v>301</v>
      </c>
    </row>
    <row r="291" spans="1:16" s="2" customFormat="1" x14ac:dyDescent="0.3">
      <c r="A291" s="74" t="str">
        <f t="shared" ca="1" si="69"/>
        <v>102 to 302</v>
      </c>
      <c r="B291" s="75"/>
      <c r="C291" s="25" t="s">
        <v>192</v>
      </c>
      <c r="D291" s="25">
        <f>35.5*10.764</f>
        <v>382.12199999999996</v>
      </c>
      <c r="E291" s="25">
        <v>0</v>
      </c>
      <c r="F291" s="25">
        <f t="shared" si="70"/>
        <v>573.18299999999999</v>
      </c>
      <c r="G291" s="74" t="str">
        <f>G290</f>
        <v>1st to 3rd Floor</v>
      </c>
      <c r="H291" s="75"/>
      <c r="I291" s="23"/>
      <c r="N291" s="2" t="str">
        <f t="shared" ca="1" si="71"/>
        <v>102 to 302</v>
      </c>
      <c r="O291" s="2">
        <f t="shared" ref="O291:P291" ca="1" si="72">O290+1</f>
        <v>102</v>
      </c>
      <c r="P291" s="2">
        <f t="shared" ca="1" si="72"/>
        <v>302</v>
      </c>
    </row>
    <row r="292" spans="1:16" s="2" customFormat="1" x14ac:dyDescent="0.3">
      <c r="A292" s="74" t="str">
        <f t="shared" ca="1" si="69"/>
        <v>103 to 303</v>
      </c>
      <c r="B292" s="75"/>
      <c r="C292" s="25" t="s">
        <v>192</v>
      </c>
      <c r="D292" s="25">
        <f>32.77*10.764</f>
        <v>352.73628000000002</v>
      </c>
      <c r="E292" s="25">
        <v>0</v>
      </c>
      <c r="F292" s="25">
        <f t="shared" si="70"/>
        <v>529.10442</v>
      </c>
      <c r="G292" s="74" t="str">
        <f>G291</f>
        <v>1st to 3rd Floor</v>
      </c>
      <c r="H292" s="75"/>
      <c r="I292" s="23"/>
      <c r="N292" s="2" t="str">
        <f t="shared" ca="1" si="71"/>
        <v>103 to 303</v>
      </c>
      <c r="O292" s="2">
        <f t="shared" ref="O292:P292" ca="1" si="73">O291+1</f>
        <v>103</v>
      </c>
      <c r="P292" s="2">
        <f t="shared" ca="1" si="73"/>
        <v>303</v>
      </c>
    </row>
    <row r="293" spans="1:16" s="2" customFormat="1" x14ac:dyDescent="0.3">
      <c r="A293" s="74" t="str">
        <f t="shared" ca="1" si="69"/>
        <v>104 to 304</v>
      </c>
      <c r="B293" s="75"/>
      <c r="C293" s="25" t="s">
        <v>192</v>
      </c>
      <c r="D293" s="25">
        <f>28.86*10.764</f>
        <v>310.64903999999996</v>
      </c>
      <c r="E293" s="25">
        <v>0</v>
      </c>
      <c r="F293" s="25">
        <f t="shared" si="70"/>
        <v>465.97355999999991</v>
      </c>
      <c r="G293" s="74" t="str">
        <f>G292</f>
        <v>1st to 3rd Floor</v>
      </c>
      <c r="H293" s="75"/>
      <c r="I293" s="23"/>
      <c r="N293" s="2" t="str">
        <f t="shared" ca="1" si="71"/>
        <v>104 to 304</v>
      </c>
      <c r="O293" s="2">
        <f t="shared" ref="O293:P293" ca="1" si="74">O292+1</f>
        <v>104</v>
      </c>
      <c r="P293" s="2">
        <f t="shared" ca="1" si="74"/>
        <v>304</v>
      </c>
    </row>
    <row r="294" spans="1:16" s="2" customFormat="1" x14ac:dyDescent="0.3">
      <c r="A294" s="74" t="str">
        <f t="shared" ca="1" si="69"/>
        <v>105 to 305</v>
      </c>
      <c r="B294" s="75"/>
      <c r="C294" s="25" t="s">
        <v>192</v>
      </c>
      <c r="D294" s="25">
        <f>28.86*10.764</f>
        <v>310.64903999999996</v>
      </c>
      <c r="E294" s="25">
        <v>0</v>
      </c>
      <c r="F294" s="25">
        <f t="shared" si="70"/>
        <v>465.97355999999991</v>
      </c>
      <c r="G294" s="74" t="str">
        <f>G293</f>
        <v>1st to 3rd Floor</v>
      </c>
      <c r="H294" s="75"/>
      <c r="I294" s="23"/>
      <c r="N294" s="2" t="str">
        <f t="shared" ca="1" si="71"/>
        <v>105 to 305</v>
      </c>
      <c r="O294" s="2">
        <f t="shared" ref="O294:P294" ca="1" si="75">O293+1</f>
        <v>105</v>
      </c>
      <c r="P294" s="2">
        <f t="shared" ca="1" si="75"/>
        <v>305</v>
      </c>
    </row>
    <row r="295" spans="1:16" s="2" customFormat="1" x14ac:dyDescent="0.3">
      <c r="A295" s="74" t="str">
        <f t="shared" ca="1" si="69"/>
        <v>106 to 306</v>
      </c>
      <c r="B295" s="75"/>
      <c r="C295" s="25" t="s">
        <v>193</v>
      </c>
      <c r="D295" s="25">
        <f>43.31*10.764</f>
        <v>466.18883999999997</v>
      </c>
      <c r="E295" s="25">
        <v>0</v>
      </c>
      <c r="F295" s="25">
        <f t="shared" si="70"/>
        <v>699.28325999999993</v>
      </c>
      <c r="G295" s="74" t="str">
        <f>G294</f>
        <v>1st to 3rd Floor</v>
      </c>
      <c r="H295" s="75"/>
      <c r="I295" s="23"/>
      <c r="N295" s="2" t="str">
        <f t="shared" ca="1" si="71"/>
        <v>106 to 306</v>
      </c>
      <c r="O295" s="2">
        <f ca="1">O294+1</f>
        <v>106</v>
      </c>
      <c r="P295" s="2">
        <f ca="1">P294+1</f>
        <v>306</v>
      </c>
    </row>
    <row r="296" spans="1:16" s="2" customFormat="1" x14ac:dyDescent="0.3">
      <c r="A296" s="76" t="s">
        <v>194</v>
      </c>
      <c r="B296" s="77"/>
      <c r="C296" s="77"/>
      <c r="D296" s="77"/>
      <c r="E296" s="77"/>
      <c r="F296" s="77"/>
      <c r="G296" s="77"/>
      <c r="H296" s="78"/>
      <c r="I296" s="23"/>
      <c r="L296" s="79"/>
      <c r="M296" s="79"/>
    </row>
    <row r="297" spans="1:16" s="2" customFormat="1" x14ac:dyDescent="0.3">
      <c r="A297" s="73">
        <f>LEFT(A296,SUM(LEN(A296)-LEN(SUBSTITUTE(A296,{"0","1","2","3","4","5","6","7","8","9"},""))))*100+1</f>
        <v>401</v>
      </c>
      <c r="B297" s="73"/>
      <c r="C297" s="25" t="s">
        <v>193</v>
      </c>
      <c r="D297" s="25">
        <f>47.3*10.764</f>
        <v>509.13719999999995</v>
      </c>
      <c r="E297" s="25">
        <v>0</v>
      </c>
      <c r="F297" s="25">
        <f t="shared" ref="F297:F302" si="76">D297*(($F$173)+1)+E297</f>
        <v>763.70579999999995</v>
      </c>
      <c r="G297" s="73" t="str">
        <f>A296</f>
        <v>4th Floor</v>
      </c>
      <c r="H297" s="73"/>
      <c r="I297" s="23"/>
      <c r="N297" s="23"/>
    </row>
    <row r="298" spans="1:16" s="2" customFormat="1" x14ac:dyDescent="0.3">
      <c r="A298" s="73">
        <f>A297+1</f>
        <v>402</v>
      </c>
      <c r="B298" s="73"/>
      <c r="C298" s="25" t="s">
        <v>192</v>
      </c>
      <c r="D298" s="25">
        <f>35.5*10.764</f>
        <v>382.12199999999996</v>
      </c>
      <c r="E298" s="25">
        <v>0</v>
      </c>
      <c r="F298" s="25">
        <f t="shared" si="76"/>
        <v>573.18299999999999</v>
      </c>
      <c r="G298" s="73" t="str">
        <f>G297</f>
        <v>4th Floor</v>
      </c>
      <c r="H298" s="73"/>
      <c r="I298" s="23"/>
      <c r="N298" s="23"/>
    </row>
    <row r="299" spans="1:16" s="2" customFormat="1" x14ac:dyDescent="0.3">
      <c r="A299" s="73">
        <f>A298+1</f>
        <v>403</v>
      </c>
      <c r="B299" s="73"/>
      <c r="C299" s="25" t="s">
        <v>192</v>
      </c>
      <c r="D299" s="25">
        <f>32.77*10.764</f>
        <v>352.73628000000002</v>
      </c>
      <c r="E299" s="25">
        <v>0</v>
      </c>
      <c r="F299" s="25">
        <f t="shared" si="76"/>
        <v>529.10442</v>
      </c>
      <c r="G299" s="73" t="str">
        <f>G298</f>
        <v>4th Floor</v>
      </c>
      <c r="H299" s="73"/>
      <c r="I299" s="23"/>
      <c r="N299" s="23"/>
    </row>
    <row r="300" spans="1:16" s="2" customFormat="1" x14ac:dyDescent="0.3">
      <c r="A300" s="73">
        <f>A299+1</f>
        <v>404</v>
      </c>
      <c r="B300" s="73"/>
      <c r="C300" s="25" t="s">
        <v>192</v>
      </c>
      <c r="D300" s="25">
        <f>28.86*10.764</f>
        <v>310.64903999999996</v>
      </c>
      <c r="E300" s="25">
        <v>0</v>
      </c>
      <c r="F300" s="25">
        <f t="shared" si="76"/>
        <v>465.97355999999991</v>
      </c>
      <c r="G300" s="73" t="str">
        <f>G299</f>
        <v>4th Floor</v>
      </c>
      <c r="H300" s="73"/>
      <c r="I300" s="23"/>
      <c r="N300" s="23"/>
    </row>
    <row r="301" spans="1:16" s="2" customFormat="1" x14ac:dyDescent="0.3">
      <c r="A301" s="73">
        <f>A300+1</f>
        <v>405</v>
      </c>
      <c r="B301" s="73"/>
      <c r="C301" s="25" t="s">
        <v>192</v>
      </c>
      <c r="D301" s="25">
        <f>28.86*10.764</f>
        <v>310.64903999999996</v>
      </c>
      <c r="E301" s="25">
        <v>0</v>
      </c>
      <c r="F301" s="25">
        <f t="shared" si="76"/>
        <v>465.97355999999991</v>
      </c>
      <c r="G301" s="73" t="str">
        <f>G300</f>
        <v>4th Floor</v>
      </c>
      <c r="H301" s="73"/>
      <c r="I301" s="23"/>
      <c r="N301" s="23"/>
    </row>
    <row r="302" spans="1:16" s="2" customFormat="1" x14ac:dyDescent="0.3">
      <c r="A302" s="73">
        <f>A301+1</f>
        <v>406</v>
      </c>
      <c r="B302" s="73"/>
      <c r="C302" s="25" t="s">
        <v>193</v>
      </c>
      <c r="D302" s="25">
        <f>43.31*10.764</f>
        <v>466.18883999999997</v>
      </c>
      <c r="E302" s="25">
        <v>0</v>
      </c>
      <c r="F302" s="25">
        <f t="shared" si="76"/>
        <v>699.28325999999993</v>
      </c>
      <c r="G302" s="73" t="str">
        <f>G301</f>
        <v>4th Floor</v>
      </c>
      <c r="H302" s="73"/>
      <c r="I302" s="23"/>
      <c r="N302" s="23"/>
    </row>
    <row r="303" spans="1:16" s="2" customFormat="1" x14ac:dyDescent="0.3">
      <c r="A303" s="76" t="s">
        <v>223</v>
      </c>
      <c r="B303" s="77"/>
      <c r="C303" s="77"/>
      <c r="D303" s="77"/>
      <c r="E303" s="77"/>
      <c r="F303" s="77"/>
      <c r="G303" s="77"/>
      <c r="H303" s="78"/>
      <c r="I303" s="23"/>
      <c r="L303" s="79"/>
      <c r="M303" s="79"/>
    </row>
    <row r="304" spans="1:16" s="2" customFormat="1" x14ac:dyDescent="0.3">
      <c r="A304" s="73">
        <f>LEFT(A303,SUM(LEN(A303)-LEN(SUBSTITUTE(A303,{"0","1","2","3","4","5","6","7","8","9"},""))))*100+1</f>
        <v>501</v>
      </c>
      <c r="B304" s="73"/>
      <c r="C304" s="25" t="s">
        <v>193</v>
      </c>
      <c r="D304" s="25">
        <f>50.39*10.764</f>
        <v>542.39796000000001</v>
      </c>
      <c r="E304" s="25">
        <v>0</v>
      </c>
      <c r="F304" s="25">
        <f t="shared" ref="F304:F309" si="77">D304*(($F$173)+1)+E304</f>
        <v>813.59694000000002</v>
      </c>
      <c r="G304" s="73" t="str">
        <f>A303</f>
        <v>5th Floor</v>
      </c>
      <c r="H304" s="73"/>
      <c r="I304" s="23"/>
      <c r="N304" s="23"/>
    </row>
    <row r="305" spans="1:14" s="2" customFormat="1" x14ac:dyDescent="0.3">
      <c r="A305" s="73">
        <f>A304+1</f>
        <v>502</v>
      </c>
      <c r="B305" s="73"/>
      <c r="C305" s="25" t="s">
        <v>192</v>
      </c>
      <c r="D305" s="25">
        <f>35.7*10.764</f>
        <v>384.27480000000003</v>
      </c>
      <c r="E305" s="25">
        <v>0</v>
      </c>
      <c r="F305" s="25">
        <f t="shared" si="77"/>
        <v>576.41219999999998</v>
      </c>
      <c r="G305" s="73" t="str">
        <f>G304</f>
        <v>5th Floor</v>
      </c>
      <c r="H305" s="73"/>
      <c r="I305" s="23"/>
      <c r="N305" s="23"/>
    </row>
    <row r="306" spans="1:14" s="2" customFormat="1" x14ac:dyDescent="0.3">
      <c r="A306" s="73">
        <f>A305+1</f>
        <v>503</v>
      </c>
      <c r="B306" s="73"/>
      <c r="C306" s="25" t="s">
        <v>192</v>
      </c>
      <c r="D306" s="25">
        <f>32.77*10.764</f>
        <v>352.73628000000002</v>
      </c>
      <c r="E306" s="25">
        <v>0</v>
      </c>
      <c r="F306" s="25">
        <f t="shared" si="77"/>
        <v>529.10442</v>
      </c>
      <c r="G306" s="73" t="str">
        <f>G305</f>
        <v>5th Floor</v>
      </c>
      <c r="H306" s="73"/>
      <c r="I306" s="23"/>
      <c r="N306" s="23"/>
    </row>
    <row r="307" spans="1:14" s="2" customFormat="1" x14ac:dyDescent="0.3">
      <c r="A307" s="73">
        <f>A306+1</f>
        <v>504</v>
      </c>
      <c r="B307" s="73"/>
      <c r="C307" s="25" t="s">
        <v>192</v>
      </c>
      <c r="D307" s="25">
        <f>28.86*10.764</f>
        <v>310.64903999999996</v>
      </c>
      <c r="E307" s="25">
        <v>0</v>
      </c>
      <c r="F307" s="25">
        <f t="shared" si="77"/>
        <v>465.97355999999991</v>
      </c>
      <c r="G307" s="73" t="str">
        <f>G306</f>
        <v>5th Floor</v>
      </c>
      <c r="H307" s="73"/>
      <c r="I307" s="23"/>
      <c r="N307" s="23"/>
    </row>
    <row r="308" spans="1:14" s="2" customFormat="1" x14ac:dyDescent="0.3">
      <c r="A308" s="73">
        <f>A307+1</f>
        <v>505</v>
      </c>
      <c r="B308" s="73"/>
      <c r="C308" s="25" t="s">
        <v>192</v>
      </c>
      <c r="D308" s="25">
        <f>28.86*10.764</f>
        <v>310.64903999999996</v>
      </c>
      <c r="E308" s="25">
        <v>0</v>
      </c>
      <c r="F308" s="25">
        <f t="shared" si="77"/>
        <v>465.97355999999991</v>
      </c>
      <c r="G308" s="73" t="str">
        <f>G307</f>
        <v>5th Floor</v>
      </c>
      <c r="H308" s="73"/>
      <c r="I308" s="23"/>
      <c r="N308" s="23"/>
    </row>
    <row r="309" spans="1:14" s="2" customFormat="1" x14ac:dyDescent="0.3">
      <c r="A309" s="73">
        <f>A308+1</f>
        <v>506</v>
      </c>
      <c r="B309" s="73"/>
      <c r="C309" s="25" t="s">
        <v>193</v>
      </c>
      <c r="D309" s="25">
        <f>43.31*10.764</f>
        <v>466.18883999999997</v>
      </c>
      <c r="E309" s="25">
        <v>0</v>
      </c>
      <c r="F309" s="25">
        <f t="shared" si="77"/>
        <v>699.28325999999993</v>
      </c>
      <c r="G309" s="73" t="str">
        <f>G308</f>
        <v>5th Floor</v>
      </c>
      <c r="H309" s="73"/>
      <c r="I309" s="23"/>
      <c r="N309" s="23"/>
    </row>
    <row r="310" spans="1:14" s="2" customFormat="1" x14ac:dyDescent="0.3">
      <c r="A310" s="76" t="s">
        <v>224</v>
      </c>
      <c r="B310" s="77"/>
      <c r="C310" s="77"/>
      <c r="D310" s="77"/>
      <c r="E310" s="77"/>
      <c r="F310" s="77"/>
      <c r="G310" s="77"/>
      <c r="H310" s="78"/>
      <c r="I310" s="23"/>
      <c r="L310" s="79"/>
      <c r="M310" s="79"/>
    </row>
    <row r="311" spans="1:14" s="2" customFormat="1" x14ac:dyDescent="0.3">
      <c r="A311" s="73">
        <f>LEFT(A310,SUM(LEN(A310)-LEN(SUBSTITUTE(A310,{"0","1","2","3","4","5","6","7","8","9"},""))))*100+1</f>
        <v>601</v>
      </c>
      <c r="B311" s="73"/>
      <c r="C311" s="25" t="s">
        <v>193</v>
      </c>
      <c r="D311" s="25">
        <f>50.39*10.764</f>
        <v>542.39796000000001</v>
      </c>
      <c r="E311" s="25">
        <v>0</v>
      </c>
      <c r="F311" s="25">
        <f t="shared" ref="F311:F316" si="78">D311*(($F$173)+1)+E311</f>
        <v>813.59694000000002</v>
      </c>
      <c r="G311" s="73" t="str">
        <f>A310</f>
        <v>6th Floor</v>
      </c>
      <c r="H311" s="73"/>
      <c r="I311" s="23"/>
      <c r="N311" s="23"/>
    </row>
    <row r="312" spans="1:14" s="2" customFormat="1" x14ac:dyDescent="0.3">
      <c r="A312" s="73">
        <f>A311+1</f>
        <v>602</v>
      </c>
      <c r="B312" s="73"/>
      <c r="C312" s="25" t="s">
        <v>192</v>
      </c>
      <c r="D312" s="25">
        <f>35.7*10.764</f>
        <v>384.27480000000003</v>
      </c>
      <c r="E312" s="25">
        <v>0</v>
      </c>
      <c r="F312" s="25">
        <f t="shared" si="78"/>
        <v>576.41219999999998</v>
      </c>
      <c r="G312" s="73" t="str">
        <f>G311</f>
        <v>6th Floor</v>
      </c>
      <c r="H312" s="73"/>
      <c r="I312" s="23"/>
      <c r="N312" s="23"/>
    </row>
    <row r="313" spans="1:14" s="2" customFormat="1" x14ac:dyDescent="0.3">
      <c r="A313" s="73">
        <f>A312+1</f>
        <v>603</v>
      </c>
      <c r="B313" s="73"/>
      <c r="C313" s="25" t="s">
        <v>192</v>
      </c>
      <c r="D313" s="25">
        <f>32.77*10.764</f>
        <v>352.73628000000002</v>
      </c>
      <c r="E313" s="25">
        <v>0</v>
      </c>
      <c r="F313" s="25">
        <f t="shared" si="78"/>
        <v>529.10442</v>
      </c>
      <c r="G313" s="73" t="str">
        <f>G312</f>
        <v>6th Floor</v>
      </c>
      <c r="H313" s="73"/>
      <c r="I313" s="23"/>
      <c r="N313" s="23"/>
    </row>
    <row r="314" spans="1:14" s="2" customFormat="1" x14ac:dyDescent="0.3">
      <c r="A314" s="73">
        <f>A313+1</f>
        <v>604</v>
      </c>
      <c r="B314" s="73"/>
      <c r="C314" s="25" t="s">
        <v>192</v>
      </c>
      <c r="D314" s="25">
        <f t="shared" ref="D314:D315" si="79">32.77*10.764</f>
        <v>352.73628000000002</v>
      </c>
      <c r="E314" s="25">
        <v>0</v>
      </c>
      <c r="F314" s="25">
        <f t="shared" si="78"/>
        <v>529.10442</v>
      </c>
      <c r="G314" s="73" t="str">
        <f>G313</f>
        <v>6th Floor</v>
      </c>
      <c r="H314" s="73"/>
      <c r="I314" s="23"/>
      <c r="N314" s="23"/>
    </row>
    <row r="315" spans="1:14" s="2" customFormat="1" x14ac:dyDescent="0.3">
      <c r="A315" s="73">
        <f>A314+1</f>
        <v>605</v>
      </c>
      <c r="B315" s="73"/>
      <c r="C315" s="25" t="s">
        <v>192</v>
      </c>
      <c r="D315" s="25">
        <f t="shared" si="79"/>
        <v>352.73628000000002</v>
      </c>
      <c r="E315" s="25">
        <v>0</v>
      </c>
      <c r="F315" s="25">
        <f t="shared" si="78"/>
        <v>529.10442</v>
      </c>
      <c r="G315" s="73" t="str">
        <f>G314</f>
        <v>6th Floor</v>
      </c>
      <c r="H315" s="73"/>
      <c r="I315" s="23"/>
      <c r="N315" s="23"/>
    </row>
    <row r="316" spans="1:14" s="2" customFormat="1" x14ac:dyDescent="0.3">
      <c r="A316" s="73">
        <f>A315+1</f>
        <v>606</v>
      </c>
      <c r="B316" s="73"/>
      <c r="C316" s="25" t="s">
        <v>193</v>
      </c>
      <c r="D316" s="25">
        <f>43.31*10.764</f>
        <v>466.18883999999997</v>
      </c>
      <c r="E316" s="25">
        <v>0</v>
      </c>
      <c r="F316" s="25">
        <f t="shared" si="78"/>
        <v>699.28325999999993</v>
      </c>
      <c r="G316" s="73" t="str">
        <f>G315</f>
        <v>6th Floor</v>
      </c>
      <c r="H316" s="73"/>
      <c r="I316" s="23"/>
      <c r="N316" s="23"/>
    </row>
    <row r="317" spans="1:14" s="2" customFormat="1" x14ac:dyDescent="0.3">
      <c r="A317" s="76" t="s">
        <v>225</v>
      </c>
      <c r="B317" s="77"/>
      <c r="C317" s="77"/>
      <c r="D317" s="77"/>
      <c r="E317" s="77"/>
      <c r="F317" s="77"/>
      <c r="G317" s="77"/>
      <c r="H317" s="78"/>
      <c r="I317" s="23"/>
      <c r="L317" s="79"/>
      <c r="M317" s="79"/>
    </row>
    <row r="318" spans="1:14" s="2" customFormat="1" x14ac:dyDescent="0.3">
      <c r="A318" s="73">
        <v>701</v>
      </c>
      <c r="B318" s="73">
        <v>701</v>
      </c>
      <c r="C318" s="50" t="s">
        <v>192</v>
      </c>
      <c r="D318" s="50">
        <f>(42.7+2.34)*10.764</f>
        <v>484.81056000000001</v>
      </c>
      <c r="E318" s="25">
        <v>0</v>
      </c>
      <c r="F318" s="25">
        <f t="shared" ref="F318:F323" si="80">D318*(($F$173)+1)+E318</f>
        <v>727.21584000000007</v>
      </c>
      <c r="G318" s="73" t="str">
        <f>A317</f>
        <v>7th Floor</v>
      </c>
      <c r="H318" s="73"/>
      <c r="I318" s="23"/>
      <c r="N318" s="23"/>
    </row>
    <row r="319" spans="1:14" s="2" customFormat="1" x14ac:dyDescent="0.3">
      <c r="A319" s="73" t="s">
        <v>226</v>
      </c>
      <c r="B319" s="73" t="s">
        <v>226</v>
      </c>
      <c r="C319" s="50" t="s">
        <v>192</v>
      </c>
      <c r="D319" s="50">
        <f>(2.75*4.61+3.05*3.7+2.75*3.9+2.75*1+2.75*1.5+1.2*2.25+1.2*1)*10.764</f>
        <v>489.35835000000003</v>
      </c>
      <c r="E319" s="25">
        <v>0</v>
      </c>
      <c r="F319" s="25">
        <f t="shared" si="80"/>
        <v>734.03752500000007</v>
      </c>
      <c r="G319" s="73" t="str">
        <f>G318</f>
        <v>7th Floor</v>
      </c>
      <c r="H319" s="73"/>
      <c r="I319" s="23"/>
      <c r="N319" s="23"/>
    </row>
    <row r="320" spans="1:14" s="2" customFormat="1" x14ac:dyDescent="0.3">
      <c r="A320" s="73">
        <v>702</v>
      </c>
      <c r="B320" s="73">
        <v>703</v>
      </c>
      <c r="C320" s="50" t="s">
        <v>192</v>
      </c>
      <c r="D320" s="50">
        <f>(31.79+3.71)*10.764</f>
        <v>382.12199999999996</v>
      </c>
      <c r="E320" s="25">
        <v>0</v>
      </c>
      <c r="F320" s="25">
        <f t="shared" si="80"/>
        <v>573.18299999999999</v>
      </c>
      <c r="G320" s="73" t="str">
        <f>G319</f>
        <v>7th Floor</v>
      </c>
      <c r="H320" s="73"/>
      <c r="I320" s="23"/>
      <c r="N320" s="23"/>
    </row>
    <row r="321" spans="1:16" s="2" customFormat="1" x14ac:dyDescent="0.3">
      <c r="A321" s="73">
        <v>703</v>
      </c>
      <c r="B321" s="73">
        <v>704</v>
      </c>
      <c r="C321" s="50" t="s">
        <v>192</v>
      </c>
      <c r="D321" s="50">
        <f>32.77*10.764</f>
        <v>352.73628000000002</v>
      </c>
      <c r="E321" s="25">
        <v>0</v>
      </c>
      <c r="F321" s="25">
        <f t="shared" si="80"/>
        <v>529.10442</v>
      </c>
      <c r="G321" s="73" t="str">
        <f>G320</f>
        <v>7th Floor</v>
      </c>
      <c r="H321" s="73"/>
      <c r="I321" s="23"/>
      <c r="N321" s="23"/>
    </row>
    <row r="322" spans="1:16" s="2" customFormat="1" x14ac:dyDescent="0.3">
      <c r="A322" s="73">
        <v>704</v>
      </c>
      <c r="B322" s="73">
        <v>705</v>
      </c>
      <c r="C322" s="50" t="s">
        <v>192</v>
      </c>
      <c r="D322" s="50">
        <f>32.77*10.764</f>
        <v>352.73628000000002</v>
      </c>
      <c r="E322" s="25">
        <v>0</v>
      </c>
      <c r="F322" s="25">
        <f t="shared" si="80"/>
        <v>529.10442</v>
      </c>
      <c r="G322" s="73" t="str">
        <f>G321</f>
        <v>7th Floor</v>
      </c>
      <c r="H322" s="73"/>
      <c r="I322" s="23"/>
      <c r="N322" s="23"/>
    </row>
    <row r="323" spans="1:16" s="2" customFormat="1" x14ac:dyDescent="0.3">
      <c r="A323" s="73">
        <v>705</v>
      </c>
      <c r="B323" s="73">
        <v>706</v>
      </c>
      <c r="C323" s="50" t="s">
        <v>193</v>
      </c>
      <c r="D323" s="50">
        <f>45.45*10.764</f>
        <v>489.22379999999998</v>
      </c>
      <c r="E323" s="25">
        <v>0</v>
      </c>
      <c r="F323" s="25">
        <f t="shared" si="80"/>
        <v>733.83569999999997</v>
      </c>
      <c r="G323" s="73" t="str">
        <f>G322</f>
        <v>7th Floor</v>
      </c>
      <c r="H323" s="73"/>
      <c r="I323" s="23"/>
      <c r="N323" s="23"/>
    </row>
    <row r="324" spans="1:16" s="2" customFormat="1" x14ac:dyDescent="0.3">
      <c r="A324" s="89" t="s">
        <v>190</v>
      </c>
      <c r="B324" s="89"/>
      <c r="C324" s="89"/>
      <c r="D324" s="89"/>
      <c r="E324" s="89"/>
      <c r="F324" s="89"/>
      <c r="G324" s="89"/>
      <c r="H324" s="89"/>
      <c r="I324" s="23"/>
    </row>
    <row r="325" spans="1:16" s="2" customFormat="1" x14ac:dyDescent="0.3">
      <c r="A325" s="76" t="s">
        <v>221</v>
      </c>
      <c r="B325" s="77"/>
      <c r="C325" s="77"/>
      <c r="D325" s="77"/>
      <c r="E325" s="77"/>
      <c r="F325" s="77"/>
      <c r="G325" s="77"/>
      <c r="H325" s="78"/>
      <c r="I325" s="23"/>
      <c r="L325" s="79"/>
      <c r="M325" s="79"/>
    </row>
    <row r="326" spans="1:16" s="2" customFormat="1" x14ac:dyDescent="0.3">
      <c r="A326" s="73">
        <v>1</v>
      </c>
      <c r="B326" s="73"/>
      <c r="C326" s="25" t="s">
        <v>193</v>
      </c>
      <c r="D326" s="25">
        <f>43.37*10.764</f>
        <v>466.83467999999993</v>
      </c>
      <c r="E326" s="25">
        <v>0</v>
      </c>
      <c r="F326" s="25">
        <f t="shared" ref="F326:F328" si="81">D326*(($F$173)+1)+E326</f>
        <v>700.2520199999999</v>
      </c>
      <c r="G326" s="73" t="str">
        <f>A325</f>
        <v>Ground Floor for Residential</v>
      </c>
      <c r="H326" s="73"/>
      <c r="I326" s="23"/>
      <c r="N326" s="23"/>
    </row>
    <row r="327" spans="1:16" s="2" customFormat="1" x14ac:dyDescent="0.3">
      <c r="A327" s="73">
        <f>A326+1</f>
        <v>2</v>
      </c>
      <c r="B327" s="73"/>
      <c r="C327" s="25" t="s">
        <v>192</v>
      </c>
      <c r="D327" s="25">
        <f>28.86*10.764</f>
        <v>310.64903999999996</v>
      </c>
      <c r="E327" s="25">
        <v>0</v>
      </c>
      <c r="F327" s="25">
        <f t="shared" si="81"/>
        <v>465.97355999999991</v>
      </c>
      <c r="G327" s="73" t="str">
        <f>G326</f>
        <v>Ground Floor for Residential</v>
      </c>
      <c r="H327" s="73"/>
      <c r="I327" s="23"/>
      <c r="N327" s="23"/>
    </row>
    <row r="328" spans="1:16" s="2" customFormat="1" x14ac:dyDescent="0.3">
      <c r="A328" s="73">
        <f>A327+1</f>
        <v>3</v>
      </c>
      <c r="B328" s="73"/>
      <c r="C328" s="50" t="s">
        <v>193</v>
      </c>
      <c r="D328" s="50">
        <f>40.6*10.764</f>
        <v>437.01839999999999</v>
      </c>
      <c r="E328" s="25">
        <v>0</v>
      </c>
      <c r="F328" s="25">
        <f t="shared" si="81"/>
        <v>655.52760000000001</v>
      </c>
      <c r="G328" s="73" t="str">
        <f>G327</f>
        <v>Ground Floor for Residential</v>
      </c>
      <c r="H328" s="73"/>
      <c r="I328" s="23"/>
      <c r="N328" s="23"/>
    </row>
    <row r="329" spans="1:16" s="2" customFormat="1" x14ac:dyDescent="0.3">
      <c r="A329" s="76" t="s">
        <v>222</v>
      </c>
      <c r="B329" s="77"/>
      <c r="C329" s="77"/>
      <c r="D329" s="77"/>
      <c r="E329" s="77"/>
      <c r="F329" s="77"/>
      <c r="G329" s="77"/>
      <c r="H329" s="78"/>
      <c r="I329" s="23"/>
    </row>
    <row r="330" spans="1:16" s="2" customFormat="1" x14ac:dyDescent="0.3">
      <c r="A330" s="74" t="str">
        <f t="shared" ref="A330:A333" ca="1" si="82">N330</f>
        <v>101 to 301</v>
      </c>
      <c r="B330" s="75"/>
      <c r="C330" s="25" t="s">
        <v>193</v>
      </c>
      <c r="D330" s="25">
        <f>43.97*10.764</f>
        <v>473.29307999999997</v>
      </c>
      <c r="E330" s="25">
        <v>0</v>
      </c>
      <c r="F330" s="25">
        <f t="shared" ref="F330:F333" si="83">D330*(($F$173)+1)+E330</f>
        <v>709.93961999999999</v>
      </c>
      <c r="G330" s="74" t="str">
        <f>A329</f>
        <v>1st to 3rd Floor</v>
      </c>
      <c r="H330" s="75"/>
      <c r="I330" s="23"/>
      <c r="N330" s="2" t="str">
        <f t="shared" ref="N330:N333" ca="1" si="84">O330&amp;""&amp;" to "&amp;""&amp;P330</f>
        <v>101 to 301</v>
      </c>
      <c r="O330" s="2">
        <f ca="1">(SUMPRODUCT(MID(0&amp;(LEFT(A329,SUM(LEN(A329)-LEN(SUBSTITUTE(A329,{"0","1","2"},""))))), LARGE(INDEX(ISNUMBER(--MID((LEFT(A329,SUM(LEN(A329)-LEN(SUBSTITUTE(A329,{"0","1","2"},""))))), ROW(INDIRECT("1:"&amp;LEN((LEFT(A329,SUM(LEN(A329)-LEN(SUBSTITUTE(A329,{"0","1","2"},"")))))))), 1)) * ROW(INDIRECT("1:"&amp;LEN((LEFT(A329,SUM(LEN(A329)-LEN(SUBSTITUTE(A329,{"0","1","2"},"")))))))), 0), ROW(INDIRECT("1:"&amp;LEN((LEFT(A329,SUM(LEN(A329)-LEN(SUBSTITUTE(A329,{"0","1","2"},"")))))))))+1, 1) * 10^ROW(INDIRECT("1:"&amp;LEN((LEFT(A329,SUM(LEN(A329)-LEN(SUBSTITUTE(A329,{"0","1","2"},""))))))))/10))*100+1</f>
        <v>101</v>
      </c>
      <c r="P330" s="2">
        <f ca="1">(SUMPRODUCT(MID(0&amp;(--TRIM(RIGHT(SUBSTITUTE(LEFT(A329,_xlfn.AGGREGATE(16,6,FIND({0,1,2,3,4,5,6,7,8,9},A329,ROW(INDIRECT("1:"&amp;LEN(A329)))),1))," ",REPT(" ",LEN(A329))),LEN(A329)))), LARGE(INDEX(ISNUMBER(--MID((--TRIM(RIGHT(SUBSTITUTE(LEFT(A329,_xlfn.AGGREGATE(16,6,FIND({0,1,2,3,4,5,6,7,8,9},A329,ROW(INDIRECT("1:"&amp;LEN(A329)))),1))," ",REPT(" ",LEN(A329))),LEN(A329)))), ROW(INDIRECT("1:"&amp;LEN((--TRIM(RIGHT(SUBSTITUTE(LEFT(A329,_xlfn.AGGREGATE(16,6,FIND({0,1,2,3,4,5,6,7,8,9},A329,ROW(INDIRECT("1:"&amp;LEN(A329)))),1))," ",REPT(" ",LEN(A329))),LEN(A329))))))), 1)) * ROW(INDIRECT("1:"&amp;LEN((--TRIM(RIGHT(SUBSTITUTE(LEFT(A329,_xlfn.AGGREGATE(16,6,FIND({0,1,2,3,4,5,6,7,8,9},A329,ROW(INDIRECT("1:"&amp;LEN(A329)))),1))," ",REPT(" ",LEN(A329))),LEN(A329))))))), 0), ROW(INDIRECT("1:"&amp;LEN((--TRIM(RIGHT(SUBSTITUTE(LEFT(A329,_xlfn.AGGREGATE(16,6,FIND({0,1,2,3,4,5,6,7,8,9},A329,ROW(INDIRECT("1:"&amp;LEN(A329)))),1))," ",REPT(" ",LEN(A329))),LEN(A329))))))))+1, 1) * 10^ROW(INDIRECT("1:"&amp;LEN((--TRIM(RIGHT(SUBSTITUTE(LEFT(A329,_xlfn.AGGREGATE(16,6,FIND({0,1,2,3,4,5,6,7,8,9},A329,ROW(INDIRECT("1:"&amp;LEN(A329)))),1))," ",REPT(" ",LEN(A329))),LEN(A329)))))))/10))*100+1</f>
        <v>301</v>
      </c>
    </row>
    <row r="331" spans="1:16" s="2" customFormat="1" x14ac:dyDescent="0.3">
      <c r="A331" s="74" t="str">
        <f t="shared" ca="1" si="82"/>
        <v>102 to 302</v>
      </c>
      <c r="B331" s="75"/>
      <c r="C331" s="25" t="s">
        <v>192</v>
      </c>
      <c r="D331" s="25">
        <f>28.86*10.764</f>
        <v>310.64903999999996</v>
      </c>
      <c r="E331" s="25">
        <v>0</v>
      </c>
      <c r="F331" s="25">
        <f t="shared" si="83"/>
        <v>465.97355999999991</v>
      </c>
      <c r="G331" s="74" t="str">
        <f>G330</f>
        <v>1st to 3rd Floor</v>
      </c>
      <c r="H331" s="75"/>
      <c r="I331" s="23"/>
      <c r="N331" s="2" t="str">
        <f t="shared" ca="1" si="84"/>
        <v>102 to 302</v>
      </c>
      <c r="O331" s="2">
        <f t="shared" ref="O331:P331" ca="1" si="85">O330+1</f>
        <v>102</v>
      </c>
      <c r="P331" s="2">
        <f t="shared" ca="1" si="85"/>
        <v>302</v>
      </c>
    </row>
    <row r="332" spans="1:16" s="2" customFormat="1" x14ac:dyDescent="0.3">
      <c r="A332" s="74" t="str">
        <f t="shared" ca="1" si="82"/>
        <v>103 to 303</v>
      </c>
      <c r="B332" s="75"/>
      <c r="C332" s="25" t="s">
        <v>192</v>
      </c>
      <c r="D332" s="25">
        <f>28.86*10.764</f>
        <v>310.64903999999996</v>
      </c>
      <c r="E332" s="25">
        <v>0</v>
      </c>
      <c r="F332" s="25">
        <f t="shared" si="83"/>
        <v>465.97355999999991</v>
      </c>
      <c r="G332" s="74" t="str">
        <f>G331</f>
        <v>1st to 3rd Floor</v>
      </c>
      <c r="H332" s="75"/>
      <c r="I332" s="23"/>
      <c r="N332" s="2" t="str">
        <f t="shared" ca="1" si="84"/>
        <v>103 to 303</v>
      </c>
      <c r="O332" s="2">
        <f t="shared" ref="O332:P332" ca="1" si="86">O331+1</f>
        <v>103</v>
      </c>
      <c r="P332" s="2">
        <f t="shared" ca="1" si="86"/>
        <v>303</v>
      </c>
    </row>
    <row r="333" spans="1:16" s="2" customFormat="1" x14ac:dyDescent="0.3">
      <c r="A333" s="74" t="str">
        <f t="shared" ca="1" si="82"/>
        <v>104 to 304</v>
      </c>
      <c r="B333" s="75"/>
      <c r="C333" s="25" t="s">
        <v>193</v>
      </c>
      <c r="D333" s="25">
        <f>43.35*10.764</f>
        <v>466.61939999999998</v>
      </c>
      <c r="E333" s="25">
        <v>0</v>
      </c>
      <c r="F333" s="25">
        <f t="shared" si="83"/>
        <v>699.92909999999995</v>
      </c>
      <c r="G333" s="74" t="str">
        <f>G332</f>
        <v>1st to 3rd Floor</v>
      </c>
      <c r="H333" s="75"/>
      <c r="I333" s="23"/>
      <c r="N333" s="2" t="str">
        <f t="shared" ca="1" si="84"/>
        <v>104 to 304</v>
      </c>
      <c r="O333" s="2">
        <f t="shared" ref="O333:P333" ca="1" si="87">O332+1</f>
        <v>104</v>
      </c>
      <c r="P333" s="2">
        <f t="shared" ca="1" si="87"/>
        <v>304</v>
      </c>
    </row>
    <row r="334" spans="1:16" s="2" customFormat="1" x14ac:dyDescent="0.3">
      <c r="A334" s="76" t="s">
        <v>194</v>
      </c>
      <c r="B334" s="77"/>
      <c r="C334" s="77"/>
      <c r="D334" s="77"/>
      <c r="E334" s="77"/>
      <c r="F334" s="77"/>
      <c r="G334" s="77"/>
      <c r="H334" s="78"/>
      <c r="I334" s="23"/>
      <c r="L334" s="79"/>
      <c r="M334" s="79"/>
    </row>
    <row r="335" spans="1:16" s="2" customFormat="1" x14ac:dyDescent="0.3">
      <c r="A335" s="73">
        <f>LEFT(A334,SUM(LEN(A334)-LEN(SUBSTITUTE(A334,{"0","1","2","3","4","5","6","7","8","9"},""))))*100+1</f>
        <v>401</v>
      </c>
      <c r="B335" s="73"/>
      <c r="C335" s="25" t="s">
        <v>193</v>
      </c>
      <c r="D335" s="25">
        <f>43.97*10.764</f>
        <v>473.29307999999997</v>
      </c>
      <c r="E335" s="25">
        <v>0</v>
      </c>
      <c r="F335" s="25">
        <f t="shared" ref="F335:F338" si="88">D335*(($F$173)+1)+E335</f>
        <v>709.93961999999999</v>
      </c>
      <c r="G335" s="73" t="str">
        <f>A334</f>
        <v>4th Floor</v>
      </c>
      <c r="H335" s="73"/>
      <c r="I335" s="23"/>
      <c r="N335" s="23"/>
    </row>
    <row r="336" spans="1:16" s="2" customFormat="1" x14ac:dyDescent="0.3">
      <c r="A336" s="73">
        <f>A335+1</f>
        <v>402</v>
      </c>
      <c r="B336" s="73"/>
      <c r="C336" s="25" t="s">
        <v>192</v>
      </c>
      <c r="D336" s="25">
        <f>28.86*10.746</f>
        <v>310.12956000000003</v>
      </c>
      <c r="E336" s="25">
        <v>0</v>
      </c>
      <c r="F336" s="25">
        <f t="shared" si="88"/>
        <v>465.19434000000001</v>
      </c>
      <c r="G336" s="73" t="str">
        <f>G335</f>
        <v>4th Floor</v>
      </c>
      <c r="H336" s="73"/>
      <c r="I336" s="23"/>
      <c r="N336" s="23"/>
    </row>
    <row r="337" spans="1:14" s="2" customFormat="1" x14ac:dyDescent="0.3">
      <c r="A337" s="73">
        <f>A336+1</f>
        <v>403</v>
      </c>
      <c r="B337" s="73"/>
      <c r="C337" s="25" t="s">
        <v>192</v>
      </c>
      <c r="D337" s="25">
        <f>28.86*10.764</f>
        <v>310.64903999999996</v>
      </c>
      <c r="E337" s="25">
        <v>0</v>
      </c>
      <c r="F337" s="25">
        <f t="shared" si="88"/>
        <v>465.97355999999991</v>
      </c>
      <c r="G337" s="73" t="str">
        <f>G336</f>
        <v>4th Floor</v>
      </c>
      <c r="H337" s="73"/>
      <c r="I337" s="23"/>
      <c r="N337" s="23"/>
    </row>
    <row r="338" spans="1:14" s="2" customFormat="1" x14ac:dyDescent="0.3">
      <c r="A338" s="73">
        <f>A337+1</f>
        <v>404</v>
      </c>
      <c r="B338" s="73"/>
      <c r="C338" s="25" t="s">
        <v>193</v>
      </c>
      <c r="D338" s="25">
        <f>43.35*10.764</f>
        <v>466.61939999999998</v>
      </c>
      <c r="E338" s="25">
        <v>0</v>
      </c>
      <c r="F338" s="25">
        <f t="shared" si="88"/>
        <v>699.92909999999995</v>
      </c>
      <c r="G338" s="73" t="str">
        <f>G337</f>
        <v>4th Floor</v>
      </c>
      <c r="H338" s="73"/>
      <c r="I338" s="23"/>
      <c r="N338" s="23"/>
    </row>
    <row r="339" spans="1:14" s="2" customFormat="1" x14ac:dyDescent="0.3">
      <c r="A339" s="76" t="s">
        <v>223</v>
      </c>
      <c r="B339" s="77"/>
      <c r="C339" s="77"/>
      <c r="D339" s="77"/>
      <c r="E339" s="77"/>
      <c r="F339" s="77"/>
      <c r="G339" s="77"/>
      <c r="H339" s="78"/>
      <c r="I339" s="23"/>
      <c r="L339" s="79"/>
      <c r="M339" s="79"/>
    </row>
    <row r="340" spans="1:14" s="2" customFormat="1" x14ac:dyDescent="0.3">
      <c r="A340" s="73">
        <f>LEFT(A339,SUM(LEN(A339)-LEN(SUBSTITUTE(A339,{"0","1","2","3","4","5","6","7","8","9"},""))))*100+1</f>
        <v>501</v>
      </c>
      <c r="B340" s="73"/>
      <c r="C340" s="25" t="s">
        <v>193</v>
      </c>
      <c r="D340" s="25">
        <f>43.97*10.764</f>
        <v>473.29307999999997</v>
      </c>
      <c r="E340" s="25">
        <v>0</v>
      </c>
      <c r="F340" s="25">
        <f t="shared" ref="F340:F343" si="89">D340*(($F$173)+1)+E340</f>
        <v>709.93961999999999</v>
      </c>
      <c r="G340" s="73" t="str">
        <f>A339</f>
        <v>5th Floor</v>
      </c>
      <c r="H340" s="73"/>
      <c r="I340" s="23"/>
      <c r="N340" s="23"/>
    </row>
    <row r="341" spans="1:14" s="2" customFormat="1" x14ac:dyDescent="0.3">
      <c r="A341" s="73">
        <f>A340+1</f>
        <v>502</v>
      </c>
      <c r="B341" s="73"/>
      <c r="C341" s="25" t="s">
        <v>192</v>
      </c>
      <c r="D341" s="25">
        <f>28.86*10.764</f>
        <v>310.64903999999996</v>
      </c>
      <c r="E341" s="25">
        <v>0</v>
      </c>
      <c r="F341" s="25">
        <f t="shared" si="89"/>
        <v>465.97355999999991</v>
      </c>
      <c r="G341" s="73" t="str">
        <f>G340</f>
        <v>5th Floor</v>
      </c>
      <c r="H341" s="73"/>
      <c r="I341" s="23"/>
      <c r="N341" s="23"/>
    </row>
    <row r="342" spans="1:14" s="2" customFormat="1" x14ac:dyDescent="0.3">
      <c r="A342" s="73">
        <f>A341+1</f>
        <v>503</v>
      </c>
      <c r="B342" s="73"/>
      <c r="C342" s="25" t="s">
        <v>192</v>
      </c>
      <c r="D342" s="25">
        <f>28.86*10.764</f>
        <v>310.64903999999996</v>
      </c>
      <c r="E342" s="25">
        <v>0</v>
      </c>
      <c r="F342" s="25">
        <f t="shared" si="89"/>
        <v>465.97355999999991</v>
      </c>
      <c r="G342" s="73" t="str">
        <f>G341</f>
        <v>5th Floor</v>
      </c>
      <c r="H342" s="73"/>
      <c r="I342" s="23"/>
      <c r="N342" s="23"/>
    </row>
    <row r="343" spans="1:14" s="2" customFormat="1" x14ac:dyDescent="0.3">
      <c r="A343" s="73">
        <f>A342+1</f>
        <v>504</v>
      </c>
      <c r="B343" s="73"/>
      <c r="C343" s="25" t="s">
        <v>193</v>
      </c>
      <c r="D343" s="25">
        <f>43.35*10.764</f>
        <v>466.61939999999998</v>
      </c>
      <c r="E343" s="25">
        <v>0</v>
      </c>
      <c r="F343" s="25">
        <f t="shared" si="89"/>
        <v>699.92909999999995</v>
      </c>
      <c r="G343" s="73" t="str">
        <f>G342</f>
        <v>5th Floor</v>
      </c>
      <c r="H343" s="73"/>
      <c r="I343" s="23"/>
      <c r="N343" s="23"/>
    </row>
    <row r="344" spans="1:14" s="2" customFormat="1" x14ac:dyDescent="0.3">
      <c r="A344" s="76" t="s">
        <v>224</v>
      </c>
      <c r="B344" s="77"/>
      <c r="C344" s="77"/>
      <c r="D344" s="77"/>
      <c r="E344" s="77"/>
      <c r="F344" s="77"/>
      <c r="G344" s="77"/>
      <c r="H344" s="78"/>
      <c r="I344" s="23"/>
      <c r="L344" s="79"/>
      <c r="M344" s="79"/>
    </row>
    <row r="345" spans="1:14" s="2" customFormat="1" x14ac:dyDescent="0.3">
      <c r="A345" s="73">
        <f>LEFT(A344,SUM(LEN(A344)-LEN(SUBSTITUTE(A344,{"0","1","2","3","4","5","6","7","8","9"},""))))*100+1</f>
        <v>601</v>
      </c>
      <c r="B345" s="73"/>
      <c r="C345" s="25" t="s">
        <v>193</v>
      </c>
      <c r="D345" s="25">
        <f>43.97*10.764</f>
        <v>473.29307999999997</v>
      </c>
      <c r="E345" s="25">
        <v>0</v>
      </c>
      <c r="F345" s="25">
        <f t="shared" ref="F345:F348" si="90">D345*(($F$173)+1)+E345</f>
        <v>709.93961999999999</v>
      </c>
      <c r="G345" s="73" t="str">
        <f>A344</f>
        <v>6th Floor</v>
      </c>
      <c r="H345" s="73"/>
      <c r="I345" s="23"/>
      <c r="N345" s="23"/>
    </row>
    <row r="346" spans="1:14" s="2" customFormat="1" x14ac:dyDescent="0.3">
      <c r="A346" s="73">
        <f>A345+1</f>
        <v>602</v>
      </c>
      <c r="B346" s="73"/>
      <c r="C346" s="25" t="s">
        <v>192</v>
      </c>
      <c r="D346" s="25">
        <f>28.86*10.764</f>
        <v>310.64903999999996</v>
      </c>
      <c r="E346" s="25">
        <v>0</v>
      </c>
      <c r="F346" s="25">
        <f t="shared" si="90"/>
        <v>465.97355999999991</v>
      </c>
      <c r="G346" s="73" t="str">
        <f>G345</f>
        <v>6th Floor</v>
      </c>
      <c r="H346" s="73"/>
      <c r="I346" s="23"/>
      <c r="N346" s="23"/>
    </row>
    <row r="347" spans="1:14" s="2" customFormat="1" x14ac:dyDescent="0.3">
      <c r="A347" s="73">
        <f>A346+1</f>
        <v>603</v>
      </c>
      <c r="B347" s="73"/>
      <c r="C347" s="25" t="s">
        <v>192</v>
      </c>
      <c r="D347" s="25">
        <f>28.86*10.764</f>
        <v>310.64903999999996</v>
      </c>
      <c r="E347" s="25">
        <v>0</v>
      </c>
      <c r="F347" s="25">
        <f t="shared" si="90"/>
        <v>465.97355999999991</v>
      </c>
      <c r="G347" s="73" t="str">
        <f>G346</f>
        <v>6th Floor</v>
      </c>
      <c r="H347" s="73"/>
      <c r="I347" s="23"/>
      <c r="N347" s="23"/>
    </row>
    <row r="348" spans="1:14" s="2" customFormat="1" x14ac:dyDescent="0.3">
      <c r="A348" s="73">
        <f>A347+1</f>
        <v>604</v>
      </c>
      <c r="B348" s="73"/>
      <c r="C348" s="25" t="s">
        <v>193</v>
      </c>
      <c r="D348" s="25">
        <f>43.35*10.764</f>
        <v>466.61939999999998</v>
      </c>
      <c r="E348" s="25">
        <v>0</v>
      </c>
      <c r="F348" s="25">
        <f t="shared" si="90"/>
        <v>699.92909999999995</v>
      </c>
      <c r="G348" s="73" t="str">
        <f>G347</f>
        <v>6th Floor</v>
      </c>
      <c r="H348" s="73"/>
      <c r="I348" s="23"/>
      <c r="N348" s="23"/>
    </row>
    <row r="349" spans="1:14" s="2" customFormat="1" x14ac:dyDescent="0.3">
      <c r="A349" s="76" t="s">
        <v>225</v>
      </c>
      <c r="B349" s="77"/>
      <c r="C349" s="77"/>
      <c r="D349" s="77"/>
      <c r="E349" s="77"/>
      <c r="F349" s="77"/>
      <c r="G349" s="77"/>
      <c r="H349" s="78"/>
      <c r="I349" s="23"/>
      <c r="L349" s="79"/>
      <c r="M349" s="79"/>
    </row>
    <row r="350" spans="1:14" s="2" customFormat="1" x14ac:dyDescent="0.3">
      <c r="A350" s="73">
        <f>LEFT(A349,SUM(LEN(A349)-LEN(SUBSTITUTE(A349,{"0","1","2","3","4","5","6","7","8","9"},""))))*100+1</f>
        <v>701</v>
      </c>
      <c r="B350" s="73"/>
      <c r="C350" s="25" t="s">
        <v>193</v>
      </c>
      <c r="D350" s="25">
        <f>43.97*10.764</f>
        <v>473.29307999999997</v>
      </c>
      <c r="E350" s="25">
        <v>0</v>
      </c>
      <c r="F350" s="25">
        <f t="shared" ref="F350:F353" si="91">D350*(($F$173)+1)+E350</f>
        <v>709.93961999999999</v>
      </c>
      <c r="G350" s="73" t="str">
        <f>A349</f>
        <v>7th Floor</v>
      </c>
      <c r="H350" s="73"/>
      <c r="I350" s="23"/>
      <c r="N350" s="23"/>
    </row>
    <row r="351" spans="1:14" s="2" customFormat="1" x14ac:dyDescent="0.3">
      <c r="A351" s="73">
        <f>A350+1</f>
        <v>702</v>
      </c>
      <c r="B351" s="73"/>
      <c r="C351" s="25" t="s">
        <v>192</v>
      </c>
      <c r="D351" s="25">
        <f>28.86*10.764</f>
        <v>310.64903999999996</v>
      </c>
      <c r="E351" s="25">
        <v>0</v>
      </c>
      <c r="F351" s="25">
        <f t="shared" si="91"/>
        <v>465.97355999999991</v>
      </c>
      <c r="G351" s="73" t="str">
        <f>G350</f>
        <v>7th Floor</v>
      </c>
      <c r="H351" s="73"/>
      <c r="I351" s="23"/>
      <c r="N351" s="23"/>
    </row>
    <row r="352" spans="1:14" s="2" customFormat="1" x14ac:dyDescent="0.3">
      <c r="A352" s="73">
        <f>A351+1</f>
        <v>703</v>
      </c>
      <c r="B352" s="73"/>
      <c r="C352" s="25" t="s">
        <v>192</v>
      </c>
      <c r="D352" s="25">
        <f>28.86*10.764</f>
        <v>310.64903999999996</v>
      </c>
      <c r="E352" s="25">
        <v>0</v>
      </c>
      <c r="F352" s="25">
        <f t="shared" si="91"/>
        <v>465.97355999999991</v>
      </c>
      <c r="G352" s="73" t="str">
        <f>G351</f>
        <v>7th Floor</v>
      </c>
      <c r="H352" s="73"/>
      <c r="I352" s="23"/>
      <c r="N352" s="23"/>
    </row>
    <row r="353" spans="1:16" s="2" customFormat="1" x14ac:dyDescent="0.3">
      <c r="A353" s="73">
        <f>A352+1</f>
        <v>704</v>
      </c>
      <c r="B353" s="73"/>
      <c r="C353" s="25" t="s">
        <v>193</v>
      </c>
      <c r="D353" s="25">
        <f>43.35*10.764</f>
        <v>466.61939999999998</v>
      </c>
      <c r="E353" s="25">
        <v>0</v>
      </c>
      <c r="F353" s="25">
        <f t="shared" si="91"/>
        <v>699.92909999999995</v>
      </c>
      <c r="G353" s="73" t="str">
        <f>G352</f>
        <v>7th Floor</v>
      </c>
      <c r="H353" s="73"/>
      <c r="I353" s="23"/>
      <c r="N353" s="23"/>
    </row>
    <row r="354" spans="1:16" s="2" customFormat="1" x14ac:dyDescent="0.3">
      <c r="A354" s="76" t="s">
        <v>216</v>
      </c>
      <c r="B354" s="77"/>
      <c r="C354" s="77"/>
      <c r="D354" s="77"/>
      <c r="E354" s="77"/>
      <c r="F354" s="77"/>
      <c r="G354" s="77"/>
      <c r="H354" s="78"/>
      <c r="I354" s="23"/>
      <c r="L354" s="79"/>
      <c r="M354" s="79"/>
    </row>
    <row r="355" spans="1:16" s="2" customFormat="1" ht="15.75" customHeight="1" x14ac:dyDescent="0.3">
      <c r="A355" s="73">
        <f>LEFT(A354,SUM(LEN(A354)-LEN(SUBSTITUTE(A354,{"0","1","2","3","4","5","6","7","8","9"},""))))*100+1</f>
        <v>801</v>
      </c>
      <c r="B355" s="73"/>
      <c r="C355" s="25" t="s">
        <v>193</v>
      </c>
      <c r="D355" s="25">
        <f>43.97*10.764</f>
        <v>473.29307999999997</v>
      </c>
      <c r="E355" s="25">
        <v>0</v>
      </c>
      <c r="F355" s="25">
        <f t="shared" ref="F355:F358" si="92">D355*(($F$173)+1)+E355</f>
        <v>709.93961999999999</v>
      </c>
      <c r="G355" s="80" t="str">
        <f>A354</f>
        <v>8th Floor(Part Refuge Floor)</v>
      </c>
      <c r="H355" s="81"/>
      <c r="I355" s="23"/>
      <c r="N355" s="23"/>
    </row>
    <row r="356" spans="1:16" s="2" customFormat="1" ht="15.75" customHeight="1" x14ac:dyDescent="0.3">
      <c r="A356" s="73">
        <f>A355+1</f>
        <v>802</v>
      </c>
      <c r="B356" s="73"/>
      <c r="C356" s="25" t="s">
        <v>192</v>
      </c>
      <c r="D356" s="25">
        <f>28.86*10.764</f>
        <v>310.64903999999996</v>
      </c>
      <c r="E356" s="25">
        <v>0</v>
      </c>
      <c r="F356" s="25">
        <f t="shared" si="92"/>
        <v>465.97355999999991</v>
      </c>
      <c r="G356" s="82"/>
      <c r="H356" s="83"/>
      <c r="I356" s="23"/>
      <c r="N356" s="23"/>
    </row>
    <row r="357" spans="1:16" s="2" customFormat="1" ht="15.75" customHeight="1" x14ac:dyDescent="0.3">
      <c r="A357" s="73">
        <f>A356+1</f>
        <v>803</v>
      </c>
      <c r="B357" s="73"/>
      <c r="C357" s="25" t="s">
        <v>192</v>
      </c>
      <c r="D357" s="25">
        <f>28.86*10.764</f>
        <v>310.64903999999996</v>
      </c>
      <c r="E357" s="25">
        <v>0</v>
      </c>
      <c r="F357" s="25">
        <f t="shared" si="92"/>
        <v>465.97355999999991</v>
      </c>
      <c r="G357" s="82"/>
      <c r="H357" s="83"/>
      <c r="I357" s="23"/>
      <c r="N357" s="23"/>
    </row>
    <row r="358" spans="1:16" s="2" customFormat="1" ht="15.75" customHeight="1" x14ac:dyDescent="0.3">
      <c r="A358" s="73">
        <f>A357+1</f>
        <v>804</v>
      </c>
      <c r="B358" s="73"/>
      <c r="C358" s="25" t="s">
        <v>193</v>
      </c>
      <c r="D358" s="25">
        <f>43.35*10.764</f>
        <v>466.61939999999998</v>
      </c>
      <c r="E358" s="25">
        <v>0</v>
      </c>
      <c r="F358" s="25">
        <f t="shared" si="92"/>
        <v>699.92909999999995</v>
      </c>
      <c r="G358" s="84"/>
      <c r="H358" s="85"/>
      <c r="I358" s="23"/>
      <c r="N358" s="23"/>
    </row>
    <row r="359" spans="1:16" s="2" customFormat="1" x14ac:dyDescent="0.3">
      <c r="A359" s="76" t="s">
        <v>227</v>
      </c>
      <c r="B359" s="77"/>
      <c r="C359" s="77"/>
      <c r="D359" s="77"/>
      <c r="E359" s="77"/>
      <c r="F359" s="77"/>
      <c r="G359" s="77"/>
      <c r="H359" s="78"/>
      <c r="I359" s="23"/>
    </row>
    <row r="360" spans="1:16" s="2" customFormat="1" x14ac:dyDescent="0.3">
      <c r="A360" s="74" t="str">
        <f t="shared" ref="A360:A363" ca="1" si="93">N360</f>
        <v>901 to 1101</v>
      </c>
      <c r="B360" s="75"/>
      <c r="C360" s="25" t="s">
        <v>193</v>
      </c>
      <c r="D360" s="25">
        <f>43.97*10.764</f>
        <v>473.29307999999997</v>
      </c>
      <c r="E360" s="25">
        <v>0</v>
      </c>
      <c r="F360" s="25">
        <f t="shared" ref="F360:F363" si="94">D360*(($F$173)+1)+E360</f>
        <v>709.93961999999999</v>
      </c>
      <c r="G360" s="74" t="str">
        <f>A359</f>
        <v>9th to 11th Floor</v>
      </c>
      <c r="H360" s="75"/>
      <c r="I360" s="23"/>
      <c r="N360" s="2" t="str">
        <f t="shared" ref="N360:N363" ca="1" si="95">O360&amp;""&amp;" to "&amp;""&amp;P360</f>
        <v>901 to 1101</v>
      </c>
      <c r="O360" s="2">
        <f ca="1">(SUMPRODUCT(MID(0&amp;(LEFT(A359,SUM(LEN(A359)-LEN(SUBSTITUTE(A359,{"0","1","2"},""))))), LARGE(INDEX(ISNUMBER(--MID((LEFT(A359,SUM(LEN(A359)-LEN(SUBSTITUTE(A359,{"0","1","2"},""))))), ROW(INDIRECT("1:"&amp;LEN((LEFT(A359,SUM(LEN(A359)-LEN(SUBSTITUTE(A359,{"0","1","2"},"")))))))), 1)) * ROW(INDIRECT("1:"&amp;LEN((LEFT(A359,SUM(LEN(A359)-LEN(SUBSTITUTE(A359,{"0","1","2"},"")))))))), 0), ROW(INDIRECT("1:"&amp;LEN((LEFT(A359,SUM(LEN(A359)-LEN(SUBSTITUTE(A359,{"0","1","2"},"")))))))))+1, 1) * 10^ROW(INDIRECT("1:"&amp;LEN((LEFT(A359,SUM(LEN(A359)-LEN(SUBSTITUTE(A359,{"0","1","2"},""))))))))/10))*100+1</f>
        <v>901</v>
      </c>
      <c r="P360" s="2">
        <f ca="1">(SUMPRODUCT(MID(0&amp;(--TRIM(RIGHT(SUBSTITUTE(LEFT(A359,_xlfn.AGGREGATE(16,6,FIND({0,1,2,3,4,5,6,7,8,9},A359,ROW(INDIRECT("1:"&amp;LEN(A359)))),1))," ",REPT(" ",LEN(A359))),LEN(A359)))), LARGE(INDEX(ISNUMBER(--MID((--TRIM(RIGHT(SUBSTITUTE(LEFT(A359,_xlfn.AGGREGATE(16,6,FIND({0,1,2,3,4,5,6,7,8,9},A359,ROW(INDIRECT("1:"&amp;LEN(A359)))),1))," ",REPT(" ",LEN(A359))),LEN(A359)))), ROW(INDIRECT("1:"&amp;LEN((--TRIM(RIGHT(SUBSTITUTE(LEFT(A359,_xlfn.AGGREGATE(16,6,FIND({0,1,2,3,4,5,6,7,8,9},A359,ROW(INDIRECT("1:"&amp;LEN(A359)))),1))," ",REPT(" ",LEN(A359))),LEN(A359))))))), 1)) * ROW(INDIRECT("1:"&amp;LEN((--TRIM(RIGHT(SUBSTITUTE(LEFT(A359,_xlfn.AGGREGATE(16,6,FIND({0,1,2,3,4,5,6,7,8,9},A359,ROW(INDIRECT("1:"&amp;LEN(A359)))),1))," ",REPT(" ",LEN(A359))),LEN(A359))))))), 0), ROW(INDIRECT("1:"&amp;LEN((--TRIM(RIGHT(SUBSTITUTE(LEFT(A359,_xlfn.AGGREGATE(16,6,FIND({0,1,2,3,4,5,6,7,8,9},A359,ROW(INDIRECT("1:"&amp;LEN(A359)))),1))," ",REPT(" ",LEN(A359))),LEN(A359))))))))+1, 1) * 10^ROW(INDIRECT("1:"&amp;LEN((--TRIM(RIGHT(SUBSTITUTE(LEFT(A359,_xlfn.AGGREGATE(16,6,FIND({0,1,2,3,4,5,6,7,8,9},A359,ROW(INDIRECT("1:"&amp;LEN(A359)))),1))," ",REPT(" ",LEN(A359))),LEN(A359)))))))/10))*100+1</f>
        <v>1101</v>
      </c>
    </row>
    <row r="361" spans="1:16" s="2" customFormat="1" x14ac:dyDescent="0.3">
      <c r="A361" s="74" t="str">
        <f t="shared" ca="1" si="93"/>
        <v>902 to 1102</v>
      </c>
      <c r="B361" s="75"/>
      <c r="C361" s="25" t="s">
        <v>192</v>
      </c>
      <c r="D361" s="25">
        <f>28.86*10.764</f>
        <v>310.64903999999996</v>
      </c>
      <c r="E361" s="25">
        <v>0</v>
      </c>
      <c r="F361" s="25">
        <f t="shared" si="94"/>
        <v>465.97355999999991</v>
      </c>
      <c r="G361" s="74" t="str">
        <f>G360</f>
        <v>9th to 11th Floor</v>
      </c>
      <c r="H361" s="75"/>
      <c r="I361" s="23"/>
      <c r="N361" s="2" t="str">
        <f t="shared" ca="1" si="95"/>
        <v>902 to 1102</v>
      </c>
      <c r="O361" s="2">
        <f t="shared" ref="O361:P361" ca="1" si="96">O360+1</f>
        <v>902</v>
      </c>
      <c r="P361" s="2">
        <f t="shared" ca="1" si="96"/>
        <v>1102</v>
      </c>
    </row>
    <row r="362" spans="1:16" s="2" customFormat="1" x14ac:dyDescent="0.3">
      <c r="A362" s="74" t="str">
        <f t="shared" ca="1" si="93"/>
        <v>903 to 1103</v>
      </c>
      <c r="B362" s="75"/>
      <c r="C362" s="25" t="s">
        <v>192</v>
      </c>
      <c r="D362" s="25">
        <f>28.86*10.764</f>
        <v>310.64903999999996</v>
      </c>
      <c r="E362" s="25">
        <v>0</v>
      </c>
      <c r="F362" s="25">
        <f t="shared" si="94"/>
        <v>465.97355999999991</v>
      </c>
      <c r="G362" s="74" t="str">
        <f>G361</f>
        <v>9th to 11th Floor</v>
      </c>
      <c r="H362" s="75"/>
      <c r="I362" s="23"/>
      <c r="N362" s="2" t="str">
        <f t="shared" ca="1" si="95"/>
        <v>903 to 1103</v>
      </c>
      <c r="O362" s="2">
        <f t="shared" ref="O362:P362" ca="1" si="97">O361+1</f>
        <v>903</v>
      </c>
      <c r="P362" s="2">
        <f t="shared" ca="1" si="97"/>
        <v>1103</v>
      </c>
    </row>
    <row r="363" spans="1:16" s="2" customFormat="1" x14ac:dyDescent="0.3">
      <c r="A363" s="74" t="str">
        <f t="shared" ca="1" si="93"/>
        <v>904 to 1104</v>
      </c>
      <c r="B363" s="75"/>
      <c r="C363" s="25" t="s">
        <v>193</v>
      </c>
      <c r="D363" s="25">
        <f>43.35*10.764</f>
        <v>466.61939999999998</v>
      </c>
      <c r="E363" s="25">
        <v>0</v>
      </c>
      <c r="F363" s="25">
        <f t="shared" si="94"/>
        <v>699.92909999999995</v>
      </c>
      <c r="G363" s="74" t="str">
        <f>G362</f>
        <v>9th to 11th Floor</v>
      </c>
      <c r="H363" s="75"/>
      <c r="I363" s="23"/>
      <c r="N363" s="2" t="str">
        <f t="shared" ca="1" si="95"/>
        <v>904 to 1104</v>
      </c>
      <c r="O363" s="2">
        <f t="shared" ref="O363:P363" ca="1" si="98">O362+1</f>
        <v>904</v>
      </c>
      <c r="P363" s="2">
        <f t="shared" ca="1" si="98"/>
        <v>1104</v>
      </c>
    </row>
    <row r="364" spans="1:16" s="1" customFormat="1" x14ac:dyDescent="0.3">
      <c r="A364" s="179" t="s">
        <v>73</v>
      </c>
      <c r="B364" s="179"/>
      <c r="C364" s="179"/>
      <c r="D364" s="179"/>
      <c r="E364" s="179"/>
      <c r="F364" s="179"/>
      <c r="G364" s="179"/>
      <c r="H364" s="179"/>
    </row>
    <row r="365" spans="1:16" s="1" customFormat="1" ht="33.75" customHeight="1" x14ac:dyDescent="0.3">
      <c r="A365" s="51">
        <v>1</v>
      </c>
      <c r="B365" s="108" t="s">
        <v>254</v>
      </c>
      <c r="C365" s="109"/>
      <c r="D365" s="109"/>
      <c r="E365" s="109"/>
      <c r="F365" s="109"/>
      <c r="G365" s="109"/>
      <c r="H365" s="110"/>
    </row>
    <row r="366" spans="1:16" s="1" customFormat="1" x14ac:dyDescent="0.3">
      <c r="A366" s="51">
        <f t="shared" ref="A366:A372" si="99">A365+1</f>
        <v>2</v>
      </c>
      <c r="B366" s="108" t="s">
        <v>228</v>
      </c>
      <c r="C366" s="109"/>
      <c r="D366" s="109"/>
      <c r="E366" s="109"/>
      <c r="F366" s="109"/>
      <c r="G366" s="109"/>
      <c r="H366" s="110"/>
    </row>
    <row r="367" spans="1:16" s="1" customFormat="1" x14ac:dyDescent="0.3">
      <c r="A367" s="51">
        <f t="shared" si="99"/>
        <v>3</v>
      </c>
      <c r="B367" s="108" t="s">
        <v>150</v>
      </c>
      <c r="C367" s="109"/>
      <c r="D367" s="109"/>
      <c r="E367" s="109"/>
      <c r="F367" s="109"/>
      <c r="G367" s="109"/>
      <c r="H367" s="110"/>
    </row>
    <row r="368" spans="1:16" s="1" customFormat="1" x14ac:dyDescent="0.3">
      <c r="A368" s="51">
        <f t="shared" si="99"/>
        <v>4</v>
      </c>
      <c r="B368" s="108" t="s">
        <v>229</v>
      </c>
      <c r="C368" s="109"/>
      <c r="D368" s="109"/>
      <c r="E368" s="109"/>
      <c r="F368" s="109"/>
      <c r="G368" s="109"/>
      <c r="H368" s="110"/>
    </row>
    <row r="369" spans="1:8" s="1" customFormat="1" x14ac:dyDescent="0.3">
      <c r="A369" s="51">
        <f t="shared" si="99"/>
        <v>5</v>
      </c>
      <c r="B369" s="108" t="s">
        <v>151</v>
      </c>
      <c r="C369" s="109"/>
      <c r="D369" s="109"/>
      <c r="E369" s="109"/>
      <c r="F369" s="109"/>
      <c r="G369" s="109"/>
      <c r="H369" s="110"/>
    </row>
    <row r="370" spans="1:8" s="1" customFormat="1" x14ac:dyDescent="0.3">
      <c r="A370" s="51">
        <f>A368+1</f>
        <v>5</v>
      </c>
      <c r="B370" s="108" t="s">
        <v>152</v>
      </c>
      <c r="C370" s="109"/>
      <c r="D370" s="109"/>
      <c r="E370" s="109"/>
      <c r="F370" s="109"/>
      <c r="G370" s="109"/>
      <c r="H370" s="110"/>
    </row>
    <row r="371" spans="1:8" s="1" customFormat="1" x14ac:dyDescent="0.3">
      <c r="A371" s="51">
        <f>A369+1</f>
        <v>6</v>
      </c>
      <c r="B371" s="108" t="s">
        <v>251</v>
      </c>
      <c r="C371" s="109"/>
      <c r="D371" s="109"/>
      <c r="E371" s="109"/>
      <c r="F371" s="109"/>
      <c r="G371" s="109"/>
      <c r="H371" s="110"/>
    </row>
    <row r="372" spans="1:8" s="1" customFormat="1" hidden="1" x14ac:dyDescent="0.3">
      <c r="A372" s="51">
        <f t="shared" si="99"/>
        <v>7</v>
      </c>
      <c r="B372" s="108" t="s">
        <v>242</v>
      </c>
      <c r="C372" s="109"/>
      <c r="D372" s="109"/>
      <c r="E372" s="109"/>
      <c r="F372" s="109"/>
      <c r="G372" s="109"/>
      <c r="H372" s="110"/>
    </row>
    <row r="373" spans="1:8" s="1" customFormat="1" x14ac:dyDescent="0.3">
      <c r="A373" s="51">
        <f>A371+1</f>
        <v>7</v>
      </c>
      <c r="B373" s="108" t="s">
        <v>270</v>
      </c>
      <c r="C373" s="109"/>
      <c r="D373" s="109"/>
      <c r="E373" s="109"/>
      <c r="F373" s="109"/>
      <c r="G373" s="109"/>
      <c r="H373" s="110"/>
    </row>
    <row r="374" spans="1:8" ht="34.200000000000003" customHeight="1" x14ac:dyDescent="0.3">
      <c r="A374" s="51">
        <v>9</v>
      </c>
      <c r="B374" s="108" t="s">
        <v>275</v>
      </c>
      <c r="C374" s="109"/>
      <c r="D374" s="109"/>
      <c r="E374" s="109"/>
      <c r="F374" s="109"/>
      <c r="G374" s="109"/>
      <c r="H374" s="110"/>
    </row>
    <row r="375" spans="1:8" x14ac:dyDescent="0.3">
      <c r="A375" s="180" t="s">
        <v>66</v>
      </c>
      <c r="B375" s="180"/>
      <c r="C375" s="180"/>
      <c r="D375" s="180"/>
      <c r="E375" s="180"/>
      <c r="F375" s="180"/>
      <c r="G375" s="180"/>
      <c r="H375" s="180"/>
    </row>
    <row r="376" spans="1:8" ht="15.75" customHeight="1" x14ac:dyDescent="0.3">
      <c r="A376" s="68" t="s">
        <v>67</v>
      </c>
      <c r="B376" s="68"/>
      <c r="C376" s="68"/>
      <c r="D376" s="68"/>
      <c r="E376" s="68"/>
      <c r="F376" s="68"/>
      <c r="G376" s="68"/>
      <c r="H376" s="68"/>
    </row>
    <row r="377" spans="1:8" x14ac:dyDescent="0.3">
      <c r="A377" s="204" t="s">
        <v>68</v>
      </c>
      <c r="B377" s="204"/>
      <c r="C377" s="204"/>
      <c r="D377" s="204"/>
      <c r="E377" s="204"/>
      <c r="F377" s="204"/>
      <c r="G377" s="204"/>
      <c r="H377" s="204"/>
    </row>
    <row r="378" spans="1:8" x14ac:dyDescent="0.3">
      <c r="A378" s="136" t="s">
        <v>69</v>
      </c>
      <c r="B378" s="136"/>
      <c r="C378" s="136"/>
      <c r="D378" s="136"/>
      <c r="E378" s="136"/>
      <c r="F378" s="136"/>
      <c r="G378" s="136"/>
      <c r="H378" s="136"/>
    </row>
    <row r="379" spans="1:8" x14ac:dyDescent="0.3">
      <c r="A379" s="136" t="s">
        <v>70</v>
      </c>
      <c r="B379" s="136"/>
      <c r="C379" s="136"/>
      <c r="D379" s="136"/>
      <c r="E379" s="136"/>
      <c r="F379" s="136"/>
      <c r="G379" s="136"/>
      <c r="H379" s="136"/>
    </row>
    <row r="380" spans="1:8" x14ac:dyDescent="0.3">
      <c r="A380" s="136" t="s">
        <v>153</v>
      </c>
      <c r="B380" s="136"/>
      <c r="C380" s="136"/>
      <c r="D380" s="136"/>
      <c r="E380" s="136"/>
      <c r="F380" s="136"/>
      <c r="G380" s="136"/>
      <c r="H380" s="136"/>
    </row>
    <row r="381" spans="1:8" x14ac:dyDescent="0.3">
      <c r="A381" s="174" t="s">
        <v>154</v>
      </c>
      <c r="B381" s="174"/>
      <c r="C381" s="174"/>
      <c r="D381" s="174"/>
      <c r="E381" s="174"/>
      <c r="F381" s="174"/>
      <c r="G381" s="174"/>
      <c r="H381" s="174"/>
    </row>
    <row r="382" spans="1:8" x14ac:dyDescent="0.3">
      <c r="A382" s="176" t="s">
        <v>106</v>
      </c>
      <c r="B382" s="176"/>
      <c r="C382" s="176" t="s">
        <v>262</v>
      </c>
      <c r="D382" s="176"/>
      <c r="E382" s="176" t="s">
        <v>142</v>
      </c>
      <c r="F382" s="176"/>
      <c r="G382" s="176" t="s">
        <v>267</v>
      </c>
      <c r="H382" s="176"/>
    </row>
    <row r="383" spans="1:8" x14ac:dyDescent="0.3">
      <c r="A383" s="175" t="s">
        <v>108</v>
      </c>
      <c r="B383" s="175"/>
      <c r="C383" s="175"/>
      <c r="D383" s="175"/>
      <c r="E383" s="175"/>
      <c r="F383" s="175"/>
      <c r="G383" s="175"/>
      <c r="H383" s="175"/>
    </row>
    <row r="384" spans="1:8" x14ac:dyDescent="0.3">
      <c r="A384" s="175"/>
      <c r="B384" s="175"/>
      <c r="C384" s="175"/>
      <c r="D384" s="175"/>
      <c r="E384" s="175"/>
      <c r="F384" s="175"/>
      <c r="G384" s="175"/>
      <c r="H384" s="175"/>
    </row>
    <row r="385" spans="1:8" x14ac:dyDescent="0.3">
      <c r="A385" s="175"/>
      <c r="B385" s="175"/>
      <c r="C385" s="175"/>
      <c r="D385" s="175"/>
      <c r="E385" s="175"/>
      <c r="F385" s="175"/>
      <c r="G385" s="175"/>
      <c r="H385" s="175"/>
    </row>
    <row r="386" spans="1:8" x14ac:dyDescent="0.3">
      <c r="A386" s="175"/>
      <c r="B386" s="175"/>
      <c r="C386" s="175"/>
      <c r="D386" s="175"/>
      <c r="E386" s="175"/>
      <c r="F386" s="175"/>
      <c r="G386" s="175"/>
      <c r="H386" s="175"/>
    </row>
    <row r="387" spans="1:8" x14ac:dyDescent="0.3">
      <c r="A387" s="14" t="s">
        <v>71</v>
      </c>
      <c r="B387" s="15"/>
      <c r="C387" s="15"/>
      <c r="D387" s="14" t="str">
        <f>E8</f>
        <v>Tulip Heights</v>
      </c>
      <c r="F387" s="15"/>
      <c r="G387" s="15"/>
      <c r="H387" s="15"/>
    </row>
    <row r="388" spans="1:8" x14ac:dyDescent="0.3">
      <c r="A388" s="15"/>
      <c r="B388" s="15"/>
      <c r="C388" s="15"/>
      <c r="D388" s="15"/>
      <c r="E388" s="15"/>
      <c r="F388" s="15"/>
      <c r="G388" s="15"/>
      <c r="H388" s="15"/>
    </row>
    <row r="389" spans="1:8" ht="15" customHeight="1" x14ac:dyDescent="0.3">
      <c r="A389" s="15"/>
      <c r="B389" s="15"/>
      <c r="C389" s="15"/>
      <c r="D389" s="15"/>
      <c r="E389" s="15"/>
      <c r="F389" s="15"/>
      <c r="G389" s="15"/>
      <c r="H389" s="15"/>
    </row>
    <row r="429" spans="1:8" x14ac:dyDescent="0.3">
      <c r="A429" s="14"/>
      <c r="B429" s="15"/>
      <c r="C429" s="15"/>
      <c r="D429" s="14"/>
      <c r="F429" s="15"/>
      <c r="G429" s="15"/>
      <c r="H429" s="15"/>
    </row>
    <row r="430" spans="1:8" ht="15" customHeight="1" x14ac:dyDescent="0.3">
      <c r="A430" s="15" t="s">
        <v>258</v>
      </c>
      <c r="B430" s="15"/>
      <c r="C430" s="15"/>
      <c r="D430" s="15"/>
      <c r="E430" s="15"/>
      <c r="F430" s="15"/>
      <c r="G430" s="15"/>
      <c r="H430" s="15"/>
    </row>
    <row r="470" spans="1:8" x14ac:dyDescent="0.3">
      <c r="A470" s="14" t="s">
        <v>248</v>
      </c>
      <c r="B470" s="15"/>
      <c r="C470" s="15"/>
      <c r="D470" s="14"/>
      <c r="F470" s="15"/>
      <c r="G470" s="15"/>
      <c r="H470" s="15"/>
    </row>
    <row r="471" spans="1:8" x14ac:dyDescent="0.3">
      <c r="A471" s="15"/>
      <c r="B471" s="15"/>
      <c r="C471" s="15"/>
      <c r="D471" s="15"/>
      <c r="E471" s="15"/>
      <c r="F471" s="15"/>
      <c r="G471" s="15"/>
      <c r="H471" s="15"/>
    </row>
    <row r="472" spans="1:8" ht="15" customHeight="1" x14ac:dyDescent="0.3">
      <c r="A472" s="15"/>
      <c r="B472" s="15"/>
      <c r="C472" s="15"/>
      <c r="D472" s="15"/>
      <c r="E472" s="15"/>
      <c r="F472" s="15"/>
      <c r="G472" s="15"/>
      <c r="H472" s="15"/>
    </row>
    <row r="512" spans="1:1" x14ac:dyDescent="0.3">
      <c r="A512" s="17" t="s">
        <v>72</v>
      </c>
    </row>
  </sheetData>
  <mergeCells count="676">
    <mergeCell ref="B374:H374"/>
    <mergeCell ref="B373:H373"/>
    <mergeCell ref="A91:B92"/>
    <mergeCell ref="C91:D92"/>
    <mergeCell ref="E91:F92"/>
    <mergeCell ref="G91:H92"/>
    <mergeCell ref="B370:H370"/>
    <mergeCell ref="A10:D10"/>
    <mergeCell ref="E10:H10"/>
    <mergeCell ref="A77:B77"/>
    <mergeCell ref="C77:H77"/>
    <mergeCell ref="A79:B79"/>
    <mergeCell ref="C79:H79"/>
    <mergeCell ref="A80:B80"/>
    <mergeCell ref="E80:F80"/>
    <mergeCell ref="G80:H80"/>
    <mergeCell ref="A81:B81"/>
    <mergeCell ref="E81:F90"/>
    <mergeCell ref="G81:H90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239:B239"/>
    <mergeCell ref="A240:B240"/>
    <mergeCell ref="C239:F240"/>
    <mergeCell ref="A226:B226"/>
    <mergeCell ref="G226:H226"/>
    <mergeCell ref="A227:B227"/>
    <mergeCell ref="G227:H227"/>
    <mergeCell ref="A228:H228"/>
    <mergeCell ref="A229:B229"/>
    <mergeCell ref="A230:B230"/>
    <mergeCell ref="A231:B231"/>
    <mergeCell ref="C229:F230"/>
    <mergeCell ref="A221:B221"/>
    <mergeCell ref="G221:H221"/>
    <mergeCell ref="A222:B222"/>
    <mergeCell ref="G222:H222"/>
    <mergeCell ref="A223:B223"/>
    <mergeCell ref="G223:H223"/>
    <mergeCell ref="A224:B224"/>
    <mergeCell ref="G224:H224"/>
    <mergeCell ref="A225:B225"/>
    <mergeCell ref="G225:H225"/>
    <mergeCell ref="A216:B216"/>
    <mergeCell ref="G216:H216"/>
    <mergeCell ref="A217:B217"/>
    <mergeCell ref="G217:H217"/>
    <mergeCell ref="A218:B218"/>
    <mergeCell ref="G218:H218"/>
    <mergeCell ref="A219:B219"/>
    <mergeCell ref="G219:H219"/>
    <mergeCell ref="A220:B220"/>
    <mergeCell ref="G220:H220"/>
    <mergeCell ref="G211:H211"/>
    <mergeCell ref="A212:B212"/>
    <mergeCell ref="G212:H212"/>
    <mergeCell ref="A213:B213"/>
    <mergeCell ref="G213:H213"/>
    <mergeCell ref="A214:B214"/>
    <mergeCell ref="G214:H214"/>
    <mergeCell ref="A215:H215"/>
    <mergeCell ref="L215:M215"/>
    <mergeCell ref="L202:M202"/>
    <mergeCell ref="A203:B203"/>
    <mergeCell ref="G203:H203"/>
    <mergeCell ref="A204:B204"/>
    <mergeCell ref="G204:H204"/>
    <mergeCell ref="A205:B205"/>
    <mergeCell ref="G205:H205"/>
    <mergeCell ref="A206:B206"/>
    <mergeCell ref="G206:H206"/>
    <mergeCell ref="E41:H41"/>
    <mergeCell ref="A41:D41"/>
    <mergeCell ref="A380:H380"/>
    <mergeCell ref="A377:H377"/>
    <mergeCell ref="A142:B142"/>
    <mergeCell ref="D172:D173"/>
    <mergeCell ref="E172:E173"/>
    <mergeCell ref="G172:H173"/>
    <mergeCell ref="A101:B101"/>
    <mergeCell ref="A102:B102"/>
    <mergeCell ref="A103:B103"/>
    <mergeCell ref="A93:B93"/>
    <mergeCell ref="C93:H93"/>
    <mergeCell ref="A117:B117"/>
    <mergeCell ref="A72:B72"/>
    <mergeCell ref="F125:H125"/>
    <mergeCell ref="A122:H122"/>
    <mergeCell ref="A123:B123"/>
    <mergeCell ref="A124:H124"/>
    <mergeCell ref="G140:H140"/>
    <mergeCell ref="A120:B120"/>
    <mergeCell ref="A202:H202"/>
    <mergeCell ref="A207:B207"/>
    <mergeCell ref="G207:H207"/>
    <mergeCell ref="A47:B47"/>
    <mergeCell ref="C47:E47"/>
    <mergeCell ref="G47:H47"/>
    <mergeCell ref="G49:H49"/>
    <mergeCell ref="D53:H53"/>
    <mergeCell ref="C49:E49"/>
    <mergeCell ref="A56:C58"/>
    <mergeCell ref="D56:H56"/>
    <mergeCell ref="D57:H57"/>
    <mergeCell ref="C48:E48"/>
    <mergeCell ref="A51:B51"/>
    <mergeCell ref="C51:E51"/>
    <mergeCell ref="A48:B48"/>
    <mergeCell ref="A52:H52"/>
    <mergeCell ref="A53:C53"/>
    <mergeCell ref="A54:C54"/>
    <mergeCell ref="D54:H54"/>
    <mergeCell ref="G51:H51"/>
    <mergeCell ref="D58:H58"/>
    <mergeCell ref="C50:H50"/>
    <mergeCell ref="A121:E121"/>
    <mergeCell ref="F121:H121"/>
    <mergeCell ref="A147:H147"/>
    <mergeCell ref="A139:B139"/>
    <mergeCell ref="F132:H132"/>
    <mergeCell ref="C139:D139"/>
    <mergeCell ref="F128:H128"/>
    <mergeCell ref="F135:H135"/>
    <mergeCell ref="F133:H133"/>
    <mergeCell ref="G139:H139"/>
    <mergeCell ref="A134:E134"/>
    <mergeCell ref="C140:D140"/>
    <mergeCell ref="E140:F140"/>
    <mergeCell ref="C123:H123"/>
    <mergeCell ref="F126:H126"/>
    <mergeCell ref="A126:E126"/>
    <mergeCell ref="A135:E135"/>
    <mergeCell ref="A127:E127"/>
    <mergeCell ref="C142:D142"/>
    <mergeCell ref="G142:H142"/>
    <mergeCell ref="A128:E128"/>
    <mergeCell ref="A383:H386"/>
    <mergeCell ref="A382:B382"/>
    <mergeCell ref="E382:F382"/>
    <mergeCell ref="C382:D382"/>
    <mergeCell ref="G382:H382"/>
    <mergeCell ref="A138:H138"/>
    <mergeCell ref="A136:E136"/>
    <mergeCell ref="F136:H136"/>
    <mergeCell ref="A137:E137"/>
    <mergeCell ref="F137:H137"/>
    <mergeCell ref="A146:B146"/>
    <mergeCell ref="A378:H378"/>
    <mergeCell ref="A141:H141"/>
    <mergeCell ref="A381:H381"/>
    <mergeCell ref="A379:H379"/>
    <mergeCell ref="A364:H364"/>
    <mergeCell ref="C149:C150"/>
    <mergeCell ref="B172:B173"/>
    <mergeCell ref="A375:H375"/>
    <mergeCell ref="A376:H376"/>
    <mergeCell ref="E142:F142"/>
    <mergeCell ref="E139:F139"/>
    <mergeCell ref="A148:H148"/>
    <mergeCell ref="B149:B150"/>
    <mergeCell ref="A62:C62"/>
    <mergeCell ref="D62:H62"/>
    <mergeCell ref="A67:B67"/>
    <mergeCell ref="G66:H66"/>
    <mergeCell ref="A65:B65"/>
    <mergeCell ref="A63:B63"/>
    <mergeCell ref="C63:H63"/>
    <mergeCell ref="A71:B71"/>
    <mergeCell ref="A61:C61"/>
    <mergeCell ref="D61:H61"/>
    <mergeCell ref="C65:H65"/>
    <mergeCell ref="A68:B68"/>
    <mergeCell ref="A70:B70"/>
    <mergeCell ref="E66:F66"/>
    <mergeCell ref="A59:C59"/>
    <mergeCell ref="A60:C60"/>
    <mergeCell ref="D59:H59"/>
    <mergeCell ref="E67:F76"/>
    <mergeCell ref="G67:H76"/>
    <mergeCell ref="A75:B75"/>
    <mergeCell ref="A76:B76"/>
    <mergeCell ref="D60:H60"/>
    <mergeCell ref="A42:D42"/>
    <mergeCell ref="E42:H42"/>
    <mergeCell ref="E43:H43"/>
    <mergeCell ref="E44:H44"/>
    <mergeCell ref="E45:H45"/>
    <mergeCell ref="A43:D43"/>
    <mergeCell ref="A44:D44"/>
    <mergeCell ref="A45:D45"/>
    <mergeCell ref="A46:H46"/>
    <mergeCell ref="D55:H55"/>
    <mergeCell ref="A55:C55"/>
    <mergeCell ref="G48:H48"/>
    <mergeCell ref="A49:B50"/>
    <mergeCell ref="A73:B73"/>
    <mergeCell ref="A66:B66"/>
    <mergeCell ref="A69:B69"/>
    <mergeCell ref="A1:H1"/>
    <mergeCell ref="A2:H2"/>
    <mergeCell ref="A3:D3"/>
    <mergeCell ref="E3:H3"/>
    <mergeCell ref="A4:D4"/>
    <mergeCell ref="A8:D8"/>
    <mergeCell ref="E8:H8"/>
    <mergeCell ref="A11:D11"/>
    <mergeCell ref="E11:H11"/>
    <mergeCell ref="E4:H4"/>
    <mergeCell ref="A12:D12"/>
    <mergeCell ref="E12:H12"/>
    <mergeCell ref="A5:D5"/>
    <mergeCell ref="E5:H5"/>
    <mergeCell ref="A6:D6"/>
    <mergeCell ref="E6:H6"/>
    <mergeCell ref="A7:D7"/>
    <mergeCell ref="E7:H7"/>
    <mergeCell ref="A16:B16"/>
    <mergeCell ref="A13:D13"/>
    <mergeCell ref="E13:H13"/>
    <mergeCell ref="A14:D14"/>
    <mergeCell ref="A9:D9"/>
    <mergeCell ref="E9:H9"/>
    <mergeCell ref="A21:D22"/>
    <mergeCell ref="E21:H22"/>
    <mergeCell ref="E14:H14"/>
    <mergeCell ref="A15:B15"/>
    <mergeCell ref="C15:H15"/>
    <mergeCell ref="C16:H16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A40:D40"/>
    <mergeCell ref="E40:H40"/>
    <mergeCell ref="F32:H32"/>
    <mergeCell ref="F33:H33"/>
    <mergeCell ref="C31:E31"/>
    <mergeCell ref="F34:H34"/>
    <mergeCell ref="F35:H35"/>
    <mergeCell ref="A37:B37"/>
    <mergeCell ref="F31:H31"/>
    <mergeCell ref="A32:B32"/>
    <mergeCell ref="A31:B31"/>
    <mergeCell ref="C32:E32"/>
    <mergeCell ref="A33:B33"/>
    <mergeCell ref="C33:E33"/>
    <mergeCell ref="A36:H36"/>
    <mergeCell ref="A35:B35"/>
    <mergeCell ref="A39:H39"/>
    <mergeCell ref="C35:E35"/>
    <mergeCell ref="A38:B38"/>
    <mergeCell ref="C38:H38"/>
    <mergeCell ref="C37:H37"/>
    <mergeCell ref="A158:B158"/>
    <mergeCell ref="A159:B159"/>
    <mergeCell ref="A153:B153"/>
    <mergeCell ref="A154:B154"/>
    <mergeCell ref="A155:B155"/>
    <mergeCell ref="A156:B156"/>
    <mergeCell ref="A157:B157"/>
    <mergeCell ref="A129:E129"/>
    <mergeCell ref="F129:H129"/>
    <mergeCell ref="A149:A150"/>
    <mergeCell ref="F134:H134"/>
    <mergeCell ref="D149:D150"/>
    <mergeCell ref="G143:H143"/>
    <mergeCell ref="C144:D144"/>
    <mergeCell ref="E144:F144"/>
    <mergeCell ref="G144:H144"/>
    <mergeCell ref="C145:D145"/>
    <mergeCell ref="E145:F145"/>
    <mergeCell ref="G145:H145"/>
    <mergeCell ref="A144:A145"/>
    <mergeCell ref="L159:M159"/>
    <mergeCell ref="L158:M158"/>
    <mergeCell ref="L157:M157"/>
    <mergeCell ref="L156:M156"/>
    <mergeCell ref="L155:M155"/>
    <mergeCell ref="L154:M154"/>
    <mergeCell ref="L153:M153"/>
    <mergeCell ref="A74:B74"/>
    <mergeCell ref="C146:D146"/>
    <mergeCell ref="E146:F146"/>
    <mergeCell ref="G146:H146"/>
    <mergeCell ref="F131:H131"/>
    <mergeCell ref="A125:E125"/>
    <mergeCell ref="A107:B107"/>
    <mergeCell ref="C107:H107"/>
    <mergeCell ref="A152:H152"/>
    <mergeCell ref="E149:E150"/>
    <mergeCell ref="G149:H150"/>
    <mergeCell ref="A97:B97"/>
    <mergeCell ref="E97:F106"/>
    <mergeCell ref="A151:H151"/>
    <mergeCell ref="A143:B143"/>
    <mergeCell ref="C143:D143"/>
    <mergeCell ref="E143:F143"/>
    <mergeCell ref="B371:H371"/>
    <mergeCell ref="B372:H372"/>
    <mergeCell ref="B365:H365"/>
    <mergeCell ref="B366:H366"/>
    <mergeCell ref="B367:H367"/>
    <mergeCell ref="B368:H368"/>
    <mergeCell ref="B369:H369"/>
    <mergeCell ref="A171:H171"/>
    <mergeCell ref="A172:A173"/>
    <mergeCell ref="C172:C173"/>
    <mergeCell ref="A210:B210"/>
    <mergeCell ref="G210:H210"/>
    <mergeCell ref="A211:B211"/>
    <mergeCell ref="G201:H201"/>
    <mergeCell ref="A194:B194"/>
    <mergeCell ref="G194:H194"/>
    <mergeCell ref="A195:B195"/>
    <mergeCell ref="G195:H195"/>
    <mergeCell ref="A196:B196"/>
    <mergeCell ref="G196:H196"/>
    <mergeCell ref="A197:B197"/>
    <mergeCell ref="G197:H197"/>
    <mergeCell ref="A198:B198"/>
    <mergeCell ref="G198:H198"/>
    <mergeCell ref="A170:B170"/>
    <mergeCell ref="G183:H183"/>
    <mergeCell ref="A184:B184"/>
    <mergeCell ref="G184:H184"/>
    <mergeCell ref="A208:B208"/>
    <mergeCell ref="G208:H208"/>
    <mergeCell ref="A209:B209"/>
    <mergeCell ref="G209:H209"/>
    <mergeCell ref="A185:B185"/>
    <mergeCell ref="G185:H185"/>
    <mergeCell ref="A186:B186"/>
    <mergeCell ref="G186:H186"/>
    <mergeCell ref="A187:B187"/>
    <mergeCell ref="G187:H187"/>
    <mergeCell ref="A188:B188"/>
    <mergeCell ref="G188:H188"/>
    <mergeCell ref="A189:H189"/>
    <mergeCell ref="A199:B199"/>
    <mergeCell ref="G199:H199"/>
    <mergeCell ref="A200:B200"/>
    <mergeCell ref="G200:H200"/>
    <mergeCell ref="A201:B201"/>
    <mergeCell ref="A111:B111"/>
    <mergeCell ref="E111:F120"/>
    <mergeCell ref="G111:H120"/>
    <mergeCell ref="A112:B112"/>
    <mergeCell ref="A113:B113"/>
    <mergeCell ref="G97:H106"/>
    <mergeCell ref="A98:B98"/>
    <mergeCell ref="A99:B99"/>
    <mergeCell ref="A100:B100"/>
    <mergeCell ref="A95:B95"/>
    <mergeCell ref="C95:H95"/>
    <mergeCell ref="A96:B96"/>
    <mergeCell ref="E96:F96"/>
    <mergeCell ref="G96:H96"/>
    <mergeCell ref="A130:E130"/>
    <mergeCell ref="F130:H130"/>
    <mergeCell ref="A131:E131"/>
    <mergeCell ref="A133:E133"/>
    <mergeCell ref="F127:H127"/>
    <mergeCell ref="A132:E132"/>
    <mergeCell ref="A114:B114"/>
    <mergeCell ref="A115:B115"/>
    <mergeCell ref="A116:B116"/>
    <mergeCell ref="A118:B118"/>
    <mergeCell ref="A119:B119"/>
    <mergeCell ref="A104:B104"/>
    <mergeCell ref="A105:B105"/>
    <mergeCell ref="A106:B106"/>
    <mergeCell ref="A109:B109"/>
    <mergeCell ref="C109:H109"/>
    <mergeCell ref="A110:B110"/>
    <mergeCell ref="E110:F110"/>
    <mergeCell ref="G110:H110"/>
    <mergeCell ref="L166:M166"/>
    <mergeCell ref="A167:B167"/>
    <mergeCell ref="L167:M167"/>
    <mergeCell ref="A168:B168"/>
    <mergeCell ref="L168:M168"/>
    <mergeCell ref="A169:B169"/>
    <mergeCell ref="L169:M169"/>
    <mergeCell ref="L160:M160"/>
    <mergeCell ref="A161:B161"/>
    <mergeCell ref="L161:M161"/>
    <mergeCell ref="A162:B162"/>
    <mergeCell ref="L162:M162"/>
    <mergeCell ref="A163:B163"/>
    <mergeCell ref="L163:M163"/>
    <mergeCell ref="A164:B164"/>
    <mergeCell ref="L164:M164"/>
    <mergeCell ref="A160:B160"/>
    <mergeCell ref="A165:B165"/>
    <mergeCell ref="L170:M170"/>
    <mergeCell ref="G153:H170"/>
    <mergeCell ref="A174:H174"/>
    <mergeCell ref="A175:H175"/>
    <mergeCell ref="A281:H281"/>
    <mergeCell ref="A282:H282"/>
    <mergeCell ref="A324:H324"/>
    <mergeCell ref="A176:H176"/>
    <mergeCell ref="L176:M176"/>
    <mergeCell ref="A177:B177"/>
    <mergeCell ref="G177:H177"/>
    <mergeCell ref="A178:B178"/>
    <mergeCell ref="G178:H178"/>
    <mergeCell ref="A179:B179"/>
    <mergeCell ref="G179:H179"/>
    <mergeCell ref="A180:B180"/>
    <mergeCell ref="G180:H180"/>
    <mergeCell ref="A181:B181"/>
    <mergeCell ref="G181:H181"/>
    <mergeCell ref="A182:B182"/>
    <mergeCell ref="G182:H182"/>
    <mergeCell ref="A183:B183"/>
    <mergeCell ref="L165:M165"/>
    <mergeCell ref="A166:B166"/>
    <mergeCell ref="L189:M189"/>
    <mergeCell ref="A190:B190"/>
    <mergeCell ref="G190:H190"/>
    <mergeCell ref="A191:B191"/>
    <mergeCell ref="G191:H191"/>
    <mergeCell ref="A192:B192"/>
    <mergeCell ref="G192:H192"/>
    <mergeCell ref="A193:B193"/>
    <mergeCell ref="G193:H193"/>
    <mergeCell ref="A251:B251"/>
    <mergeCell ref="A252:B252"/>
    <mergeCell ref="C252:F253"/>
    <mergeCell ref="A253:B253"/>
    <mergeCell ref="G229:H240"/>
    <mergeCell ref="G242:H253"/>
    <mergeCell ref="A246:B246"/>
    <mergeCell ref="A247:B247"/>
    <mergeCell ref="A248:B248"/>
    <mergeCell ref="A249:B249"/>
    <mergeCell ref="A250:B250"/>
    <mergeCell ref="A241:H241"/>
    <mergeCell ref="A242:B242"/>
    <mergeCell ref="C242:F243"/>
    <mergeCell ref="A243:B243"/>
    <mergeCell ref="A244:B244"/>
    <mergeCell ref="A245:B245"/>
    <mergeCell ref="A232:B232"/>
    <mergeCell ref="A233:B233"/>
    <mergeCell ref="A234:B234"/>
    <mergeCell ref="A235:B235"/>
    <mergeCell ref="A236:B236"/>
    <mergeCell ref="A237:B237"/>
    <mergeCell ref="A238:B238"/>
    <mergeCell ref="A273:B273"/>
    <mergeCell ref="A274:B274"/>
    <mergeCell ref="A259:B259"/>
    <mergeCell ref="A260:B260"/>
    <mergeCell ref="A261:B261"/>
    <mergeCell ref="A262:B262"/>
    <mergeCell ref="A263:B263"/>
    <mergeCell ref="A254:H254"/>
    <mergeCell ref="A255:B255"/>
    <mergeCell ref="A256:B256"/>
    <mergeCell ref="A257:B257"/>
    <mergeCell ref="A258:B258"/>
    <mergeCell ref="A296:H296"/>
    <mergeCell ref="A279:B279"/>
    <mergeCell ref="G268:H279"/>
    <mergeCell ref="G255:H266"/>
    <mergeCell ref="C268:F270"/>
    <mergeCell ref="C277:F279"/>
    <mergeCell ref="A280:H280"/>
    <mergeCell ref="A283:H283"/>
    <mergeCell ref="L283:M283"/>
    <mergeCell ref="A275:B275"/>
    <mergeCell ref="A276:B276"/>
    <mergeCell ref="A277:B277"/>
    <mergeCell ref="A278:B278"/>
    <mergeCell ref="A264:B264"/>
    <mergeCell ref="A265:B265"/>
    <mergeCell ref="A266:B266"/>
    <mergeCell ref="C255:F257"/>
    <mergeCell ref="C264:F266"/>
    <mergeCell ref="A267:H267"/>
    <mergeCell ref="A268:B268"/>
    <mergeCell ref="A269:B269"/>
    <mergeCell ref="A270:B270"/>
    <mergeCell ref="A271:B271"/>
    <mergeCell ref="A272:B272"/>
    <mergeCell ref="A289:H289"/>
    <mergeCell ref="A290:B290"/>
    <mergeCell ref="G290:H290"/>
    <mergeCell ref="A291:B291"/>
    <mergeCell ref="G291:H291"/>
    <mergeCell ref="A292:B292"/>
    <mergeCell ref="G292:H292"/>
    <mergeCell ref="A284:B284"/>
    <mergeCell ref="A285:B285"/>
    <mergeCell ref="A286:B286"/>
    <mergeCell ref="A287:B287"/>
    <mergeCell ref="A288:B288"/>
    <mergeCell ref="G284:H288"/>
    <mergeCell ref="G326:H326"/>
    <mergeCell ref="A327:B327"/>
    <mergeCell ref="G327:H327"/>
    <mergeCell ref="A328:B328"/>
    <mergeCell ref="G328:H328"/>
    <mergeCell ref="A303:H303"/>
    <mergeCell ref="L303:M303"/>
    <mergeCell ref="A304:B304"/>
    <mergeCell ref="G304:H304"/>
    <mergeCell ref="A305:B305"/>
    <mergeCell ref="G305:H305"/>
    <mergeCell ref="A306:B306"/>
    <mergeCell ref="G306:H306"/>
    <mergeCell ref="A307:B307"/>
    <mergeCell ref="G307:H307"/>
    <mergeCell ref="A316:B316"/>
    <mergeCell ref="G316:H316"/>
    <mergeCell ref="A317:H317"/>
    <mergeCell ref="L317:M317"/>
    <mergeCell ref="A323:B323"/>
    <mergeCell ref="G323:H323"/>
    <mergeCell ref="A318:B318"/>
    <mergeCell ref="G318:H318"/>
    <mergeCell ref="A319:B319"/>
    <mergeCell ref="L334:M334"/>
    <mergeCell ref="A335:B335"/>
    <mergeCell ref="G335:H335"/>
    <mergeCell ref="A336:B336"/>
    <mergeCell ref="G336:H336"/>
    <mergeCell ref="A337:B337"/>
    <mergeCell ref="G337:H337"/>
    <mergeCell ref="A309:B309"/>
    <mergeCell ref="G309:H309"/>
    <mergeCell ref="A310:H310"/>
    <mergeCell ref="L310:M310"/>
    <mergeCell ref="A311:B311"/>
    <mergeCell ref="G311:H311"/>
    <mergeCell ref="A312:B312"/>
    <mergeCell ref="G312:H312"/>
    <mergeCell ref="A313:B313"/>
    <mergeCell ref="G313:H313"/>
    <mergeCell ref="A314:B314"/>
    <mergeCell ref="G314:H314"/>
    <mergeCell ref="A315:B315"/>
    <mergeCell ref="G315:H315"/>
    <mergeCell ref="A325:H325"/>
    <mergeCell ref="L325:M325"/>
    <mergeCell ref="A326:B326"/>
    <mergeCell ref="G338:H338"/>
    <mergeCell ref="A329:H329"/>
    <mergeCell ref="A330:B330"/>
    <mergeCell ref="G330:H330"/>
    <mergeCell ref="A331:B331"/>
    <mergeCell ref="G331:H331"/>
    <mergeCell ref="A332:B332"/>
    <mergeCell ref="G332:H332"/>
    <mergeCell ref="A333:B333"/>
    <mergeCell ref="G333:H333"/>
    <mergeCell ref="A338:B338"/>
    <mergeCell ref="A334:H334"/>
    <mergeCell ref="L339:M339"/>
    <mergeCell ref="A340:B340"/>
    <mergeCell ref="G340:H340"/>
    <mergeCell ref="A341:B341"/>
    <mergeCell ref="G341:H341"/>
    <mergeCell ref="A342:B342"/>
    <mergeCell ref="G342:H342"/>
    <mergeCell ref="A343:B343"/>
    <mergeCell ref="G343:H343"/>
    <mergeCell ref="A339:H339"/>
    <mergeCell ref="L344:M344"/>
    <mergeCell ref="A345:B345"/>
    <mergeCell ref="G345:H345"/>
    <mergeCell ref="A346:B346"/>
    <mergeCell ref="G346:H346"/>
    <mergeCell ref="A347:B347"/>
    <mergeCell ref="G347:H347"/>
    <mergeCell ref="A348:B348"/>
    <mergeCell ref="G348:H348"/>
    <mergeCell ref="A344:H344"/>
    <mergeCell ref="L354:M354"/>
    <mergeCell ref="A355:B355"/>
    <mergeCell ref="A356:B356"/>
    <mergeCell ref="A357:B357"/>
    <mergeCell ref="A358:B358"/>
    <mergeCell ref="G355:H358"/>
    <mergeCell ref="L349:M349"/>
    <mergeCell ref="A350:B350"/>
    <mergeCell ref="G350:H350"/>
    <mergeCell ref="A351:B351"/>
    <mergeCell ref="G351:H351"/>
    <mergeCell ref="A352:B352"/>
    <mergeCell ref="G352:H352"/>
    <mergeCell ref="A353:B353"/>
    <mergeCell ref="G353:H353"/>
    <mergeCell ref="A349:H349"/>
    <mergeCell ref="A360:B360"/>
    <mergeCell ref="G360:H360"/>
    <mergeCell ref="A361:B361"/>
    <mergeCell ref="G361:H361"/>
    <mergeCell ref="A362:B362"/>
    <mergeCell ref="G362:H362"/>
    <mergeCell ref="A363:B363"/>
    <mergeCell ref="G363:H363"/>
    <mergeCell ref="A354:H354"/>
    <mergeCell ref="A359:H359"/>
    <mergeCell ref="G319:H319"/>
    <mergeCell ref="A320:B320"/>
    <mergeCell ref="G320:H320"/>
    <mergeCell ref="A321:B321"/>
    <mergeCell ref="G321:H321"/>
    <mergeCell ref="A322:B322"/>
    <mergeCell ref="G322:H322"/>
    <mergeCell ref="A308:B308"/>
    <mergeCell ref="G308:H308"/>
    <mergeCell ref="I11:L11"/>
    <mergeCell ref="K99:S100"/>
    <mergeCell ref="K101:S101"/>
    <mergeCell ref="J2:R3"/>
    <mergeCell ref="J4:R4"/>
    <mergeCell ref="A302:B302"/>
    <mergeCell ref="G302:H302"/>
    <mergeCell ref="A297:B297"/>
    <mergeCell ref="G297:H297"/>
    <mergeCell ref="A298:B298"/>
    <mergeCell ref="G298:H298"/>
    <mergeCell ref="A299:B299"/>
    <mergeCell ref="G299:H299"/>
    <mergeCell ref="A300:B300"/>
    <mergeCell ref="G300:H300"/>
    <mergeCell ref="A301:B301"/>
    <mergeCell ref="G301:H301"/>
    <mergeCell ref="A293:B293"/>
    <mergeCell ref="G293:H293"/>
    <mergeCell ref="A294:B294"/>
    <mergeCell ref="G294:H294"/>
    <mergeCell ref="A295:B295"/>
    <mergeCell ref="G295:H295"/>
    <mergeCell ref="L296:M296"/>
  </mergeCells>
  <hyperlinks>
    <hyperlink ref="C38" r:id="rId1" xr:uid="{00000000-0004-0000-0000-000000000000}"/>
  </hyperlinks>
  <printOptions horizontalCentered="1"/>
  <pageMargins left="0.31496062992125984" right="0.31496062992125984" top="0.78740157480314965" bottom="0.78740157480314965" header="0.19685039370078741" footer="0.19685039370078741"/>
  <pageSetup paperSize="2" orientation="portrait" r:id="rId2"/>
  <headerFooter>
    <oddHeader>&amp;C&amp;G</oddHeader>
    <oddFooter>&amp;L&amp;"Times New Roman,Bold"&amp;12Ref No: &amp;F&amp;C&amp;G&amp;R&amp;"Times New Roman,Bold"&amp;12
                                                           &amp;P</oddFooter>
  </headerFooter>
  <rowBreaks count="8" manualBreakCount="8">
    <brk id="62" max="16383" man="1"/>
    <brk id="92" max="16383" man="1"/>
    <brk id="140" max="7" man="1"/>
    <brk id="348" max="7" man="1"/>
    <brk id="386" max="7" man="1"/>
    <brk id="429" max="7" man="1"/>
    <brk id="469" max="7" man="1"/>
    <brk id="511" max="7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4" workbookViewId="0">
      <selection activeCell="F21" sqref="F21"/>
    </sheetView>
  </sheetViews>
  <sheetFormatPr defaultRowHeight="14.4" x14ac:dyDescent="0.3"/>
  <cols>
    <col min="2" max="2" width="12.33203125" customWidth="1"/>
  </cols>
  <sheetData>
    <row r="2" spans="1:12" x14ac:dyDescent="0.3">
      <c r="B2" s="3" t="s">
        <v>74</v>
      </c>
      <c r="C2" s="227"/>
      <c r="D2" s="227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75</v>
      </c>
      <c r="B4" s="5" t="s">
        <v>76</v>
      </c>
      <c r="C4" s="228" t="s">
        <v>77</v>
      </c>
      <c r="D4" s="228"/>
      <c r="E4" s="228"/>
      <c r="F4" s="6"/>
      <c r="G4" s="228" t="s">
        <v>78</v>
      </c>
      <c r="H4" s="228"/>
      <c r="I4" s="228"/>
      <c r="J4" s="228" t="s">
        <v>79</v>
      </c>
      <c r="K4" s="228"/>
      <c r="L4" s="228"/>
    </row>
    <row r="5" spans="1:12" x14ac:dyDescent="0.3">
      <c r="A5" s="3">
        <v>202</v>
      </c>
      <c r="B5" s="5"/>
      <c r="C5" s="5" t="s">
        <v>80</v>
      </c>
      <c r="D5" s="5" t="s">
        <v>81</v>
      </c>
      <c r="E5" s="5" t="s">
        <v>58</v>
      </c>
      <c r="F5" s="5"/>
      <c r="G5" s="5" t="s">
        <v>80</v>
      </c>
      <c r="H5" s="5" t="s">
        <v>81</v>
      </c>
      <c r="I5" s="5" t="s">
        <v>58</v>
      </c>
      <c r="J5" s="5" t="s">
        <v>80</v>
      </c>
      <c r="K5" s="5" t="s">
        <v>81</v>
      </c>
      <c r="L5" s="5" t="s">
        <v>58</v>
      </c>
    </row>
    <row r="6" spans="1:12" x14ac:dyDescent="0.3">
      <c r="B6" s="7" t="s">
        <v>82</v>
      </c>
      <c r="C6" s="7"/>
      <c r="D6" s="7"/>
      <c r="E6" s="7">
        <f>C6*D6</f>
        <v>0</v>
      </c>
      <c r="F6" s="7" t="s">
        <v>83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84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85</v>
      </c>
      <c r="C9" s="7"/>
      <c r="D9" s="7"/>
      <c r="E9" s="7">
        <f t="shared" si="0"/>
        <v>0</v>
      </c>
      <c r="F9" s="7" t="s">
        <v>83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84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86</v>
      </c>
      <c r="C13" s="7"/>
      <c r="D13" s="7"/>
      <c r="E13" s="7">
        <f t="shared" si="0"/>
        <v>0</v>
      </c>
      <c r="F13" s="7" t="s">
        <v>83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84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87</v>
      </c>
      <c r="C17" s="7"/>
      <c r="D17" s="7"/>
      <c r="E17" s="7">
        <f t="shared" si="0"/>
        <v>0</v>
      </c>
      <c r="F17" s="7" t="s">
        <v>83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84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87</v>
      </c>
      <c r="C20" s="7"/>
      <c r="D20" s="7"/>
      <c r="E20" s="7">
        <f t="shared" si="0"/>
        <v>0</v>
      </c>
      <c r="F20" s="7" t="s">
        <v>83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84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88</v>
      </c>
      <c r="C23" s="7"/>
      <c r="D23" s="7"/>
      <c r="E23" s="7">
        <f t="shared" si="0"/>
        <v>0</v>
      </c>
      <c r="F23" s="7" t="s">
        <v>89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90</v>
      </c>
      <c r="C24" s="7"/>
      <c r="D24" s="7"/>
      <c r="E24" s="7">
        <f t="shared" si="0"/>
        <v>0</v>
      </c>
      <c r="F24" s="7" t="s">
        <v>89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91</v>
      </c>
      <c r="C25" s="7"/>
      <c r="D25" s="7"/>
      <c r="E25" s="7">
        <f t="shared" si="0"/>
        <v>0</v>
      </c>
      <c r="F25" s="7" t="s">
        <v>89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92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93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94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95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59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topLeftCell="A3" zoomScale="85" zoomScaleNormal="85" workbookViewId="0">
      <selection activeCell="B4" sqref="B4"/>
    </sheetView>
  </sheetViews>
  <sheetFormatPr defaultColWidth="8.6640625" defaultRowHeight="14.4" x14ac:dyDescent="0.3"/>
  <cols>
    <col min="1" max="1" width="8.6640625" style="52"/>
    <col min="2" max="2" width="22.109375" style="52" customWidth="1"/>
    <col min="3" max="3" width="37" style="52" customWidth="1"/>
    <col min="4" max="5" width="11.44140625" style="52" customWidth="1"/>
    <col min="6" max="6" width="14" style="52" customWidth="1"/>
    <col min="7" max="7" width="20" style="52" customWidth="1"/>
    <col min="8" max="8" width="16.44140625" style="52" customWidth="1"/>
    <col min="9" max="16384" width="8.6640625" style="52"/>
  </cols>
  <sheetData>
    <row r="1" spans="1:9" ht="15" customHeight="1" x14ac:dyDescent="0.3"/>
    <row r="2" spans="1:9" ht="15" customHeight="1" x14ac:dyDescent="0.3">
      <c r="A2" s="53"/>
      <c r="B2" s="53"/>
      <c r="C2" s="53"/>
      <c r="D2" s="53"/>
      <c r="E2" s="53"/>
      <c r="F2" s="53"/>
      <c r="G2" s="53"/>
      <c r="H2" s="53"/>
    </row>
    <row r="3" spans="1:9" ht="15.75" customHeight="1" x14ac:dyDescent="0.3">
      <c r="A3" s="53"/>
      <c r="B3" s="229"/>
      <c r="C3" s="229"/>
      <c r="D3" s="229"/>
      <c r="E3" s="229"/>
      <c r="F3" s="229"/>
      <c r="G3" s="229"/>
      <c r="H3" s="229"/>
    </row>
    <row r="4" spans="1:9" x14ac:dyDescent="0.3">
      <c r="A4" s="53"/>
      <c r="B4" s="54"/>
      <c r="C4" s="54"/>
      <c r="D4" s="54"/>
      <c r="E4" s="54"/>
      <c r="F4" s="54"/>
      <c r="G4" s="54"/>
      <c r="H4" s="54"/>
    </row>
    <row r="5" spans="1:9" ht="15" customHeight="1" x14ac:dyDescent="0.3">
      <c r="A5" s="53"/>
      <c r="B5" s="55"/>
      <c r="C5" s="56"/>
      <c r="D5" s="55"/>
      <c r="E5" s="55"/>
      <c r="F5" s="57"/>
      <c r="G5" s="57"/>
      <c r="H5" s="58"/>
    </row>
    <row r="6" spans="1:9" x14ac:dyDescent="0.3">
      <c r="A6" s="53"/>
      <c r="B6" s="55"/>
      <c r="C6" s="59"/>
      <c r="D6" s="55"/>
      <c r="E6" s="55"/>
      <c r="F6" s="57"/>
      <c r="G6" s="57"/>
      <c r="H6" s="58"/>
    </row>
    <row r="7" spans="1:9" ht="15" customHeight="1" x14ac:dyDescent="0.3">
      <c r="A7" s="53"/>
      <c r="B7" s="55"/>
      <c r="C7" s="56"/>
      <c r="D7" s="55"/>
      <c r="E7" s="55"/>
      <c r="F7" s="57"/>
      <c r="G7" s="57"/>
      <c r="H7" s="58"/>
    </row>
    <row r="8" spans="1:9" x14ac:dyDescent="0.3">
      <c r="A8" s="53"/>
      <c r="B8" s="55"/>
      <c r="C8" s="59"/>
      <c r="D8" s="55"/>
      <c r="E8" s="55"/>
      <c r="F8" s="57"/>
      <c r="G8" s="57"/>
      <c r="H8" s="58"/>
    </row>
    <row r="9" spans="1:9" ht="15" customHeight="1" x14ac:dyDescent="0.3">
      <c r="A9" s="53"/>
      <c r="B9" s="55"/>
      <c r="C9" s="59"/>
      <c r="D9" s="55"/>
      <c r="E9" s="55"/>
      <c r="F9" s="57"/>
      <c r="G9" s="57"/>
      <c r="H9" s="58"/>
    </row>
    <row r="10" spans="1:9" ht="15" customHeight="1" x14ac:dyDescent="0.3">
      <c r="A10" s="53"/>
      <c r="B10" s="55"/>
      <c r="C10" s="56"/>
      <c r="D10" s="55"/>
      <c r="E10" s="55"/>
      <c r="F10" s="57"/>
      <c r="G10" s="57"/>
      <c r="H10" s="58"/>
    </row>
    <row r="11" spans="1:9" ht="15" customHeight="1" x14ac:dyDescent="0.3">
      <c r="A11" s="53"/>
      <c r="B11" s="55"/>
      <c r="C11" s="56"/>
      <c r="D11" s="55"/>
      <c r="E11" s="55"/>
      <c r="F11" s="57"/>
      <c r="G11" s="57"/>
      <c r="H11" s="58"/>
    </row>
    <row r="12" spans="1:9" ht="15" customHeight="1" x14ac:dyDescent="0.3">
      <c r="A12" s="53"/>
      <c r="B12" s="60"/>
      <c r="C12" s="55"/>
      <c r="D12" s="55"/>
      <c r="E12" s="55"/>
      <c r="F12" s="55"/>
      <c r="G12" s="61"/>
      <c r="H12" s="55"/>
    </row>
    <row r="13" spans="1:9" ht="15" customHeight="1" x14ac:dyDescent="0.3">
      <c r="B13" s="60"/>
      <c r="C13" s="55"/>
      <c r="D13" s="55"/>
      <c r="E13" s="55"/>
      <c r="F13" s="62"/>
      <c r="G13" s="60"/>
      <c r="H13" s="60"/>
      <c r="I13" s="63"/>
    </row>
    <row r="14" spans="1:9" ht="15" customHeight="1" x14ac:dyDescent="0.3"/>
    <row r="15" spans="1:9" ht="15" customHeight="1" x14ac:dyDescent="0.3"/>
    <row r="16" spans="1:9" ht="15" customHeight="1" x14ac:dyDescent="0.3">
      <c r="F16" s="64"/>
    </row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G16" sqref="G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pranitam503@gmail.com</cp:lastModifiedBy>
  <cp:lastPrinted>2025-08-13T11:11:49Z</cp:lastPrinted>
  <dcterms:created xsi:type="dcterms:W3CDTF">2019-07-16T09:29:46Z</dcterms:created>
  <dcterms:modified xsi:type="dcterms:W3CDTF">2025-08-13T11:12:36Z</dcterms:modified>
</cp:coreProperties>
</file>