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20-08-2025\Axis Mira Road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74" i="1" l="1"/>
  <c r="J92" i="1"/>
  <c r="J91" i="1"/>
  <c r="J90" i="1"/>
  <c r="J89" i="1"/>
  <c r="H82" i="1"/>
  <c r="D93" i="1" l="1"/>
  <c r="D89" i="1"/>
  <c r="D92" i="1"/>
  <c r="D88" i="1"/>
  <c r="J87" i="1"/>
  <c r="J81" i="1"/>
  <c r="J83" i="1" s="1"/>
  <c r="D91" i="1"/>
  <c r="D87" i="1"/>
  <c r="J84" i="1"/>
  <c r="J86" i="1"/>
  <c r="C85" i="1" s="1"/>
  <c r="D94" i="1"/>
  <c r="D90" i="1"/>
  <c r="J85" i="1"/>
  <c r="D126" i="1"/>
  <c r="D127" i="1"/>
  <c r="J88" i="1" l="1"/>
  <c r="D85" i="1"/>
  <c r="D164" i="1"/>
  <c r="D170" i="1"/>
  <c r="F170" i="1" s="1"/>
  <c r="D182" i="1"/>
  <c r="F182" i="1" s="1"/>
  <c r="D217" i="1"/>
  <c r="F217" i="1" s="1"/>
  <c r="D216" i="1"/>
  <c r="F216" i="1" s="1"/>
  <c r="D215" i="1"/>
  <c r="F215" i="1" s="1"/>
  <c r="D214" i="1"/>
  <c r="D212" i="1"/>
  <c r="F212" i="1" s="1"/>
  <c r="D211" i="1"/>
  <c r="F211" i="1" s="1"/>
  <c r="D210" i="1"/>
  <c r="F210" i="1" s="1"/>
  <c r="D209" i="1"/>
  <c r="F209" i="1" s="1"/>
  <c r="D206" i="1"/>
  <c r="F206" i="1" s="1"/>
  <c r="D205" i="1"/>
  <c r="F205" i="1" s="1"/>
  <c r="D204" i="1"/>
  <c r="F204" i="1" s="1"/>
  <c r="D203" i="1"/>
  <c r="F203" i="1" s="1"/>
  <c r="D202" i="1"/>
  <c r="F202" i="1" s="1"/>
  <c r="D200" i="1"/>
  <c r="F200" i="1" s="1"/>
  <c r="D199" i="1"/>
  <c r="F199" i="1" s="1"/>
  <c r="D198" i="1"/>
  <c r="F198" i="1" s="1"/>
  <c r="D197" i="1"/>
  <c r="F197" i="1" s="1"/>
  <c r="D196" i="1"/>
  <c r="F196" i="1" s="1"/>
  <c r="D194" i="1"/>
  <c r="F194" i="1" s="1"/>
  <c r="D193" i="1"/>
  <c r="F193" i="1" s="1"/>
  <c r="D192" i="1"/>
  <c r="F192" i="1" s="1"/>
  <c r="D191" i="1"/>
  <c r="F191" i="1" s="1"/>
  <c r="D190" i="1"/>
  <c r="F190" i="1" s="1"/>
  <c r="D188" i="1"/>
  <c r="F188" i="1" s="1"/>
  <c r="D187" i="1"/>
  <c r="F187" i="1" s="1"/>
  <c r="D186" i="1"/>
  <c r="F186" i="1" s="1"/>
  <c r="D185" i="1"/>
  <c r="F185" i="1" s="1"/>
  <c r="D184" i="1"/>
  <c r="F184" i="1" s="1"/>
  <c r="D181" i="1"/>
  <c r="F181" i="1" s="1"/>
  <c r="D180" i="1"/>
  <c r="F180" i="1" s="1"/>
  <c r="D179" i="1"/>
  <c r="F179" i="1" s="1"/>
  <c r="D176" i="1"/>
  <c r="F176" i="1" s="1"/>
  <c r="D175" i="1"/>
  <c r="F175" i="1" s="1"/>
  <c r="D174" i="1"/>
  <c r="F174" i="1" s="1"/>
  <c r="D173" i="1"/>
  <c r="F173" i="1" s="1"/>
  <c r="D172" i="1"/>
  <c r="F172" i="1" s="1"/>
  <c r="D169" i="1"/>
  <c r="F169" i="1" s="1"/>
  <c r="D168" i="1"/>
  <c r="F168" i="1" s="1"/>
  <c r="D167" i="1"/>
  <c r="F167" i="1" s="1"/>
  <c r="D166" i="1"/>
  <c r="F166" i="1" s="1"/>
  <c r="D163" i="1"/>
  <c r="F163" i="1" s="1"/>
  <c r="D162" i="1"/>
  <c r="F162" i="1" s="1"/>
  <c r="D161" i="1"/>
  <c r="F161" i="1" s="1"/>
  <c r="D160" i="1"/>
  <c r="F160" i="1" s="1"/>
  <c r="D158" i="1"/>
  <c r="D157" i="1"/>
  <c r="D156" i="1"/>
  <c r="D155" i="1"/>
  <c r="D154" i="1"/>
  <c r="D152" i="1"/>
  <c r="D151" i="1"/>
  <c r="D150" i="1"/>
  <c r="D146" i="1"/>
  <c r="D145" i="1"/>
  <c r="D144" i="1"/>
  <c r="D129" i="1"/>
  <c r="C113" i="1" s="1"/>
  <c r="E112" i="1"/>
  <c r="J126" i="1"/>
  <c r="A215" i="1"/>
  <c r="A216" i="1" s="1"/>
  <c r="A217" i="1" s="1"/>
  <c r="A218" i="1" s="1"/>
  <c r="G214" i="1"/>
  <c r="G215" i="1" s="1"/>
  <c r="G216" i="1" s="1"/>
  <c r="G217" i="1" s="1"/>
  <c r="G218" i="1" s="1"/>
  <c r="F214" i="1"/>
  <c r="A209" i="1"/>
  <c r="A210" i="1" s="1"/>
  <c r="A211" i="1" s="1"/>
  <c r="A212" i="1" s="1"/>
  <c r="G208" i="1"/>
  <c r="G209" i="1" s="1"/>
  <c r="G210" i="1" s="1"/>
  <c r="G211" i="1" s="1"/>
  <c r="G212" i="1" s="1"/>
  <c r="A203" i="1"/>
  <c r="A204" i="1" s="1"/>
  <c r="A205" i="1" s="1"/>
  <c r="A206" i="1" s="1"/>
  <c r="G202" i="1"/>
  <c r="G203" i="1" s="1"/>
  <c r="G204" i="1" s="1"/>
  <c r="G205" i="1" s="1"/>
  <c r="G206" i="1" s="1"/>
  <c r="A197" i="1"/>
  <c r="A198" i="1" s="1"/>
  <c r="A199" i="1" s="1"/>
  <c r="A200" i="1" s="1"/>
  <c r="G196" i="1"/>
  <c r="G197" i="1" s="1"/>
  <c r="G198" i="1" s="1"/>
  <c r="G199" i="1" s="1"/>
  <c r="G200" i="1" s="1"/>
  <c r="A191" i="1"/>
  <c r="A192" i="1" s="1"/>
  <c r="A193" i="1" s="1"/>
  <c r="A194" i="1" s="1"/>
  <c r="G190" i="1"/>
  <c r="G191" i="1" s="1"/>
  <c r="G192" i="1" s="1"/>
  <c r="G193" i="1" s="1"/>
  <c r="G194" i="1" s="1"/>
  <c r="A185" i="1"/>
  <c r="A186" i="1" s="1"/>
  <c r="A187" i="1" s="1"/>
  <c r="A188" i="1" s="1"/>
  <c r="G184" i="1"/>
  <c r="G185" i="1" s="1"/>
  <c r="G186" i="1" s="1"/>
  <c r="G187" i="1" s="1"/>
  <c r="G188" i="1" s="1"/>
  <c r="A179" i="1"/>
  <c r="A180" i="1" s="1"/>
  <c r="A181" i="1" s="1"/>
  <c r="A182" i="1" s="1"/>
  <c r="G178" i="1"/>
  <c r="G179" i="1" s="1"/>
  <c r="G180" i="1" s="1"/>
  <c r="G181" i="1" s="1"/>
  <c r="G182" i="1" s="1"/>
  <c r="A173" i="1"/>
  <c r="A174" i="1" s="1"/>
  <c r="A175" i="1" s="1"/>
  <c r="A176" i="1" s="1"/>
  <c r="G172" i="1"/>
  <c r="G173" i="1" s="1"/>
  <c r="G174" i="1" s="1"/>
  <c r="G175" i="1" s="1"/>
  <c r="G176" i="1" s="1"/>
  <c r="A167" i="1"/>
  <c r="A168" i="1" s="1"/>
  <c r="A169" i="1" s="1"/>
  <c r="A170" i="1" s="1"/>
  <c r="G166" i="1"/>
  <c r="G167" i="1" s="1"/>
  <c r="G168" i="1" s="1"/>
  <c r="G169" i="1" s="1"/>
  <c r="G170" i="1" s="1"/>
  <c r="F164" i="1"/>
  <c r="A161" i="1"/>
  <c r="A162" i="1" s="1"/>
  <c r="A163" i="1" s="1"/>
  <c r="A164" i="1" s="1"/>
  <c r="G160" i="1"/>
  <c r="G161" i="1" s="1"/>
  <c r="G162" i="1" s="1"/>
  <c r="G163" i="1" s="1"/>
  <c r="G164" i="1" s="1"/>
  <c r="J93" i="1" l="1"/>
  <c r="J94" i="1" s="1"/>
  <c r="C86" i="1" s="1"/>
  <c r="G85" i="1" s="1"/>
  <c r="C117" i="1"/>
  <c r="C118" i="1" s="1"/>
  <c r="E113" i="1"/>
  <c r="E114" i="1" s="1"/>
  <c r="E117" i="1"/>
  <c r="E118" i="1" s="1"/>
  <c r="C112" i="1"/>
  <c r="C114" i="1" s="1"/>
  <c r="F158" i="1"/>
  <c r="F157" i="1"/>
  <c r="F156" i="1"/>
  <c r="F155" i="1"/>
  <c r="A155" i="1"/>
  <c r="A156" i="1" s="1"/>
  <c r="A157" i="1" s="1"/>
  <c r="A158" i="1" s="1"/>
  <c r="G154" i="1"/>
  <c r="G155" i="1" s="1"/>
  <c r="G156" i="1" s="1"/>
  <c r="G157" i="1" s="1"/>
  <c r="G158" i="1" s="1"/>
  <c r="F154" i="1"/>
  <c r="F152" i="1"/>
  <c r="F151" i="1"/>
  <c r="F150" i="1"/>
  <c r="A149" i="1"/>
  <c r="A150" i="1" s="1"/>
  <c r="A151" i="1" s="1"/>
  <c r="A152" i="1" s="1"/>
  <c r="G148" i="1"/>
  <c r="F146" i="1"/>
  <c r="F145" i="1"/>
  <c r="F144" i="1"/>
  <c r="J145" i="1"/>
  <c r="J144" i="1"/>
  <c r="A143" i="1"/>
  <c r="A144" i="1" s="1"/>
  <c r="A145" i="1" s="1"/>
  <c r="A146" i="1" s="1"/>
  <c r="G142" i="1"/>
  <c r="F129" i="1"/>
  <c r="G113" i="1" s="1"/>
  <c r="G129" i="1"/>
  <c r="F127" i="1"/>
  <c r="A127" i="1"/>
  <c r="G126" i="1"/>
  <c r="F126" i="1"/>
  <c r="D86" i="1" l="1"/>
  <c r="I82" i="1" s="1"/>
  <c r="I83" i="1" s="1"/>
  <c r="J82" i="1"/>
  <c r="E85" i="1"/>
  <c r="G112" i="1"/>
  <c r="G114" i="1" s="1"/>
  <c r="G117" i="1"/>
  <c r="G118" i="1" s="1"/>
  <c r="E119" i="1"/>
  <c r="C119" i="1"/>
  <c r="I81" i="1" l="1"/>
  <c r="C83" i="1" s="1"/>
  <c r="G119" i="1"/>
  <c r="E43" i="1"/>
  <c r="E44" i="1" s="1"/>
  <c r="E30" i="1" l="1"/>
  <c r="F221" i="1" l="1"/>
  <c r="F222" i="1"/>
  <c r="F223" i="1"/>
  <c r="F220" i="1"/>
  <c r="A221" i="1"/>
  <c r="A222" i="1" s="1"/>
  <c r="A223" i="1" s="1"/>
  <c r="G220" i="1"/>
  <c r="G221" i="1" s="1"/>
  <c r="G222" i="1" s="1"/>
  <c r="G223" i="1" s="1"/>
  <c r="F109" i="1" l="1"/>
  <c r="F132" i="1" l="1"/>
  <c r="F133" i="1"/>
  <c r="F134" i="1"/>
  <c r="F131" i="1"/>
  <c r="B250" i="1" l="1"/>
  <c r="A237" i="1"/>
  <c r="A231" i="1"/>
  <c r="A243" i="1"/>
  <c r="F247" i="1" l="1"/>
  <c r="F246" i="1"/>
  <c r="F245" i="1"/>
  <c r="F244" i="1"/>
  <c r="F243" i="1"/>
  <c r="F241" i="1"/>
  <c r="F240" i="1"/>
  <c r="F239" i="1"/>
  <c r="F238" i="1"/>
  <c r="F237" i="1"/>
  <c r="F235" i="1"/>
  <c r="F234" i="1"/>
  <c r="F233" i="1"/>
  <c r="F232" i="1"/>
  <c r="F231" i="1"/>
  <c r="F229" i="1"/>
  <c r="F228" i="1"/>
  <c r="F226" i="1"/>
  <c r="F225" i="1"/>
  <c r="F227" i="1"/>
  <c r="A238" i="1"/>
  <c r="A244" i="1"/>
  <c r="A232" i="1"/>
  <c r="B251" i="1" l="1"/>
  <c r="A245" i="1"/>
  <c r="A233" i="1"/>
  <c r="A239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72" i="1"/>
  <c r="G243" i="1"/>
  <c r="G244" i="1" s="1"/>
  <c r="G245" i="1" s="1"/>
  <c r="G246" i="1" s="1"/>
  <c r="G247" i="1" s="1"/>
  <c r="G237" i="1"/>
  <c r="G238" i="1" s="1"/>
  <c r="G239" i="1" s="1"/>
  <c r="G240" i="1" s="1"/>
  <c r="G241" i="1" s="1"/>
  <c r="G231" i="1"/>
  <c r="G232" i="1" s="1"/>
  <c r="G233" i="1" s="1"/>
  <c r="G234" i="1" s="1"/>
  <c r="G235" i="1" s="1"/>
  <c r="G225" i="1"/>
  <c r="G226" i="1" s="1"/>
  <c r="G227" i="1" s="1"/>
  <c r="G228" i="1" s="1"/>
  <c r="G229" i="1" s="1"/>
  <c r="A225" i="1"/>
  <c r="A226" i="1" s="1"/>
  <c r="A227" i="1" s="1"/>
  <c r="A228" i="1" s="1"/>
  <c r="A229" i="1" s="1"/>
  <c r="A132" i="1"/>
  <c r="A133" i="1" s="1"/>
  <c r="A134" i="1" s="1"/>
  <c r="G131" i="1"/>
  <c r="G132" i="1" s="1"/>
  <c r="G133" i="1" s="1"/>
  <c r="G134" i="1" s="1"/>
  <c r="C67" i="1"/>
  <c r="D55" i="1"/>
  <c r="G50" i="1"/>
  <c r="C50" i="1"/>
  <c r="E27" i="1"/>
  <c r="E25" i="1"/>
  <c r="E7" i="1"/>
  <c r="E3" i="1"/>
  <c r="A240" i="1"/>
  <c r="H68" i="1"/>
  <c r="A234" i="1"/>
  <c r="A246" i="1"/>
  <c r="D61" i="1" l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A235" i="1"/>
  <c r="A241" i="1"/>
  <c r="A247" i="1"/>
  <c r="J79" i="1" l="1"/>
  <c r="J75" i="1"/>
  <c r="J76" i="1" s="1"/>
  <c r="J77" i="1" s="1"/>
  <c r="J78" i="1" s="1"/>
  <c r="D73" i="1"/>
  <c r="J69" i="1"/>
  <c r="D71" i="1"/>
  <c r="J80" i="1" l="1"/>
  <c r="C72" i="1" l="1"/>
  <c r="G71" i="1" s="1"/>
  <c r="D65" i="1" s="1"/>
  <c r="E71" i="1" l="1"/>
  <c r="D72" i="1"/>
  <c r="I68" i="1" s="1"/>
  <c r="I69" i="1" s="1"/>
  <c r="J68" i="1"/>
  <c r="D66" i="1"/>
  <c r="F66" i="1"/>
  <c r="I67" i="1" l="1"/>
  <c r="C69" i="1" s="1"/>
</calcChain>
</file>

<file path=xl/sharedStrings.xml><?xml version="1.0" encoding="utf-8"?>
<sst xmlns="http://schemas.openxmlformats.org/spreadsheetml/2006/main" count="343" uniqueCount="255">
  <si>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</si>
  <si>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</si>
  <si>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</si>
  <si>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</si>
  <si>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</si>
  <si>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</si>
  <si>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</si>
  <si>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</si>
  <si>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</si>
  <si>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</si>
  <si>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</si>
  <si>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</si>
  <si>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</si>
  <si>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</si>
  <si>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</si>
  <si>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</si>
  <si>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</si>
  <si>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</si>
  <si>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</si>
  <si>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</si>
  <si>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</si>
  <si>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</si>
  <si>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</si>
  <si>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</si>
  <si>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</si>
  <si>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</si>
  <si>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</si>
  <si>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</si>
  <si>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</si>
  <si>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</si>
  <si>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</si>
  <si>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</si>
  <si>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</si>
  <si>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</si>
  <si>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</si>
  <si>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</si>
  <si>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</si>
  <si>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</si>
  <si>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</si>
  <si>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</si>
  <si>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</si>
  <si>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</si>
  <si>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</si>
  <si>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</si>
  <si>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</si>
  <si>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</si>
  <si>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</si>
  <si>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</si>
  <si>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</si>
  <si>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</si>
  <si>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</si>
  <si>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</si>
  <si>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</si>
  <si>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</si>
  <si>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</si>
  <si>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</si>
  <si>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</si>
  <si>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</si>
  <si>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</si>
  <si>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</si>
  <si>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</si>
  <si>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</si>
  <si>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</si>
  <si>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</si>
  <si>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</si>
  <si>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</si>
  <si>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</si>
  <si>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</si>
  <si>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</si>
  <si>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</si>
  <si>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</si>
  <si>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</si>
  <si>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</si>
  <si>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</si>
  <si>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</si>
  <si>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</si>
  <si>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</si>
  <si>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</si>
  <si>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</si>
  <si>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</si>
  <si>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</si>
  <si>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</si>
  <si>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</si>
  <si>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</si>
  <si>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</si>
  <si>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</si>
  <si>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</si>
  <si>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</si>
  <si>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</si>
  <si>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</si>
  <si>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</si>
  <si>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</si>
  <si>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</si>
  <si>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</si>
  <si>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</si>
  <si>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</si>
  <si>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</si>
  <si>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</si>
  <si>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</si>
  <si>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</si>
  <si>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</si>
  <si>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</si>
  <si>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</si>
  <si>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</si>
  <si>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</si>
  <si>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</si>
  <si>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</si>
  <si>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</si>
  <si>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</si>
  <si>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</si>
  <si>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</si>
  <si>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</si>
  <si>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</si>
  <si>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</si>
  <si>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</si>
  <si>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</si>
  <si>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</si>
  <si>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</si>
  <si>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</si>
  <si>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</si>
  <si>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</si>
  <si>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</si>
  <si>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</si>
  <si>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</si>
  <si>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</si>
  <si>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</si>
  <si>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</si>
  <si>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</si>
  <si>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</si>
  <si>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</si>
  <si>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</si>
  <si>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</si>
  <si>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</si>
  <si>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</si>
  <si>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</si>
  <si>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</si>
  <si>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</si>
  <si>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</si>
  <si>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</si>
  <si>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</si>
  <si>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</si>
  <si>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</si>
  <si>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</si>
  <si>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</si>
  <si>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</si>
  <si>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</si>
  <si>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</si>
  <si>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</si>
  <si>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</si>
  <si>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</si>
  <si>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</si>
  <si>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</si>
  <si>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</si>
  <si>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</si>
  <si>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</si>
  <si>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</si>
  <si>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</si>
  <si>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</si>
  <si>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</si>
  <si>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</si>
  <si>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</si>
  <si>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</si>
  <si>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</si>
  <si>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</si>
  <si>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</si>
  <si>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</si>
  <si>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</si>
  <si>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</si>
  <si>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</si>
  <si>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</si>
  <si>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</si>
  <si>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</si>
  <si>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</si>
  <si>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</si>
  <si>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</si>
  <si>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</si>
  <si>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</si>
  <si>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</si>
  <si>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</si>
  <si>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Latitude, Longitude</t>
  </si>
  <si>
    <t>Grand Total</t>
  </si>
  <si>
    <t>Axis Goregaon</t>
  </si>
  <si>
    <t>Veena Suyog</t>
  </si>
  <si>
    <t>Veena Developers</t>
  </si>
  <si>
    <t>02261069800/9773761297</t>
  </si>
  <si>
    <t>Approved Plans, CC, Cost Sheet</t>
  </si>
  <si>
    <t>P51800050707</t>
  </si>
  <si>
    <t>544, 544(1 TO 9), Redevlopement of " Ram Shyam Co-operative Housing Society Ltd "</t>
  </si>
  <si>
    <t>CTS No</t>
  </si>
  <si>
    <t>Name / No of the Existing Building</t>
  </si>
  <si>
    <t>Ram Shyam Co-operative Housing Society Ltd.</t>
  </si>
  <si>
    <t>Mumbai</t>
  </si>
  <si>
    <t>https://goo.gl/maps/pRE6uhwdFXkELDh26</t>
  </si>
  <si>
    <t>Swami Vivekananda Road</t>
  </si>
  <si>
    <t>Malad</t>
  </si>
  <si>
    <t>Borivali</t>
  </si>
  <si>
    <t>0.950KM from Malad Railway Station</t>
  </si>
  <si>
    <t>Nagindas Khandwala College</t>
  </si>
  <si>
    <t>Malad West</t>
  </si>
  <si>
    <t>Rishikesh Apartment</t>
  </si>
  <si>
    <t>Kapol CHSL</t>
  </si>
  <si>
    <t>Girnar Apartments</t>
  </si>
  <si>
    <t>CHE/WSII/4153/P/N/337(NEW)</t>
  </si>
  <si>
    <t>Municipal Corporation of Greater Mumbai (MCGM)</t>
  </si>
  <si>
    <t>As per RERA - 31/12/2026</t>
  </si>
  <si>
    <t>Indoor Games, Amphitheater, Multipurpose Court, Childrens Play Area, Terrace Garden, Senior Citizen Area, Jogging Track, Gymnasium, Yoga, High Speed elevators, Fire Alarm, CCTV, Fire Fighting</t>
  </si>
  <si>
    <t>Shops</t>
  </si>
  <si>
    <t>Wing A &amp; B</t>
  </si>
  <si>
    <t>2 Wings</t>
  </si>
  <si>
    <t>Wing A = B + Gr + 1st to 15th Floor
Wing B = Gr + 1st Floor</t>
  </si>
  <si>
    <t>Wing B = Gr + 1st Floor</t>
  </si>
  <si>
    <t>Wing B</t>
  </si>
  <si>
    <t>Shop</t>
  </si>
  <si>
    <t>Ground Floor For Commercial &amp; Parking</t>
  </si>
  <si>
    <t>Wing A</t>
  </si>
  <si>
    <t>Ground Floor For Meter Room &amp; Double Heighted Entrance Lobby</t>
  </si>
  <si>
    <t>1st Floor For Part Residential</t>
  </si>
  <si>
    <t>Parking</t>
  </si>
  <si>
    <t>Basement Floor For Pump Room &amp; Tanks</t>
  </si>
  <si>
    <t xml:space="preserve">2nd Floor For Part Residential &amp; </t>
  </si>
  <si>
    <t>Society Office &amp; Yogalaya</t>
  </si>
  <si>
    <t>3rd Floor</t>
  </si>
  <si>
    <t>4th Floor</t>
  </si>
  <si>
    <t>5th Floor</t>
  </si>
  <si>
    <t>6th Floor</t>
  </si>
  <si>
    <t>Refuge Area</t>
  </si>
  <si>
    <t>7th Floor (Part Refuge Area)</t>
  </si>
  <si>
    <t>8th Floor</t>
  </si>
  <si>
    <t>9th Floor</t>
  </si>
  <si>
    <t>10th Floor</t>
  </si>
  <si>
    <t>11th to 13th Floor</t>
  </si>
  <si>
    <t>14th Floor (Part Refuge Area)</t>
  </si>
  <si>
    <t>Terrace Area</t>
  </si>
  <si>
    <t>15th Floor (Part Terrace Area)</t>
  </si>
  <si>
    <t>Wing A = B + Gr + 1st to 22nd Floor</t>
  </si>
  <si>
    <t>Residential Area Details : Flats</t>
  </si>
  <si>
    <t>We considered Gross carpet area = Net carpet.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</si>
  <si>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</si>
  <si>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19.192317052,72.84679132</t>
  </si>
  <si>
    <t>Office</t>
  </si>
  <si>
    <t>Flats - 68, Shops - 2, Office - 1</t>
  </si>
  <si>
    <t>1st Floor</t>
  </si>
  <si>
    <t>Other Charges</t>
  </si>
  <si>
    <t>RATE 19000 + OC = 300000 + PARK 10L</t>
  </si>
  <si>
    <t>By Akash Mote     On 22/07/2024</t>
  </si>
  <si>
    <t>Recommended Rates / Other charges of the Property have been revised on 22/07/2024.</t>
  </si>
  <si>
    <t>Roshan Kudalkar</t>
  </si>
  <si>
    <t>We have updated revised approved CC from MCGM site on 14/11/2024.</t>
  </si>
  <si>
    <t/>
  </si>
  <si>
    <t>Plinth completed but not sure 14/02/2025</t>
  </si>
  <si>
    <t>CHE/WSII/4153/P/N/337(NEW)/FCC/3/Amend</t>
  </si>
  <si>
    <t>This CC is granted for the entire work of building comprising of Wing ‘A’ -basement floor (for pump room only) + ground floor (stilt) + 1st to 21st upper floors + 22nd (part) upper floors and staircase core upto top of LMR/OHT and Wing ‘B’ comprising of Pit Type Puzzle Parking System + Ground Floor Commercial Shop and 1st Floor Business Office as per approved amended plans dt 25.10.2023.</t>
  </si>
  <si>
    <t>We have updated latest CC from MCGM site (On 14/05/2025).</t>
  </si>
  <si>
    <t>Pooja</t>
  </si>
  <si>
    <t>Wing A &amp; B = Construction work is in process at the time of Visit. Internal photos was not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</si>
</sst>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2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9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8" xfId="1" applyFont="1" applyBorder="1"/>
    <xf numFmtId="0" fontId="17" fillId="0" borderId="8" xfId="0" applyFont="1" applyBorder="1" applyProtection="1">
      <protection hidden="1"/>
    </xf>
    <xf numFmtId="1" fontId="0" fillId="0" borderId="8" xfId="0" applyNumberFormat="1" applyBorder="1"/>
    <xf numFmtId="1" fontId="0" fillId="0" borderId="8" xfId="0" applyNumberFormat="1" applyBorder="1" applyAlignment="1">
      <alignment horizontal="right"/>
    </xf>
    <xf numFmtId="1" fontId="0" fillId="0" borderId="10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1" xfId="0" applyFont="1" applyFill="1" applyBorder="1"/>
    <xf numFmtId="0" fontId="25" fillId="0" borderId="22" xfId="0" applyFont="1" applyBorder="1"/>
    <xf numFmtId="0" fontId="25" fillId="0" borderId="1" xfId="0" applyFont="1" applyBorder="1"/>
    <xf numFmtId="0" fontId="25" fillId="0" borderId="5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quotePrefix="1" applyFont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1" xfId="0" applyFont="1" applyFill="1" applyBorder="1"/>
    <xf numFmtId="0" fontId="25" fillId="0" borderId="7" xfId="0" applyFont="1" applyBorder="1"/>
    <xf numFmtId="1" fontId="8" fillId="0" borderId="6" xfId="0" applyNumberFormat="1" applyFont="1" applyBorder="1" applyAlignment="1" applyProtection="1">
      <alignment vertical="top" wrapText="1"/>
      <protection locked="0"/>
    </xf>
    <xf numFmtId="1" fontId="8" fillId="0" borderId="17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68" fontId="6" fillId="0" borderId="6" xfId="1" applyNumberFormat="1" applyFont="1" applyBorder="1" applyAlignment="1" applyProtection="1">
      <alignment horizontal="center" vertical="center" wrapText="1"/>
      <protection locked="0"/>
    </xf>
    <xf numFmtId="168" fontId="6" fillId="0" borderId="17" xfId="1" applyNumberFormat="1" applyFont="1" applyBorder="1" applyAlignment="1" applyProtection="1">
      <alignment horizontal="center" vertical="center" wrapText="1"/>
      <protection locked="0"/>
    </xf>
    <xf numFmtId="168" fontId="6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1" fontId="13" fillId="0" borderId="17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60837</xdr:colOff>
      <xdr:row>272</xdr:row>
      <xdr:rowOff>52386</xdr:rowOff>
    </xdr:from>
    <xdr:to>
      <xdr:col>15</xdr:col>
      <xdr:colOff>342901</xdr:colOff>
      <xdr:row>287</xdr:row>
      <xdr:rowOff>76199</xdr:rowOff>
    </xdr:to>
    <xdr:grpSp>
      <xdr:nvGrpSpPr>
        <xdr:cNvPr id="31" name="Group 30"/>
        <xdr:cNvGrpSpPr/>
      </xdr:nvGrpSpPr>
      <xdr:grpSpPr>
        <a:xfrm>
          <a:off x="8925437" y="51201636"/>
          <a:ext cx="4142864" cy="2970213"/>
          <a:chOff x="2461137" y="55383111"/>
          <a:chExt cx="3977764" cy="3014663"/>
        </a:xfrm>
      </xdr:grpSpPr>
      <xdr:pic>
        <xdr:nvPicPr>
          <xdr:cNvPr id="21" name="Picture 20" descr="https://vsjcllp.vsjadon.com/upload/insp-201113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61137" y="55411686"/>
            <a:ext cx="3977764" cy="298608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TextBox 6"/>
          <xdr:cNvSpPr txBox="1"/>
        </xdr:nvSpPr>
        <xdr:spPr>
          <a:xfrm>
            <a:off x="2550630" y="55751068"/>
            <a:ext cx="662609" cy="291133"/>
          </a:xfrm>
          <a:prstGeom prst="rect">
            <a:avLst/>
          </a:prstGeom>
          <a:solidFill>
            <a:schemeClr val="bg2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>
                <a:solidFill>
                  <a:sysClr val="windowText" lastClr="000000"/>
                </a:solidFill>
              </a:rPr>
              <a:t>Part I</a:t>
            </a:r>
          </a:p>
        </xdr:txBody>
      </xdr:sp>
      <xdr:sp macro="" textlink="">
        <xdr:nvSpPr>
          <xdr:cNvPr id="24" name="TextBox 23"/>
          <xdr:cNvSpPr txBox="1"/>
        </xdr:nvSpPr>
        <xdr:spPr>
          <a:xfrm>
            <a:off x="4723117" y="56391104"/>
            <a:ext cx="665094" cy="291133"/>
          </a:xfrm>
          <a:prstGeom prst="rect">
            <a:avLst/>
          </a:prstGeom>
          <a:solidFill>
            <a:schemeClr val="bg2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>
                <a:solidFill>
                  <a:sysClr val="windowText" lastClr="000000"/>
                </a:solidFill>
              </a:rPr>
              <a:t>Part II</a:t>
            </a:r>
          </a:p>
        </xdr:txBody>
      </xdr:sp>
      <xdr:sp macro="" textlink="">
        <xdr:nvSpPr>
          <xdr:cNvPr id="30" name="TextBox 29"/>
          <xdr:cNvSpPr txBox="1"/>
        </xdr:nvSpPr>
        <xdr:spPr>
          <a:xfrm>
            <a:off x="5604387" y="55383111"/>
            <a:ext cx="820036" cy="2911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>
                <a:solidFill>
                  <a:srgbClr val="FF0000"/>
                </a:solidFill>
              </a:rPr>
              <a:t>Wing</a:t>
            </a:r>
            <a:r>
              <a:rPr lang="en-IN" sz="1400" b="1" baseline="0">
                <a:solidFill>
                  <a:srgbClr val="FF0000"/>
                </a:solidFill>
              </a:rPr>
              <a:t> B</a:t>
            </a:r>
            <a:endParaRPr lang="en-IN" sz="1400" b="1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0</xdr:col>
      <xdr:colOff>173180</xdr:colOff>
      <xdr:row>357</xdr:row>
      <xdr:rowOff>17318</xdr:rowOff>
    </xdr:from>
    <xdr:to>
      <xdr:col>7</xdr:col>
      <xdr:colOff>604157</xdr:colOff>
      <xdr:row>372</xdr:row>
      <xdr:rowOff>194931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3180" y="62354113"/>
          <a:ext cx="6120000" cy="3165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173180</xdr:colOff>
      <xdr:row>374</xdr:row>
      <xdr:rowOff>82177</xdr:rowOff>
    </xdr:from>
    <xdr:to>
      <xdr:col>7</xdr:col>
      <xdr:colOff>604157</xdr:colOff>
      <xdr:row>396</xdr:row>
      <xdr:rowOff>10116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3180" y="65804677"/>
          <a:ext cx="6120000" cy="430943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294409</xdr:colOff>
      <xdr:row>383</xdr:row>
      <xdr:rowOff>8660</xdr:rowOff>
    </xdr:from>
    <xdr:to>
      <xdr:col>4</xdr:col>
      <xdr:colOff>121227</xdr:colOff>
      <xdr:row>386</xdr:row>
      <xdr:rowOff>17319</xdr:rowOff>
    </xdr:to>
    <xdr:sp macro="" textlink="">
      <xdr:nvSpPr>
        <xdr:cNvPr id="4" name="Rectangle 3"/>
        <xdr:cNvSpPr/>
      </xdr:nvSpPr>
      <xdr:spPr>
        <a:xfrm>
          <a:off x="1853045" y="67523592"/>
          <a:ext cx="1619250" cy="606136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199161</xdr:colOff>
      <xdr:row>315</xdr:row>
      <xdr:rowOff>60613</xdr:rowOff>
    </xdr:from>
    <xdr:to>
      <xdr:col>7</xdr:col>
      <xdr:colOff>630138</xdr:colOff>
      <xdr:row>333</xdr:row>
      <xdr:rowOff>87233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161" y="48655431"/>
          <a:ext cx="6120000" cy="361148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697161</xdr:colOff>
      <xdr:row>334</xdr:row>
      <xdr:rowOff>51812</xdr:rowOff>
    </xdr:from>
    <xdr:to>
      <xdr:col>6</xdr:col>
      <xdr:colOff>149456</xdr:colOff>
      <xdr:row>354</xdr:row>
      <xdr:rowOff>10711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59161" y="52430653"/>
          <a:ext cx="3600000" cy="394208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684914</xdr:colOff>
      <xdr:row>272</xdr:row>
      <xdr:rowOff>172899</xdr:rowOff>
    </xdr:from>
    <xdr:to>
      <xdr:col>16</xdr:col>
      <xdr:colOff>417211</xdr:colOff>
      <xdr:row>299</xdr:row>
      <xdr:rowOff>74025</xdr:rowOff>
    </xdr:to>
    <xdr:grpSp>
      <xdr:nvGrpSpPr>
        <xdr:cNvPr id="10" name="Group 9"/>
        <xdr:cNvGrpSpPr/>
      </xdr:nvGrpSpPr>
      <xdr:grpSpPr>
        <a:xfrm>
          <a:off x="7530214" y="51322149"/>
          <a:ext cx="6431547" cy="5209726"/>
          <a:chOff x="103889" y="52131774"/>
          <a:chExt cx="6133097" cy="5292276"/>
        </a:xfrm>
      </xdr:grpSpPr>
      <xdr:grpSp>
        <xdr:nvGrpSpPr>
          <xdr:cNvPr id="8" name="Group 7"/>
          <xdr:cNvGrpSpPr/>
        </xdr:nvGrpSpPr>
        <xdr:grpSpPr>
          <a:xfrm>
            <a:off x="103889" y="52139850"/>
            <a:ext cx="2237234" cy="2986087"/>
            <a:chOff x="103889" y="55606950"/>
            <a:chExt cx="2237234" cy="2986087"/>
          </a:xfrm>
        </xdr:grpSpPr>
        <xdr:pic>
          <xdr:nvPicPr>
            <xdr:cNvPr id="19" name="Picture 18" descr="https://vsjcllp.vsjadon.com/upload/insp-201113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89" y="55606950"/>
              <a:ext cx="2237234" cy="298608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9" name="TextBox 28"/>
            <xdr:cNvSpPr txBox="1"/>
          </xdr:nvSpPr>
          <xdr:spPr>
            <a:xfrm>
              <a:off x="170564" y="55730775"/>
              <a:ext cx="820036" cy="29113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400" b="1">
                  <a:solidFill>
                    <a:srgbClr val="FF0000"/>
                  </a:solidFill>
                </a:rPr>
                <a:t>Wing</a:t>
              </a:r>
              <a:r>
                <a:rPr lang="en-IN" sz="1400" b="1" baseline="0">
                  <a:solidFill>
                    <a:srgbClr val="FF0000"/>
                  </a:solidFill>
                </a:rPr>
                <a:t> A</a:t>
              </a:r>
              <a:endParaRPr lang="en-IN" sz="1400" b="1">
                <a:solidFill>
                  <a:srgbClr val="FF0000"/>
                </a:solidFill>
              </a:endParaRPr>
            </a:p>
          </xdr:txBody>
        </xdr:sp>
      </xdr:grpSp>
      <xdr:pic>
        <xdr:nvPicPr>
          <xdr:cNvPr id="17" name="Picture 16" descr="https://vsjcllp.vsjadon.com/upload/insp-201113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11481" y="52131774"/>
            <a:ext cx="3825505" cy="299892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01113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62075" y="5526405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01113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05150" y="5526405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320537</xdr:colOff>
      <xdr:row>276</xdr:row>
      <xdr:rowOff>125067</xdr:rowOff>
    </xdr:from>
    <xdr:to>
      <xdr:col>11</xdr:col>
      <xdr:colOff>46382</xdr:colOff>
      <xdr:row>279</xdr:row>
      <xdr:rowOff>167723</xdr:rowOff>
    </xdr:to>
    <xdr:cxnSp macro="">
      <xdr:nvCxnSpPr>
        <xdr:cNvPr id="9" name="Straight Arrow Connector 8"/>
        <xdr:cNvCxnSpPr/>
      </xdr:nvCxnSpPr>
      <xdr:spPr>
        <a:xfrm flipH="1">
          <a:off x="8769212" y="53017392"/>
          <a:ext cx="430695" cy="642731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582226</xdr:colOff>
      <xdr:row>275</xdr:row>
      <xdr:rowOff>148878</xdr:rowOff>
    </xdr:from>
    <xdr:to>
      <xdr:col>11</xdr:col>
      <xdr:colOff>313910</xdr:colOff>
      <xdr:row>278</xdr:row>
      <xdr:rowOff>175177</xdr:rowOff>
    </xdr:to>
    <xdr:cxnSp macro="">
      <xdr:nvCxnSpPr>
        <xdr:cNvPr id="25" name="Straight Arrow Connector 24"/>
        <xdr:cNvCxnSpPr/>
      </xdr:nvCxnSpPr>
      <xdr:spPr>
        <a:xfrm>
          <a:off x="9030901" y="52841178"/>
          <a:ext cx="436534" cy="626374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269</xdr:row>
      <xdr:rowOff>0</xdr:rowOff>
    </xdr:from>
    <xdr:to>
      <xdr:col>10</xdr:col>
      <xdr:colOff>59841</xdr:colOff>
      <xdr:row>270</xdr:row>
      <xdr:rowOff>89742</xdr:rowOff>
    </xdr:to>
    <xdr:sp macro="" textlink="">
      <xdr:nvSpPr>
        <xdr:cNvPr id="37" name="TextBox 36"/>
        <xdr:cNvSpPr txBox="1"/>
      </xdr:nvSpPr>
      <xdr:spPr>
        <a:xfrm>
          <a:off x="8064500" y="50558700"/>
          <a:ext cx="859941" cy="2865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</a:t>
          </a:r>
          <a:r>
            <a:rPr lang="en-IN" sz="1400" b="0" cap="none" spc="0" baseline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A</a:t>
          </a:r>
          <a:endParaRPr lang="en-IN" sz="1400" b="0" cap="none" spc="0">
            <a:ln w="0"/>
            <a:solidFill>
              <a:srgbClr val="FFFF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twoCellAnchor>
  <xdr:twoCellAnchor>
    <xdr:from>
      <xdr:col>0</xdr:col>
      <xdr:colOff>317500</xdr:colOff>
      <xdr:row>272</xdr:row>
      <xdr:rowOff>133350</xdr:rowOff>
    </xdr:from>
    <xdr:to>
      <xdr:col>7</xdr:col>
      <xdr:colOff>446427</xdr:colOff>
      <xdr:row>308</xdr:row>
      <xdr:rowOff>55938</xdr:rowOff>
    </xdr:to>
    <xdr:grpSp>
      <xdr:nvGrpSpPr>
        <xdr:cNvPr id="11" name="Group 10"/>
        <xdr:cNvGrpSpPr/>
      </xdr:nvGrpSpPr>
      <xdr:grpSpPr>
        <a:xfrm>
          <a:off x="317500" y="51282600"/>
          <a:ext cx="6104277" cy="7002838"/>
          <a:chOff x="317500" y="51282600"/>
          <a:chExt cx="6104277" cy="7002838"/>
        </a:xfrm>
      </xdr:grpSpPr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27500" y="55405438"/>
            <a:ext cx="2160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1777" y="5128260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7500" y="5128260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1777" y="55405438"/>
            <a:ext cx="2160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2" name="TextBox 41"/>
          <xdr:cNvSpPr txBox="1"/>
        </xdr:nvSpPr>
        <xdr:spPr>
          <a:xfrm>
            <a:off x="1473200" y="53060600"/>
            <a:ext cx="859941" cy="2865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</a:t>
            </a:r>
            <a:r>
              <a:rPr lang="en-IN" sz="1400" b="0" cap="none" spc="0" baseline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A</a:t>
            </a:r>
            <a:endPara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43" name="TextBox 42"/>
          <xdr:cNvSpPr txBox="1"/>
        </xdr:nvSpPr>
        <xdr:spPr>
          <a:xfrm>
            <a:off x="4690027" y="54044850"/>
            <a:ext cx="859941" cy="2865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</a:t>
            </a:r>
            <a:r>
              <a:rPr lang="en-IN" sz="1400" b="0" cap="none" spc="0" baseline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A</a:t>
            </a:r>
            <a:endPara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pRE6uhwdFXkELDh2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56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39" customWidth="1"/>
    <col min="2" max="2" width="12" style="39" customWidth="1"/>
    <col min="3" max="3" width="12.7265625" style="39" customWidth="1"/>
    <col min="4" max="4" width="14.1796875" style="39" customWidth="1"/>
    <col min="5" max="7" width="11.7265625" style="39" customWidth="1"/>
    <col min="8" max="8" width="12.453125" style="39" customWidth="1"/>
    <col min="9" max="9" width="17.453125" style="20" customWidth="1"/>
    <col min="10" max="10" width="11.453125" style="20" customWidth="1"/>
    <col min="11" max="11" width="10.54296875" style="20" bestFit="1" customWidth="1"/>
    <col min="12" max="12" width="10.54296875" style="20" customWidth="1"/>
    <col min="13" max="13" width="11.81640625" style="20" customWidth="1"/>
    <col min="14" max="14" width="12.54296875" style="20" customWidth="1"/>
    <col min="15" max="15" width="9.81640625" style="20" customWidth="1"/>
    <col min="16" max="16" width="11.7265625" style="20" customWidth="1"/>
    <col min="17" max="247" width="9.1796875" style="20"/>
    <col min="248" max="248" width="8.7265625" style="20" customWidth="1"/>
    <col min="249" max="249" width="9.81640625" style="20" customWidth="1"/>
    <col min="250" max="250" width="14.453125" style="20" customWidth="1"/>
    <col min="251" max="251" width="7.26953125" style="20" customWidth="1"/>
    <col min="252" max="252" width="5.54296875" style="20" customWidth="1"/>
    <col min="253" max="253" width="9" style="20" customWidth="1"/>
    <col min="254" max="255" width="9.81640625" style="20" customWidth="1"/>
    <col min="256" max="256" width="11.1796875" style="20" customWidth="1"/>
    <col min="257" max="257" width="2.81640625" style="20" customWidth="1"/>
    <col min="258" max="258" width="3.54296875" style="20" customWidth="1"/>
    <col min="259" max="503" width="9.1796875" style="20"/>
    <col min="504" max="504" width="8.7265625" style="20" customWidth="1"/>
    <col min="505" max="505" width="9.81640625" style="20" customWidth="1"/>
    <col min="506" max="506" width="14.453125" style="20" customWidth="1"/>
    <col min="507" max="507" width="7.26953125" style="20" customWidth="1"/>
    <col min="508" max="508" width="5.54296875" style="20" customWidth="1"/>
    <col min="509" max="509" width="9" style="20" customWidth="1"/>
    <col min="510" max="511" width="9.81640625" style="20" customWidth="1"/>
    <col min="512" max="512" width="11.1796875" style="20" customWidth="1"/>
    <col min="513" max="513" width="2.81640625" style="20" customWidth="1"/>
    <col min="514" max="514" width="3.54296875" style="20" customWidth="1"/>
    <col min="515" max="759" width="9.1796875" style="20"/>
    <col min="760" max="760" width="8.7265625" style="20" customWidth="1"/>
    <col min="761" max="761" width="9.81640625" style="20" customWidth="1"/>
    <col min="762" max="762" width="14.453125" style="20" customWidth="1"/>
    <col min="763" max="763" width="7.26953125" style="20" customWidth="1"/>
    <col min="764" max="764" width="5.54296875" style="20" customWidth="1"/>
    <col min="765" max="765" width="9" style="20" customWidth="1"/>
    <col min="766" max="767" width="9.81640625" style="20" customWidth="1"/>
    <col min="768" max="768" width="11.1796875" style="20" customWidth="1"/>
    <col min="769" max="769" width="2.81640625" style="20" customWidth="1"/>
    <col min="770" max="770" width="3.54296875" style="20" customWidth="1"/>
    <col min="771" max="1015" width="9.1796875" style="20"/>
    <col min="1016" max="1016" width="8.7265625" style="20" customWidth="1"/>
    <col min="1017" max="1017" width="9.81640625" style="20" customWidth="1"/>
    <col min="1018" max="1018" width="14.453125" style="20" customWidth="1"/>
    <col min="1019" max="1019" width="7.26953125" style="20" customWidth="1"/>
    <col min="1020" max="1020" width="5.54296875" style="20" customWidth="1"/>
    <col min="1021" max="1021" width="9" style="20" customWidth="1"/>
    <col min="1022" max="1023" width="9.81640625" style="20" customWidth="1"/>
    <col min="1024" max="1024" width="11.1796875" style="20" customWidth="1"/>
    <col min="1025" max="1025" width="2.81640625" style="20" customWidth="1"/>
    <col min="1026" max="1026" width="3.54296875" style="20" customWidth="1"/>
    <col min="1027" max="1271" width="9.1796875" style="20"/>
    <col min="1272" max="1272" width="8.7265625" style="20" customWidth="1"/>
    <col min="1273" max="1273" width="9.81640625" style="20" customWidth="1"/>
    <col min="1274" max="1274" width="14.453125" style="20" customWidth="1"/>
    <col min="1275" max="1275" width="7.26953125" style="20" customWidth="1"/>
    <col min="1276" max="1276" width="5.54296875" style="20" customWidth="1"/>
    <col min="1277" max="1277" width="9" style="20" customWidth="1"/>
    <col min="1278" max="1279" width="9.81640625" style="20" customWidth="1"/>
    <col min="1280" max="1280" width="11.1796875" style="20" customWidth="1"/>
    <col min="1281" max="1281" width="2.81640625" style="20" customWidth="1"/>
    <col min="1282" max="1282" width="3.54296875" style="20" customWidth="1"/>
    <col min="1283" max="1527" width="9.1796875" style="20"/>
    <col min="1528" max="1528" width="8.7265625" style="20" customWidth="1"/>
    <col min="1529" max="1529" width="9.81640625" style="20" customWidth="1"/>
    <col min="1530" max="1530" width="14.453125" style="20" customWidth="1"/>
    <col min="1531" max="1531" width="7.26953125" style="20" customWidth="1"/>
    <col min="1532" max="1532" width="5.54296875" style="20" customWidth="1"/>
    <col min="1533" max="1533" width="9" style="20" customWidth="1"/>
    <col min="1534" max="1535" width="9.81640625" style="20" customWidth="1"/>
    <col min="1536" max="1536" width="11.1796875" style="20" customWidth="1"/>
    <col min="1537" max="1537" width="2.81640625" style="20" customWidth="1"/>
    <col min="1538" max="1538" width="3.54296875" style="20" customWidth="1"/>
    <col min="1539" max="1783" width="9.1796875" style="20"/>
    <col min="1784" max="1784" width="8.7265625" style="20" customWidth="1"/>
    <col min="1785" max="1785" width="9.81640625" style="20" customWidth="1"/>
    <col min="1786" max="1786" width="14.453125" style="20" customWidth="1"/>
    <col min="1787" max="1787" width="7.26953125" style="20" customWidth="1"/>
    <col min="1788" max="1788" width="5.54296875" style="20" customWidth="1"/>
    <col min="1789" max="1789" width="9" style="20" customWidth="1"/>
    <col min="1790" max="1791" width="9.81640625" style="20" customWidth="1"/>
    <col min="1792" max="1792" width="11.1796875" style="20" customWidth="1"/>
    <col min="1793" max="1793" width="2.81640625" style="20" customWidth="1"/>
    <col min="1794" max="1794" width="3.54296875" style="20" customWidth="1"/>
    <col min="1795" max="2039" width="9.1796875" style="20"/>
    <col min="2040" max="2040" width="8.7265625" style="20" customWidth="1"/>
    <col min="2041" max="2041" width="9.81640625" style="20" customWidth="1"/>
    <col min="2042" max="2042" width="14.453125" style="20" customWidth="1"/>
    <col min="2043" max="2043" width="7.26953125" style="20" customWidth="1"/>
    <col min="2044" max="2044" width="5.54296875" style="20" customWidth="1"/>
    <col min="2045" max="2045" width="9" style="20" customWidth="1"/>
    <col min="2046" max="2047" width="9.81640625" style="20" customWidth="1"/>
    <col min="2048" max="2048" width="11.1796875" style="20" customWidth="1"/>
    <col min="2049" max="2049" width="2.81640625" style="20" customWidth="1"/>
    <col min="2050" max="2050" width="3.54296875" style="20" customWidth="1"/>
    <col min="2051" max="2295" width="9.1796875" style="20"/>
    <col min="2296" max="2296" width="8.7265625" style="20" customWidth="1"/>
    <col min="2297" max="2297" width="9.81640625" style="20" customWidth="1"/>
    <col min="2298" max="2298" width="14.453125" style="20" customWidth="1"/>
    <col min="2299" max="2299" width="7.26953125" style="20" customWidth="1"/>
    <col min="2300" max="2300" width="5.54296875" style="20" customWidth="1"/>
    <col min="2301" max="2301" width="9" style="20" customWidth="1"/>
    <col min="2302" max="2303" width="9.81640625" style="20" customWidth="1"/>
    <col min="2304" max="2304" width="11.1796875" style="20" customWidth="1"/>
    <col min="2305" max="2305" width="2.81640625" style="20" customWidth="1"/>
    <col min="2306" max="2306" width="3.54296875" style="20" customWidth="1"/>
    <col min="2307" max="2551" width="9.1796875" style="20"/>
    <col min="2552" max="2552" width="8.7265625" style="20" customWidth="1"/>
    <col min="2553" max="2553" width="9.81640625" style="20" customWidth="1"/>
    <col min="2554" max="2554" width="14.453125" style="20" customWidth="1"/>
    <col min="2555" max="2555" width="7.26953125" style="20" customWidth="1"/>
    <col min="2556" max="2556" width="5.54296875" style="20" customWidth="1"/>
    <col min="2557" max="2557" width="9" style="20" customWidth="1"/>
    <col min="2558" max="2559" width="9.81640625" style="20" customWidth="1"/>
    <col min="2560" max="2560" width="11.1796875" style="20" customWidth="1"/>
    <col min="2561" max="2561" width="2.81640625" style="20" customWidth="1"/>
    <col min="2562" max="2562" width="3.54296875" style="20" customWidth="1"/>
    <col min="2563" max="2807" width="9.1796875" style="20"/>
    <col min="2808" max="2808" width="8.7265625" style="20" customWidth="1"/>
    <col min="2809" max="2809" width="9.81640625" style="20" customWidth="1"/>
    <col min="2810" max="2810" width="14.453125" style="20" customWidth="1"/>
    <col min="2811" max="2811" width="7.26953125" style="20" customWidth="1"/>
    <col min="2812" max="2812" width="5.54296875" style="20" customWidth="1"/>
    <col min="2813" max="2813" width="9" style="20" customWidth="1"/>
    <col min="2814" max="2815" width="9.81640625" style="20" customWidth="1"/>
    <col min="2816" max="2816" width="11.1796875" style="20" customWidth="1"/>
    <col min="2817" max="2817" width="2.81640625" style="20" customWidth="1"/>
    <col min="2818" max="2818" width="3.54296875" style="20" customWidth="1"/>
    <col min="2819" max="3063" width="9.1796875" style="20"/>
    <col min="3064" max="3064" width="8.7265625" style="20" customWidth="1"/>
    <col min="3065" max="3065" width="9.81640625" style="20" customWidth="1"/>
    <col min="3066" max="3066" width="14.453125" style="20" customWidth="1"/>
    <col min="3067" max="3067" width="7.26953125" style="20" customWidth="1"/>
    <col min="3068" max="3068" width="5.54296875" style="20" customWidth="1"/>
    <col min="3069" max="3069" width="9" style="20" customWidth="1"/>
    <col min="3070" max="3071" width="9.81640625" style="20" customWidth="1"/>
    <col min="3072" max="3072" width="11.1796875" style="20" customWidth="1"/>
    <col min="3073" max="3073" width="2.81640625" style="20" customWidth="1"/>
    <col min="3074" max="3074" width="3.54296875" style="20" customWidth="1"/>
    <col min="3075" max="3319" width="9.1796875" style="20"/>
    <col min="3320" max="3320" width="8.7265625" style="20" customWidth="1"/>
    <col min="3321" max="3321" width="9.81640625" style="20" customWidth="1"/>
    <col min="3322" max="3322" width="14.453125" style="20" customWidth="1"/>
    <col min="3323" max="3323" width="7.26953125" style="20" customWidth="1"/>
    <col min="3324" max="3324" width="5.54296875" style="20" customWidth="1"/>
    <col min="3325" max="3325" width="9" style="20" customWidth="1"/>
    <col min="3326" max="3327" width="9.81640625" style="20" customWidth="1"/>
    <col min="3328" max="3328" width="11.1796875" style="20" customWidth="1"/>
    <col min="3329" max="3329" width="2.81640625" style="20" customWidth="1"/>
    <col min="3330" max="3330" width="3.54296875" style="20" customWidth="1"/>
    <col min="3331" max="3575" width="9.1796875" style="20"/>
    <col min="3576" max="3576" width="8.7265625" style="20" customWidth="1"/>
    <col min="3577" max="3577" width="9.81640625" style="20" customWidth="1"/>
    <col min="3578" max="3578" width="14.453125" style="20" customWidth="1"/>
    <col min="3579" max="3579" width="7.26953125" style="20" customWidth="1"/>
    <col min="3580" max="3580" width="5.54296875" style="20" customWidth="1"/>
    <col min="3581" max="3581" width="9" style="20" customWidth="1"/>
    <col min="3582" max="3583" width="9.81640625" style="20" customWidth="1"/>
    <col min="3584" max="3584" width="11.1796875" style="20" customWidth="1"/>
    <col min="3585" max="3585" width="2.81640625" style="20" customWidth="1"/>
    <col min="3586" max="3586" width="3.54296875" style="20" customWidth="1"/>
    <col min="3587" max="3831" width="9.1796875" style="20"/>
    <col min="3832" max="3832" width="8.7265625" style="20" customWidth="1"/>
    <col min="3833" max="3833" width="9.81640625" style="20" customWidth="1"/>
    <col min="3834" max="3834" width="14.453125" style="20" customWidth="1"/>
    <col min="3835" max="3835" width="7.26953125" style="20" customWidth="1"/>
    <col min="3836" max="3836" width="5.54296875" style="20" customWidth="1"/>
    <col min="3837" max="3837" width="9" style="20" customWidth="1"/>
    <col min="3838" max="3839" width="9.81640625" style="20" customWidth="1"/>
    <col min="3840" max="3840" width="11.1796875" style="20" customWidth="1"/>
    <col min="3841" max="3841" width="2.81640625" style="20" customWidth="1"/>
    <col min="3842" max="3842" width="3.54296875" style="20" customWidth="1"/>
    <col min="3843" max="4087" width="9.1796875" style="20"/>
    <col min="4088" max="4088" width="8.7265625" style="20" customWidth="1"/>
    <col min="4089" max="4089" width="9.81640625" style="20" customWidth="1"/>
    <col min="4090" max="4090" width="14.453125" style="20" customWidth="1"/>
    <col min="4091" max="4091" width="7.26953125" style="20" customWidth="1"/>
    <col min="4092" max="4092" width="5.54296875" style="20" customWidth="1"/>
    <col min="4093" max="4093" width="9" style="20" customWidth="1"/>
    <col min="4094" max="4095" width="9.81640625" style="20" customWidth="1"/>
    <col min="4096" max="4096" width="11.1796875" style="20" customWidth="1"/>
    <col min="4097" max="4097" width="2.81640625" style="20" customWidth="1"/>
    <col min="4098" max="4098" width="3.54296875" style="20" customWidth="1"/>
    <col min="4099" max="4343" width="9.1796875" style="20"/>
    <col min="4344" max="4344" width="8.7265625" style="20" customWidth="1"/>
    <col min="4345" max="4345" width="9.81640625" style="20" customWidth="1"/>
    <col min="4346" max="4346" width="14.453125" style="20" customWidth="1"/>
    <col min="4347" max="4347" width="7.26953125" style="20" customWidth="1"/>
    <col min="4348" max="4348" width="5.54296875" style="20" customWidth="1"/>
    <col min="4349" max="4349" width="9" style="20" customWidth="1"/>
    <col min="4350" max="4351" width="9.81640625" style="20" customWidth="1"/>
    <col min="4352" max="4352" width="11.1796875" style="20" customWidth="1"/>
    <col min="4353" max="4353" width="2.81640625" style="20" customWidth="1"/>
    <col min="4354" max="4354" width="3.54296875" style="20" customWidth="1"/>
    <col min="4355" max="4599" width="9.1796875" style="20"/>
    <col min="4600" max="4600" width="8.7265625" style="20" customWidth="1"/>
    <col min="4601" max="4601" width="9.81640625" style="20" customWidth="1"/>
    <col min="4602" max="4602" width="14.453125" style="20" customWidth="1"/>
    <col min="4603" max="4603" width="7.26953125" style="20" customWidth="1"/>
    <col min="4604" max="4604" width="5.54296875" style="20" customWidth="1"/>
    <col min="4605" max="4605" width="9" style="20" customWidth="1"/>
    <col min="4606" max="4607" width="9.81640625" style="20" customWidth="1"/>
    <col min="4608" max="4608" width="11.1796875" style="20" customWidth="1"/>
    <col min="4609" max="4609" width="2.81640625" style="20" customWidth="1"/>
    <col min="4610" max="4610" width="3.54296875" style="20" customWidth="1"/>
    <col min="4611" max="4855" width="9.1796875" style="20"/>
    <col min="4856" max="4856" width="8.7265625" style="20" customWidth="1"/>
    <col min="4857" max="4857" width="9.81640625" style="20" customWidth="1"/>
    <col min="4858" max="4858" width="14.453125" style="20" customWidth="1"/>
    <col min="4859" max="4859" width="7.26953125" style="20" customWidth="1"/>
    <col min="4860" max="4860" width="5.54296875" style="20" customWidth="1"/>
    <col min="4861" max="4861" width="9" style="20" customWidth="1"/>
    <col min="4862" max="4863" width="9.81640625" style="20" customWidth="1"/>
    <col min="4864" max="4864" width="11.1796875" style="20" customWidth="1"/>
    <col min="4865" max="4865" width="2.81640625" style="20" customWidth="1"/>
    <col min="4866" max="4866" width="3.54296875" style="20" customWidth="1"/>
    <col min="4867" max="5111" width="9.1796875" style="20"/>
    <col min="5112" max="5112" width="8.7265625" style="20" customWidth="1"/>
    <col min="5113" max="5113" width="9.81640625" style="20" customWidth="1"/>
    <col min="5114" max="5114" width="14.453125" style="20" customWidth="1"/>
    <col min="5115" max="5115" width="7.26953125" style="20" customWidth="1"/>
    <col min="5116" max="5116" width="5.54296875" style="20" customWidth="1"/>
    <col min="5117" max="5117" width="9" style="20" customWidth="1"/>
    <col min="5118" max="5119" width="9.81640625" style="20" customWidth="1"/>
    <col min="5120" max="5120" width="11.1796875" style="20" customWidth="1"/>
    <col min="5121" max="5121" width="2.81640625" style="20" customWidth="1"/>
    <col min="5122" max="5122" width="3.54296875" style="20" customWidth="1"/>
    <col min="5123" max="5367" width="9.1796875" style="20"/>
    <col min="5368" max="5368" width="8.7265625" style="20" customWidth="1"/>
    <col min="5369" max="5369" width="9.81640625" style="20" customWidth="1"/>
    <col min="5370" max="5370" width="14.453125" style="20" customWidth="1"/>
    <col min="5371" max="5371" width="7.26953125" style="20" customWidth="1"/>
    <col min="5372" max="5372" width="5.54296875" style="20" customWidth="1"/>
    <col min="5373" max="5373" width="9" style="20" customWidth="1"/>
    <col min="5374" max="5375" width="9.81640625" style="20" customWidth="1"/>
    <col min="5376" max="5376" width="11.1796875" style="20" customWidth="1"/>
    <col min="5377" max="5377" width="2.81640625" style="20" customWidth="1"/>
    <col min="5378" max="5378" width="3.54296875" style="20" customWidth="1"/>
    <col min="5379" max="5623" width="9.1796875" style="20"/>
    <col min="5624" max="5624" width="8.7265625" style="20" customWidth="1"/>
    <col min="5625" max="5625" width="9.81640625" style="20" customWidth="1"/>
    <col min="5626" max="5626" width="14.453125" style="20" customWidth="1"/>
    <col min="5627" max="5627" width="7.26953125" style="20" customWidth="1"/>
    <col min="5628" max="5628" width="5.54296875" style="20" customWidth="1"/>
    <col min="5629" max="5629" width="9" style="20" customWidth="1"/>
    <col min="5630" max="5631" width="9.81640625" style="20" customWidth="1"/>
    <col min="5632" max="5632" width="11.1796875" style="20" customWidth="1"/>
    <col min="5633" max="5633" width="2.81640625" style="20" customWidth="1"/>
    <col min="5634" max="5634" width="3.54296875" style="20" customWidth="1"/>
    <col min="5635" max="5879" width="9.1796875" style="20"/>
    <col min="5880" max="5880" width="8.7265625" style="20" customWidth="1"/>
    <col min="5881" max="5881" width="9.81640625" style="20" customWidth="1"/>
    <col min="5882" max="5882" width="14.453125" style="20" customWidth="1"/>
    <col min="5883" max="5883" width="7.26953125" style="20" customWidth="1"/>
    <col min="5884" max="5884" width="5.54296875" style="20" customWidth="1"/>
    <col min="5885" max="5885" width="9" style="20" customWidth="1"/>
    <col min="5886" max="5887" width="9.81640625" style="20" customWidth="1"/>
    <col min="5888" max="5888" width="11.1796875" style="20" customWidth="1"/>
    <col min="5889" max="5889" width="2.81640625" style="20" customWidth="1"/>
    <col min="5890" max="5890" width="3.54296875" style="20" customWidth="1"/>
    <col min="5891" max="6135" width="9.1796875" style="20"/>
    <col min="6136" max="6136" width="8.7265625" style="20" customWidth="1"/>
    <col min="6137" max="6137" width="9.81640625" style="20" customWidth="1"/>
    <col min="6138" max="6138" width="14.453125" style="20" customWidth="1"/>
    <col min="6139" max="6139" width="7.26953125" style="20" customWidth="1"/>
    <col min="6140" max="6140" width="5.54296875" style="20" customWidth="1"/>
    <col min="6141" max="6141" width="9" style="20" customWidth="1"/>
    <col min="6142" max="6143" width="9.81640625" style="20" customWidth="1"/>
    <col min="6144" max="6144" width="11.1796875" style="20" customWidth="1"/>
    <col min="6145" max="6145" width="2.81640625" style="20" customWidth="1"/>
    <col min="6146" max="6146" width="3.54296875" style="20" customWidth="1"/>
    <col min="6147" max="6391" width="9.1796875" style="20"/>
    <col min="6392" max="6392" width="8.7265625" style="20" customWidth="1"/>
    <col min="6393" max="6393" width="9.81640625" style="20" customWidth="1"/>
    <col min="6394" max="6394" width="14.453125" style="20" customWidth="1"/>
    <col min="6395" max="6395" width="7.26953125" style="20" customWidth="1"/>
    <col min="6396" max="6396" width="5.54296875" style="20" customWidth="1"/>
    <col min="6397" max="6397" width="9" style="20" customWidth="1"/>
    <col min="6398" max="6399" width="9.81640625" style="20" customWidth="1"/>
    <col min="6400" max="6400" width="11.1796875" style="20" customWidth="1"/>
    <col min="6401" max="6401" width="2.81640625" style="20" customWidth="1"/>
    <col min="6402" max="6402" width="3.54296875" style="20" customWidth="1"/>
    <col min="6403" max="6647" width="9.1796875" style="20"/>
    <col min="6648" max="6648" width="8.7265625" style="20" customWidth="1"/>
    <col min="6649" max="6649" width="9.81640625" style="20" customWidth="1"/>
    <col min="6650" max="6650" width="14.453125" style="20" customWidth="1"/>
    <col min="6651" max="6651" width="7.26953125" style="20" customWidth="1"/>
    <col min="6652" max="6652" width="5.54296875" style="20" customWidth="1"/>
    <col min="6653" max="6653" width="9" style="20" customWidth="1"/>
    <col min="6654" max="6655" width="9.81640625" style="20" customWidth="1"/>
    <col min="6656" max="6656" width="11.1796875" style="20" customWidth="1"/>
    <col min="6657" max="6657" width="2.81640625" style="20" customWidth="1"/>
    <col min="6658" max="6658" width="3.54296875" style="20" customWidth="1"/>
    <col min="6659" max="6903" width="9.1796875" style="20"/>
    <col min="6904" max="6904" width="8.7265625" style="20" customWidth="1"/>
    <col min="6905" max="6905" width="9.81640625" style="20" customWidth="1"/>
    <col min="6906" max="6906" width="14.453125" style="20" customWidth="1"/>
    <col min="6907" max="6907" width="7.26953125" style="20" customWidth="1"/>
    <col min="6908" max="6908" width="5.54296875" style="20" customWidth="1"/>
    <col min="6909" max="6909" width="9" style="20" customWidth="1"/>
    <col min="6910" max="6911" width="9.81640625" style="20" customWidth="1"/>
    <col min="6912" max="6912" width="11.1796875" style="20" customWidth="1"/>
    <col min="6913" max="6913" width="2.81640625" style="20" customWidth="1"/>
    <col min="6914" max="6914" width="3.54296875" style="20" customWidth="1"/>
    <col min="6915" max="7159" width="9.1796875" style="20"/>
    <col min="7160" max="7160" width="8.7265625" style="20" customWidth="1"/>
    <col min="7161" max="7161" width="9.81640625" style="20" customWidth="1"/>
    <col min="7162" max="7162" width="14.453125" style="20" customWidth="1"/>
    <col min="7163" max="7163" width="7.26953125" style="20" customWidth="1"/>
    <col min="7164" max="7164" width="5.54296875" style="20" customWidth="1"/>
    <col min="7165" max="7165" width="9" style="20" customWidth="1"/>
    <col min="7166" max="7167" width="9.81640625" style="20" customWidth="1"/>
    <col min="7168" max="7168" width="11.1796875" style="20" customWidth="1"/>
    <col min="7169" max="7169" width="2.81640625" style="20" customWidth="1"/>
    <col min="7170" max="7170" width="3.54296875" style="20" customWidth="1"/>
    <col min="7171" max="7415" width="9.1796875" style="20"/>
    <col min="7416" max="7416" width="8.7265625" style="20" customWidth="1"/>
    <col min="7417" max="7417" width="9.81640625" style="20" customWidth="1"/>
    <col min="7418" max="7418" width="14.453125" style="20" customWidth="1"/>
    <col min="7419" max="7419" width="7.26953125" style="20" customWidth="1"/>
    <col min="7420" max="7420" width="5.54296875" style="20" customWidth="1"/>
    <col min="7421" max="7421" width="9" style="20" customWidth="1"/>
    <col min="7422" max="7423" width="9.81640625" style="20" customWidth="1"/>
    <col min="7424" max="7424" width="11.1796875" style="20" customWidth="1"/>
    <col min="7425" max="7425" width="2.81640625" style="20" customWidth="1"/>
    <col min="7426" max="7426" width="3.54296875" style="20" customWidth="1"/>
    <col min="7427" max="7671" width="9.1796875" style="20"/>
    <col min="7672" max="7672" width="8.7265625" style="20" customWidth="1"/>
    <col min="7673" max="7673" width="9.81640625" style="20" customWidth="1"/>
    <col min="7674" max="7674" width="14.453125" style="20" customWidth="1"/>
    <col min="7675" max="7675" width="7.26953125" style="20" customWidth="1"/>
    <col min="7676" max="7676" width="5.54296875" style="20" customWidth="1"/>
    <col min="7677" max="7677" width="9" style="20" customWidth="1"/>
    <col min="7678" max="7679" width="9.81640625" style="20" customWidth="1"/>
    <col min="7680" max="7680" width="11.1796875" style="20" customWidth="1"/>
    <col min="7681" max="7681" width="2.81640625" style="20" customWidth="1"/>
    <col min="7682" max="7682" width="3.54296875" style="20" customWidth="1"/>
    <col min="7683" max="7927" width="9.1796875" style="20"/>
    <col min="7928" max="7928" width="8.7265625" style="20" customWidth="1"/>
    <col min="7929" max="7929" width="9.81640625" style="20" customWidth="1"/>
    <col min="7930" max="7930" width="14.453125" style="20" customWidth="1"/>
    <col min="7931" max="7931" width="7.26953125" style="20" customWidth="1"/>
    <col min="7932" max="7932" width="5.54296875" style="20" customWidth="1"/>
    <col min="7933" max="7933" width="9" style="20" customWidth="1"/>
    <col min="7934" max="7935" width="9.81640625" style="20" customWidth="1"/>
    <col min="7936" max="7936" width="11.1796875" style="20" customWidth="1"/>
    <col min="7937" max="7937" width="2.81640625" style="20" customWidth="1"/>
    <col min="7938" max="7938" width="3.54296875" style="20" customWidth="1"/>
    <col min="7939" max="8183" width="9.1796875" style="20"/>
    <col min="8184" max="8184" width="8.7265625" style="20" customWidth="1"/>
    <col min="8185" max="8185" width="9.81640625" style="20" customWidth="1"/>
    <col min="8186" max="8186" width="14.453125" style="20" customWidth="1"/>
    <col min="8187" max="8187" width="7.26953125" style="20" customWidth="1"/>
    <col min="8188" max="8188" width="5.54296875" style="20" customWidth="1"/>
    <col min="8189" max="8189" width="9" style="20" customWidth="1"/>
    <col min="8190" max="8191" width="9.81640625" style="20" customWidth="1"/>
    <col min="8192" max="8192" width="11.1796875" style="20" customWidth="1"/>
    <col min="8193" max="8193" width="2.81640625" style="20" customWidth="1"/>
    <col min="8194" max="8194" width="3.54296875" style="20" customWidth="1"/>
    <col min="8195" max="8439" width="9.1796875" style="20"/>
    <col min="8440" max="8440" width="8.7265625" style="20" customWidth="1"/>
    <col min="8441" max="8441" width="9.81640625" style="20" customWidth="1"/>
    <col min="8442" max="8442" width="14.453125" style="20" customWidth="1"/>
    <col min="8443" max="8443" width="7.26953125" style="20" customWidth="1"/>
    <col min="8444" max="8444" width="5.54296875" style="20" customWidth="1"/>
    <col min="8445" max="8445" width="9" style="20" customWidth="1"/>
    <col min="8446" max="8447" width="9.81640625" style="20" customWidth="1"/>
    <col min="8448" max="8448" width="11.1796875" style="20" customWidth="1"/>
    <col min="8449" max="8449" width="2.81640625" style="20" customWidth="1"/>
    <col min="8450" max="8450" width="3.54296875" style="20" customWidth="1"/>
    <col min="8451" max="8695" width="9.1796875" style="20"/>
    <col min="8696" max="8696" width="8.7265625" style="20" customWidth="1"/>
    <col min="8697" max="8697" width="9.81640625" style="20" customWidth="1"/>
    <col min="8698" max="8698" width="14.453125" style="20" customWidth="1"/>
    <col min="8699" max="8699" width="7.26953125" style="20" customWidth="1"/>
    <col min="8700" max="8700" width="5.54296875" style="20" customWidth="1"/>
    <col min="8701" max="8701" width="9" style="20" customWidth="1"/>
    <col min="8702" max="8703" width="9.81640625" style="20" customWidth="1"/>
    <col min="8704" max="8704" width="11.1796875" style="20" customWidth="1"/>
    <col min="8705" max="8705" width="2.81640625" style="20" customWidth="1"/>
    <col min="8706" max="8706" width="3.54296875" style="20" customWidth="1"/>
    <col min="8707" max="8951" width="9.1796875" style="20"/>
    <col min="8952" max="8952" width="8.7265625" style="20" customWidth="1"/>
    <col min="8953" max="8953" width="9.81640625" style="20" customWidth="1"/>
    <col min="8954" max="8954" width="14.453125" style="20" customWidth="1"/>
    <col min="8955" max="8955" width="7.26953125" style="20" customWidth="1"/>
    <col min="8956" max="8956" width="5.54296875" style="20" customWidth="1"/>
    <col min="8957" max="8957" width="9" style="20" customWidth="1"/>
    <col min="8958" max="8959" width="9.81640625" style="20" customWidth="1"/>
    <col min="8960" max="8960" width="11.1796875" style="20" customWidth="1"/>
    <col min="8961" max="8961" width="2.81640625" style="20" customWidth="1"/>
    <col min="8962" max="8962" width="3.54296875" style="20" customWidth="1"/>
    <col min="8963" max="9207" width="9.1796875" style="20"/>
    <col min="9208" max="9208" width="8.7265625" style="20" customWidth="1"/>
    <col min="9209" max="9209" width="9.81640625" style="20" customWidth="1"/>
    <col min="9210" max="9210" width="14.453125" style="20" customWidth="1"/>
    <col min="9211" max="9211" width="7.26953125" style="20" customWidth="1"/>
    <col min="9212" max="9212" width="5.54296875" style="20" customWidth="1"/>
    <col min="9213" max="9213" width="9" style="20" customWidth="1"/>
    <col min="9214" max="9215" width="9.81640625" style="20" customWidth="1"/>
    <col min="9216" max="9216" width="11.1796875" style="20" customWidth="1"/>
    <col min="9217" max="9217" width="2.81640625" style="20" customWidth="1"/>
    <col min="9218" max="9218" width="3.54296875" style="20" customWidth="1"/>
    <col min="9219" max="9463" width="9.1796875" style="20"/>
    <col min="9464" max="9464" width="8.7265625" style="20" customWidth="1"/>
    <col min="9465" max="9465" width="9.81640625" style="20" customWidth="1"/>
    <col min="9466" max="9466" width="14.453125" style="20" customWidth="1"/>
    <col min="9467" max="9467" width="7.26953125" style="20" customWidth="1"/>
    <col min="9468" max="9468" width="5.54296875" style="20" customWidth="1"/>
    <col min="9469" max="9469" width="9" style="20" customWidth="1"/>
    <col min="9470" max="9471" width="9.81640625" style="20" customWidth="1"/>
    <col min="9472" max="9472" width="11.1796875" style="20" customWidth="1"/>
    <col min="9473" max="9473" width="2.81640625" style="20" customWidth="1"/>
    <col min="9474" max="9474" width="3.54296875" style="20" customWidth="1"/>
    <col min="9475" max="9719" width="9.1796875" style="20"/>
    <col min="9720" max="9720" width="8.7265625" style="20" customWidth="1"/>
    <col min="9721" max="9721" width="9.81640625" style="20" customWidth="1"/>
    <col min="9722" max="9722" width="14.453125" style="20" customWidth="1"/>
    <col min="9723" max="9723" width="7.26953125" style="20" customWidth="1"/>
    <col min="9724" max="9724" width="5.54296875" style="20" customWidth="1"/>
    <col min="9725" max="9725" width="9" style="20" customWidth="1"/>
    <col min="9726" max="9727" width="9.81640625" style="20" customWidth="1"/>
    <col min="9728" max="9728" width="11.1796875" style="20" customWidth="1"/>
    <col min="9729" max="9729" width="2.81640625" style="20" customWidth="1"/>
    <col min="9730" max="9730" width="3.54296875" style="20" customWidth="1"/>
    <col min="9731" max="9975" width="9.1796875" style="20"/>
    <col min="9976" max="9976" width="8.7265625" style="20" customWidth="1"/>
    <col min="9977" max="9977" width="9.81640625" style="20" customWidth="1"/>
    <col min="9978" max="9978" width="14.453125" style="20" customWidth="1"/>
    <col min="9979" max="9979" width="7.26953125" style="20" customWidth="1"/>
    <col min="9980" max="9980" width="5.54296875" style="20" customWidth="1"/>
    <col min="9981" max="9981" width="9" style="20" customWidth="1"/>
    <col min="9982" max="9983" width="9.81640625" style="20" customWidth="1"/>
    <col min="9984" max="9984" width="11.1796875" style="20" customWidth="1"/>
    <col min="9985" max="9985" width="2.81640625" style="20" customWidth="1"/>
    <col min="9986" max="9986" width="3.54296875" style="20" customWidth="1"/>
    <col min="9987" max="10231" width="9.1796875" style="20"/>
    <col min="10232" max="10232" width="8.7265625" style="20" customWidth="1"/>
    <col min="10233" max="10233" width="9.81640625" style="20" customWidth="1"/>
    <col min="10234" max="10234" width="14.453125" style="20" customWidth="1"/>
    <col min="10235" max="10235" width="7.26953125" style="20" customWidth="1"/>
    <col min="10236" max="10236" width="5.54296875" style="20" customWidth="1"/>
    <col min="10237" max="10237" width="9" style="20" customWidth="1"/>
    <col min="10238" max="10239" width="9.81640625" style="20" customWidth="1"/>
    <col min="10240" max="10240" width="11.1796875" style="20" customWidth="1"/>
    <col min="10241" max="10241" width="2.81640625" style="20" customWidth="1"/>
    <col min="10242" max="10242" width="3.54296875" style="20" customWidth="1"/>
    <col min="10243" max="10487" width="9.1796875" style="20"/>
    <col min="10488" max="10488" width="8.7265625" style="20" customWidth="1"/>
    <col min="10489" max="10489" width="9.81640625" style="20" customWidth="1"/>
    <col min="10490" max="10490" width="14.453125" style="20" customWidth="1"/>
    <col min="10491" max="10491" width="7.26953125" style="20" customWidth="1"/>
    <col min="10492" max="10492" width="5.54296875" style="20" customWidth="1"/>
    <col min="10493" max="10493" width="9" style="20" customWidth="1"/>
    <col min="10494" max="10495" width="9.81640625" style="20" customWidth="1"/>
    <col min="10496" max="10496" width="11.1796875" style="20" customWidth="1"/>
    <col min="10497" max="10497" width="2.81640625" style="20" customWidth="1"/>
    <col min="10498" max="10498" width="3.54296875" style="20" customWidth="1"/>
    <col min="10499" max="10743" width="9.1796875" style="20"/>
    <col min="10744" max="10744" width="8.7265625" style="20" customWidth="1"/>
    <col min="10745" max="10745" width="9.81640625" style="20" customWidth="1"/>
    <col min="10746" max="10746" width="14.453125" style="20" customWidth="1"/>
    <col min="10747" max="10747" width="7.26953125" style="20" customWidth="1"/>
    <col min="10748" max="10748" width="5.54296875" style="20" customWidth="1"/>
    <col min="10749" max="10749" width="9" style="20" customWidth="1"/>
    <col min="10750" max="10751" width="9.81640625" style="20" customWidth="1"/>
    <col min="10752" max="10752" width="11.1796875" style="20" customWidth="1"/>
    <col min="10753" max="10753" width="2.81640625" style="20" customWidth="1"/>
    <col min="10754" max="10754" width="3.54296875" style="20" customWidth="1"/>
    <col min="10755" max="10999" width="9.1796875" style="20"/>
    <col min="11000" max="11000" width="8.7265625" style="20" customWidth="1"/>
    <col min="11001" max="11001" width="9.81640625" style="20" customWidth="1"/>
    <col min="11002" max="11002" width="14.453125" style="20" customWidth="1"/>
    <col min="11003" max="11003" width="7.26953125" style="20" customWidth="1"/>
    <col min="11004" max="11004" width="5.54296875" style="20" customWidth="1"/>
    <col min="11005" max="11005" width="9" style="20" customWidth="1"/>
    <col min="11006" max="11007" width="9.81640625" style="20" customWidth="1"/>
    <col min="11008" max="11008" width="11.1796875" style="20" customWidth="1"/>
    <col min="11009" max="11009" width="2.81640625" style="20" customWidth="1"/>
    <col min="11010" max="11010" width="3.54296875" style="20" customWidth="1"/>
    <col min="11011" max="11255" width="9.1796875" style="20"/>
    <col min="11256" max="11256" width="8.7265625" style="20" customWidth="1"/>
    <col min="11257" max="11257" width="9.81640625" style="20" customWidth="1"/>
    <col min="11258" max="11258" width="14.453125" style="20" customWidth="1"/>
    <col min="11259" max="11259" width="7.26953125" style="20" customWidth="1"/>
    <col min="11260" max="11260" width="5.54296875" style="20" customWidth="1"/>
    <col min="11261" max="11261" width="9" style="20" customWidth="1"/>
    <col min="11262" max="11263" width="9.81640625" style="20" customWidth="1"/>
    <col min="11264" max="11264" width="11.1796875" style="20" customWidth="1"/>
    <col min="11265" max="11265" width="2.81640625" style="20" customWidth="1"/>
    <col min="11266" max="11266" width="3.54296875" style="20" customWidth="1"/>
    <col min="11267" max="11511" width="9.1796875" style="20"/>
    <col min="11512" max="11512" width="8.7265625" style="20" customWidth="1"/>
    <col min="11513" max="11513" width="9.81640625" style="20" customWidth="1"/>
    <col min="11514" max="11514" width="14.453125" style="20" customWidth="1"/>
    <col min="11515" max="11515" width="7.26953125" style="20" customWidth="1"/>
    <col min="11516" max="11516" width="5.54296875" style="20" customWidth="1"/>
    <col min="11517" max="11517" width="9" style="20" customWidth="1"/>
    <col min="11518" max="11519" width="9.81640625" style="20" customWidth="1"/>
    <col min="11520" max="11520" width="11.1796875" style="20" customWidth="1"/>
    <col min="11521" max="11521" width="2.81640625" style="20" customWidth="1"/>
    <col min="11522" max="11522" width="3.54296875" style="20" customWidth="1"/>
    <col min="11523" max="11767" width="9.1796875" style="20"/>
    <col min="11768" max="11768" width="8.7265625" style="20" customWidth="1"/>
    <col min="11769" max="11769" width="9.81640625" style="20" customWidth="1"/>
    <col min="11770" max="11770" width="14.453125" style="20" customWidth="1"/>
    <col min="11771" max="11771" width="7.26953125" style="20" customWidth="1"/>
    <col min="11772" max="11772" width="5.54296875" style="20" customWidth="1"/>
    <col min="11773" max="11773" width="9" style="20" customWidth="1"/>
    <col min="11774" max="11775" width="9.81640625" style="20" customWidth="1"/>
    <col min="11776" max="11776" width="11.1796875" style="20" customWidth="1"/>
    <col min="11777" max="11777" width="2.81640625" style="20" customWidth="1"/>
    <col min="11778" max="11778" width="3.54296875" style="20" customWidth="1"/>
    <col min="11779" max="12023" width="9.1796875" style="20"/>
    <col min="12024" max="12024" width="8.7265625" style="20" customWidth="1"/>
    <col min="12025" max="12025" width="9.81640625" style="20" customWidth="1"/>
    <col min="12026" max="12026" width="14.453125" style="20" customWidth="1"/>
    <col min="12027" max="12027" width="7.26953125" style="20" customWidth="1"/>
    <col min="12028" max="12028" width="5.54296875" style="20" customWidth="1"/>
    <col min="12029" max="12029" width="9" style="20" customWidth="1"/>
    <col min="12030" max="12031" width="9.81640625" style="20" customWidth="1"/>
    <col min="12032" max="12032" width="11.1796875" style="20" customWidth="1"/>
    <col min="12033" max="12033" width="2.81640625" style="20" customWidth="1"/>
    <col min="12034" max="12034" width="3.54296875" style="20" customWidth="1"/>
    <col min="12035" max="12279" width="9.1796875" style="20"/>
    <col min="12280" max="12280" width="8.7265625" style="20" customWidth="1"/>
    <col min="12281" max="12281" width="9.81640625" style="20" customWidth="1"/>
    <col min="12282" max="12282" width="14.453125" style="20" customWidth="1"/>
    <col min="12283" max="12283" width="7.26953125" style="20" customWidth="1"/>
    <col min="12284" max="12284" width="5.54296875" style="20" customWidth="1"/>
    <col min="12285" max="12285" width="9" style="20" customWidth="1"/>
    <col min="12286" max="12287" width="9.81640625" style="20" customWidth="1"/>
    <col min="12288" max="12288" width="11.1796875" style="20" customWidth="1"/>
    <col min="12289" max="12289" width="2.81640625" style="20" customWidth="1"/>
    <col min="12290" max="12290" width="3.54296875" style="20" customWidth="1"/>
    <col min="12291" max="12535" width="9.1796875" style="20"/>
    <col min="12536" max="12536" width="8.7265625" style="20" customWidth="1"/>
    <col min="12537" max="12537" width="9.81640625" style="20" customWidth="1"/>
    <col min="12538" max="12538" width="14.453125" style="20" customWidth="1"/>
    <col min="12539" max="12539" width="7.26953125" style="20" customWidth="1"/>
    <col min="12540" max="12540" width="5.54296875" style="20" customWidth="1"/>
    <col min="12541" max="12541" width="9" style="20" customWidth="1"/>
    <col min="12542" max="12543" width="9.81640625" style="20" customWidth="1"/>
    <col min="12544" max="12544" width="11.1796875" style="20" customWidth="1"/>
    <col min="12545" max="12545" width="2.81640625" style="20" customWidth="1"/>
    <col min="12546" max="12546" width="3.54296875" style="20" customWidth="1"/>
    <col min="12547" max="12791" width="9.1796875" style="20"/>
    <col min="12792" max="12792" width="8.7265625" style="20" customWidth="1"/>
    <col min="12793" max="12793" width="9.81640625" style="20" customWidth="1"/>
    <col min="12794" max="12794" width="14.453125" style="20" customWidth="1"/>
    <col min="12795" max="12795" width="7.26953125" style="20" customWidth="1"/>
    <col min="12796" max="12796" width="5.54296875" style="20" customWidth="1"/>
    <col min="12797" max="12797" width="9" style="20" customWidth="1"/>
    <col min="12798" max="12799" width="9.81640625" style="20" customWidth="1"/>
    <col min="12800" max="12800" width="11.1796875" style="20" customWidth="1"/>
    <col min="12801" max="12801" width="2.81640625" style="20" customWidth="1"/>
    <col min="12802" max="12802" width="3.54296875" style="20" customWidth="1"/>
    <col min="12803" max="13047" width="9.1796875" style="20"/>
    <col min="13048" max="13048" width="8.7265625" style="20" customWidth="1"/>
    <col min="13049" max="13049" width="9.81640625" style="20" customWidth="1"/>
    <col min="13050" max="13050" width="14.453125" style="20" customWidth="1"/>
    <col min="13051" max="13051" width="7.26953125" style="20" customWidth="1"/>
    <col min="13052" max="13052" width="5.54296875" style="20" customWidth="1"/>
    <col min="13053" max="13053" width="9" style="20" customWidth="1"/>
    <col min="13054" max="13055" width="9.81640625" style="20" customWidth="1"/>
    <col min="13056" max="13056" width="11.1796875" style="20" customWidth="1"/>
    <col min="13057" max="13057" width="2.81640625" style="20" customWidth="1"/>
    <col min="13058" max="13058" width="3.54296875" style="20" customWidth="1"/>
    <col min="13059" max="13303" width="9.1796875" style="20"/>
    <col min="13304" max="13304" width="8.7265625" style="20" customWidth="1"/>
    <col min="13305" max="13305" width="9.81640625" style="20" customWidth="1"/>
    <col min="13306" max="13306" width="14.453125" style="20" customWidth="1"/>
    <col min="13307" max="13307" width="7.26953125" style="20" customWidth="1"/>
    <col min="13308" max="13308" width="5.54296875" style="20" customWidth="1"/>
    <col min="13309" max="13309" width="9" style="20" customWidth="1"/>
    <col min="13310" max="13311" width="9.81640625" style="20" customWidth="1"/>
    <col min="13312" max="13312" width="11.1796875" style="20" customWidth="1"/>
    <col min="13313" max="13313" width="2.81640625" style="20" customWidth="1"/>
    <col min="13314" max="13314" width="3.54296875" style="20" customWidth="1"/>
    <col min="13315" max="13559" width="9.1796875" style="20"/>
    <col min="13560" max="13560" width="8.7265625" style="20" customWidth="1"/>
    <col min="13561" max="13561" width="9.81640625" style="20" customWidth="1"/>
    <col min="13562" max="13562" width="14.453125" style="20" customWidth="1"/>
    <col min="13563" max="13563" width="7.26953125" style="20" customWidth="1"/>
    <col min="13564" max="13564" width="5.54296875" style="20" customWidth="1"/>
    <col min="13565" max="13565" width="9" style="20" customWidth="1"/>
    <col min="13566" max="13567" width="9.81640625" style="20" customWidth="1"/>
    <col min="13568" max="13568" width="11.1796875" style="20" customWidth="1"/>
    <col min="13569" max="13569" width="2.81640625" style="20" customWidth="1"/>
    <col min="13570" max="13570" width="3.54296875" style="20" customWidth="1"/>
    <col min="13571" max="13815" width="9.1796875" style="20"/>
    <col min="13816" max="13816" width="8.7265625" style="20" customWidth="1"/>
    <col min="13817" max="13817" width="9.81640625" style="20" customWidth="1"/>
    <col min="13818" max="13818" width="14.453125" style="20" customWidth="1"/>
    <col min="13819" max="13819" width="7.26953125" style="20" customWidth="1"/>
    <col min="13820" max="13820" width="5.54296875" style="20" customWidth="1"/>
    <col min="13821" max="13821" width="9" style="20" customWidth="1"/>
    <col min="13822" max="13823" width="9.81640625" style="20" customWidth="1"/>
    <col min="13824" max="13824" width="11.1796875" style="20" customWidth="1"/>
    <col min="13825" max="13825" width="2.81640625" style="20" customWidth="1"/>
    <col min="13826" max="13826" width="3.54296875" style="20" customWidth="1"/>
    <col min="13827" max="14071" width="9.1796875" style="20"/>
    <col min="14072" max="14072" width="8.7265625" style="20" customWidth="1"/>
    <col min="14073" max="14073" width="9.81640625" style="20" customWidth="1"/>
    <col min="14074" max="14074" width="14.453125" style="20" customWidth="1"/>
    <col min="14075" max="14075" width="7.26953125" style="20" customWidth="1"/>
    <col min="14076" max="14076" width="5.54296875" style="20" customWidth="1"/>
    <col min="14077" max="14077" width="9" style="20" customWidth="1"/>
    <col min="14078" max="14079" width="9.81640625" style="20" customWidth="1"/>
    <col min="14080" max="14080" width="11.1796875" style="20" customWidth="1"/>
    <col min="14081" max="14081" width="2.81640625" style="20" customWidth="1"/>
    <col min="14082" max="14082" width="3.54296875" style="20" customWidth="1"/>
    <col min="14083" max="14327" width="9.1796875" style="20"/>
    <col min="14328" max="14328" width="8.7265625" style="20" customWidth="1"/>
    <col min="14329" max="14329" width="9.81640625" style="20" customWidth="1"/>
    <col min="14330" max="14330" width="14.453125" style="20" customWidth="1"/>
    <col min="14331" max="14331" width="7.26953125" style="20" customWidth="1"/>
    <col min="14332" max="14332" width="5.54296875" style="20" customWidth="1"/>
    <col min="14333" max="14333" width="9" style="20" customWidth="1"/>
    <col min="14334" max="14335" width="9.81640625" style="20" customWidth="1"/>
    <col min="14336" max="14336" width="11.1796875" style="20" customWidth="1"/>
    <col min="14337" max="14337" width="2.81640625" style="20" customWidth="1"/>
    <col min="14338" max="14338" width="3.54296875" style="20" customWidth="1"/>
    <col min="14339" max="14583" width="9.1796875" style="20"/>
    <col min="14584" max="14584" width="8.7265625" style="20" customWidth="1"/>
    <col min="14585" max="14585" width="9.81640625" style="20" customWidth="1"/>
    <col min="14586" max="14586" width="14.453125" style="20" customWidth="1"/>
    <col min="14587" max="14587" width="7.26953125" style="20" customWidth="1"/>
    <col min="14588" max="14588" width="5.54296875" style="20" customWidth="1"/>
    <col min="14589" max="14589" width="9" style="20" customWidth="1"/>
    <col min="14590" max="14591" width="9.81640625" style="20" customWidth="1"/>
    <col min="14592" max="14592" width="11.1796875" style="20" customWidth="1"/>
    <col min="14593" max="14593" width="2.81640625" style="20" customWidth="1"/>
    <col min="14594" max="14594" width="3.54296875" style="20" customWidth="1"/>
    <col min="14595" max="14839" width="9.1796875" style="20"/>
    <col min="14840" max="14840" width="8.7265625" style="20" customWidth="1"/>
    <col min="14841" max="14841" width="9.81640625" style="20" customWidth="1"/>
    <col min="14842" max="14842" width="14.453125" style="20" customWidth="1"/>
    <col min="14843" max="14843" width="7.26953125" style="20" customWidth="1"/>
    <col min="14844" max="14844" width="5.54296875" style="20" customWidth="1"/>
    <col min="14845" max="14845" width="9" style="20" customWidth="1"/>
    <col min="14846" max="14847" width="9.81640625" style="20" customWidth="1"/>
    <col min="14848" max="14848" width="11.1796875" style="20" customWidth="1"/>
    <col min="14849" max="14849" width="2.81640625" style="20" customWidth="1"/>
    <col min="14850" max="14850" width="3.54296875" style="20" customWidth="1"/>
    <col min="14851" max="15095" width="9.1796875" style="20"/>
    <col min="15096" max="15096" width="8.7265625" style="20" customWidth="1"/>
    <col min="15097" max="15097" width="9.81640625" style="20" customWidth="1"/>
    <col min="15098" max="15098" width="14.453125" style="20" customWidth="1"/>
    <col min="15099" max="15099" width="7.26953125" style="20" customWidth="1"/>
    <col min="15100" max="15100" width="5.54296875" style="20" customWidth="1"/>
    <col min="15101" max="15101" width="9" style="20" customWidth="1"/>
    <col min="15102" max="15103" width="9.81640625" style="20" customWidth="1"/>
    <col min="15104" max="15104" width="11.1796875" style="20" customWidth="1"/>
    <col min="15105" max="15105" width="2.81640625" style="20" customWidth="1"/>
    <col min="15106" max="15106" width="3.54296875" style="20" customWidth="1"/>
    <col min="15107" max="15351" width="9.1796875" style="20"/>
    <col min="15352" max="15352" width="8.7265625" style="20" customWidth="1"/>
    <col min="15353" max="15353" width="9.81640625" style="20" customWidth="1"/>
    <col min="15354" max="15354" width="14.453125" style="20" customWidth="1"/>
    <col min="15355" max="15355" width="7.26953125" style="20" customWidth="1"/>
    <col min="15356" max="15356" width="5.54296875" style="20" customWidth="1"/>
    <col min="15357" max="15357" width="9" style="20" customWidth="1"/>
    <col min="15358" max="15359" width="9.81640625" style="20" customWidth="1"/>
    <col min="15360" max="15360" width="11.1796875" style="20" customWidth="1"/>
    <col min="15361" max="15361" width="2.81640625" style="20" customWidth="1"/>
    <col min="15362" max="15362" width="3.54296875" style="20" customWidth="1"/>
    <col min="15363" max="15607" width="9.1796875" style="20"/>
    <col min="15608" max="15608" width="8.7265625" style="20" customWidth="1"/>
    <col min="15609" max="15609" width="9.81640625" style="20" customWidth="1"/>
    <col min="15610" max="15610" width="14.453125" style="20" customWidth="1"/>
    <col min="15611" max="15611" width="7.26953125" style="20" customWidth="1"/>
    <col min="15612" max="15612" width="5.54296875" style="20" customWidth="1"/>
    <col min="15613" max="15613" width="9" style="20" customWidth="1"/>
    <col min="15614" max="15615" width="9.81640625" style="20" customWidth="1"/>
    <col min="15616" max="15616" width="11.1796875" style="20" customWidth="1"/>
    <col min="15617" max="15617" width="2.81640625" style="20" customWidth="1"/>
    <col min="15618" max="15618" width="3.54296875" style="20" customWidth="1"/>
    <col min="15619" max="15863" width="9.1796875" style="20"/>
    <col min="15864" max="15864" width="8.7265625" style="20" customWidth="1"/>
    <col min="15865" max="15865" width="9.81640625" style="20" customWidth="1"/>
    <col min="15866" max="15866" width="14.453125" style="20" customWidth="1"/>
    <col min="15867" max="15867" width="7.26953125" style="20" customWidth="1"/>
    <col min="15868" max="15868" width="5.54296875" style="20" customWidth="1"/>
    <col min="15869" max="15869" width="9" style="20" customWidth="1"/>
    <col min="15870" max="15871" width="9.81640625" style="20" customWidth="1"/>
    <col min="15872" max="15872" width="11.1796875" style="20" customWidth="1"/>
    <col min="15873" max="15873" width="2.81640625" style="20" customWidth="1"/>
    <col min="15874" max="15874" width="3.54296875" style="20" customWidth="1"/>
    <col min="15875" max="16119" width="9.1796875" style="20"/>
    <col min="16120" max="16120" width="8.7265625" style="20" customWidth="1"/>
    <col min="16121" max="16121" width="9.81640625" style="20" customWidth="1"/>
    <col min="16122" max="16122" width="14.453125" style="20" customWidth="1"/>
    <col min="16123" max="16123" width="7.26953125" style="20" customWidth="1"/>
    <col min="16124" max="16124" width="5.54296875" style="20" customWidth="1"/>
    <col min="16125" max="16125" width="9" style="20" customWidth="1"/>
    <col min="16126" max="16127" width="9.81640625" style="20" customWidth="1"/>
    <col min="16128" max="16128" width="11.1796875" style="20" customWidth="1"/>
    <col min="16129" max="16129" width="2.81640625" style="20" customWidth="1"/>
    <col min="16130" max="16130" width="3.54296875" style="20" customWidth="1"/>
    <col min="16131" max="16384" width="9.1796875" style="20"/>
  </cols>
  <sheetData>
    <row r="1" spans="1:8" ht="46.5" customHeight="1" x14ac:dyDescent="0.35">
      <c r="A1" s="129" t="s">
        <v>237</v>
      </c>
      <c r="B1" s="129"/>
      <c r="C1" s="129"/>
      <c r="D1" s="129"/>
      <c r="E1" s="129"/>
      <c r="F1" s="129"/>
      <c r="G1" s="129"/>
      <c r="H1" s="129"/>
    </row>
    <row r="2" spans="1:8" ht="16.5" customHeight="1" x14ac:dyDescent="0.35">
      <c r="A2" s="130" t="s">
        <v>0</v>
      </c>
      <c r="B2" s="130"/>
      <c r="C2" s="130"/>
      <c r="D2" s="130"/>
      <c r="E2" s="130"/>
      <c r="F2" s="130"/>
      <c r="G2" s="130"/>
      <c r="H2" s="130"/>
    </row>
    <row r="3" spans="1:8" x14ac:dyDescent="0.35">
      <c r="A3" s="110" t="s">
        <v>1</v>
      </c>
      <c r="B3" s="110"/>
      <c r="C3" s="110"/>
      <c r="D3" s="110"/>
      <c r="E3" s="110" t="str">
        <f ca="1">TEXT(TODAY(),"DD/MM/YYYY")</f>
        <v>20/08/2025</v>
      </c>
      <c r="F3" s="110"/>
      <c r="G3" s="110"/>
      <c r="H3" s="110"/>
    </row>
    <row r="4" spans="1:8" ht="15" customHeight="1" x14ac:dyDescent="0.35">
      <c r="A4" s="110" t="s">
        <v>2</v>
      </c>
      <c r="B4" s="110"/>
      <c r="C4" s="110"/>
      <c r="D4" s="110"/>
      <c r="E4" s="110" t="s">
        <v>181</v>
      </c>
      <c r="F4" s="110"/>
      <c r="G4" s="110"/>
      <c r="H4" s="110"/>
    </row>
    <row r="5" spans="1:8" x14ac:dyDescent="0.35">
      <c r="A5" s="110" t="s">
        <v>3</v>
      </c>
      <c r="B5" s="110"/>
      <c r="C5" s="110"/>
      <c r="D5" s="110"/>
      <c r="E5" s="131">
        <v>45884</v>
      </c>
      <c r="F5" s="110"/>
      <c r="G5" s="110"/>
      <c r="H5" s="110"/>
    </row>
    <row r="6" spans="1:8" ht="16.5" customHeight="1" x14ac:dyDescent="0.35">
      <c r="A6" s="110" t="s">
        <v>4</v>
      </c>
      <c r="B6" s="110"/>
      <c r="C6" s="110"/>
      <c r="D6" s="110"/>
      <c r="E6" s="111" t="s">
        <v>183</v>
      </c>
      <c r="F6" s="110"/>
      <c r="G6" s="110"/>
      <c r="H6" s="110"/>
    </row>
    <row r="7" spans="1:8" ht="15" customHeight="1" x14ac:dyDescent="0.35">
      <c r="A7" s="110" t="s">
        <v>5</v>
      </c>
      <c r="B7" s="110"/>
      <c r="C7" s="110"/>
      <c r="D7" s="110"/>
      <c r="E7" s="110" t="str">
        <f>E6</f>
        <v>Veena Developers</v>
      </c>
      <c r="F7" s="110"/>
      <c r="G7" s="110"/>
      <c r="H7" s="110"/>
    </row>
    <row r="8" spans="1:8" x14ac:dyDescent="0.35">
      <c r="A8" s="110" t="s">
        <v>6</v>
      </c>
      <c r="B8" s="110"/>
      <c r="C8" s="110"/>
      <c r="D8" s="110"/>
      <c r="E8" s="113" t="s">
        <v>182</v>
      </c>
      <c r="F8" s="113"/>
      <c r="G8" s="113"/>
      <c r="H8" s="113"/>
    </row>
    <row r="9" spans="1:8" x14ac:dyDescent="0.35">
      <c r="A9" s="110" t="s">
        <v>176</v>
      </c>
      <c r="B9" s="110"/>
      <c r="C9" s="110"/>
      <c r="D9" s="110"/>
      <c r="E9" s="110" t="s">
        <v>184</v>
      </c>
      <c r="F9" s="110"/>
      <c r="G9" s="110"/>
      <c r="H9" s="110"/>
    </row>
    <row r="10" spans="1:8" x14ac:dyDescent="0.35">
      <c r="A10" s="110" t="s">
        <v>177</v>
      </c>
      <c r="B10" s="110"/>
      <c r="C10" s="110"/>
      <c r="D10" s="110"/>
      <c r="E10" s="110" t="s">
        <v>30</v>
      </c>
      <c r="F10" s="110"/>
      <c r="G10" s="110"/>
      <c r="H10" s="110"/>
    </row>
    <row r="11" spans="1:8" x14ac:dyDescent="0.35">
      <c r="A11" s="110" t="s">
        <v>7</v>
      </c>
      <c r="B11" s="110"/>
      <c r="C11" s="110"/>
      <c r="D11" s="110"/>
      <c r="E11" s="110" t="s">
        <v>207</v>
      </c>
      <c r="F11" s="110"/>
      <c r="G11" s="110"/>
      <c r="H11" s="110"/>
    </row>
    <row r="12" spans="1:8" x14ac:dyDescent="0.35">
      <c r="A12" s="110" t="s">
        <v>189</v>
      </c>
      <c r="B12" s="110"/>
      <c r="C12" s="110"/>
      <c r="D12" s="110"/>
      <c r="E12" s="110" t="s">
        <v>190</v>
      </c>
      <c r="F12" s="110"/>
      <c r="G12" s="110"/>
      <c r="H12" s="110"/>
    </row>
    <row r="13" spans="1:8" x14ac:dyDescent="0.35">
      <c r="A13" s="110" t="s">
        <v>8</v>
      </c>
      <c r="B13" s="110"/>
      <c r="C13" s="110"/>
      <c r="D13" s="110"/>
      <c r="E13" s="111" t="s">
        <v>185</v>
      </c>
      <c r="F13" s="111"/>
      <c r="G13" s="111"/>
      <c r="H13" s="111"/>
    </row>
    <row r="14" spans="1:8" x14ac:dyDescent="0.35">
      <c r="A14" s="110" t="s">
        <v>9</v>
      </c>
      <c r="B14" s="110"/>
      <c r="C14" s="110"/>
      <c r="D14" s="110"/>
      <c r="E14" s="111" t="s">
        <v>186</v>
      </c>
      <c r="F14" s="110"/>
      <c r="G14" s="110"/>
      <c r="H14" s="110"/>
    </row>
    <row r="15" spans="1:8" ht="48.75" customHeight="1" x14ac:dyDescent="0.35">
      <c r="A15" s="111" t="s">
        <v>10</v>
      </c>
      <c r="B15" s="111"/>
      <c r="C15" s="111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Veena Suyog, CTS No.544, 544(1 TO 9), Redevlopement of " Ram Shyam Co-operative Housing Society Ltd ", near Nagindas Khandwala College, Swami Vivekananda Road, , Malad, Malad West, Borivali, Mumbai - 400064.</v>
      </c>
      <c r="D15" s="111"/>
      <c r="E15" s="111"/>
      <c r="F15" s="111"/>
      <c r="G15" s="111"/>
      <c r="H15" s="111"/>
    </row>
    <row r="16" spans="1:8" x14ac:dyDescent="0.35">
      <c r="A16" s="111" t="s">
        <v>188</v>
      </c>
      <c r="B16" s="111"/>
      <c r="C16" s="111" t="s">
        <v>187</v>
      </c>
      <c r="D16" s="111"/>
      <c r="E16" s="111"/>
      <c r="F16" s="111"/>
      <c r="G16" s="111"/>
      <c r="H16" s="111"/>
    </row>
    <row r="17" spans="1:8" ht="15.75" customHeight="1" x14ac:dyDescent="0.35">
      <c r="A17" s="111" t="s">
        <v>175</v>
      </c>
      <c r="B17" s="111"/>
      <c r="C17" s="111" t="s">
        <v>30</v>
      </c>
      <c r="D17" s="111"/>
      <c r="E17" s="111"/>
      <c r="F17" s="111"/>
      <c r="G17" s="111"/>
      <c r="H17" s="111"/>
    </row>
    <row r="18" spans="1:8" ht="15.75" customHeight="1" x14ac:dyDescent="0.35">
      <c r="A18" s="112" t="s">
        <v>11</v>
      </c>
      <c r="B18" s="112"/>
      <c r="C18" s="110" t="s">
        <v>193</v>
      </c>
      <c r="D18" s="110"/>
      <c r="E18" s="112" t="s">
        <v>74</v>
      </c>
      <c r="F18" s="112"/>
      <c r="G18" s="111" t="s">
        <v>194</v>
      </c>
      <c r="H18" s="111"/>
    </row>
    <row r="19" spans="1:8" x14ac:dyDescent="0.35">
      <c r="A19" s="87" t="s">
        <v>13</v>
      </c>
      <c r="B19" s="87"/>
      <c r="C19" s="111" t="s">
        <v>198</v>
      </c>
      <c r="D19" s="111"/>
      <c r="E19" s="112" t="s">
        <v>12</v>
      </c>
      <c r="F19" s="112"/>
      <c r="G19" s="128" t="s">
        <v>191</v>
      </c>
      <c r="H19" s="128"/>
    </row>
    <row r="20" spans="1:8" x14ac:dyDescent="0.35">
      <c r="A20" s="87" t="s">
        <v>75</v>
      </c>
      <c r="B20" s="87"/>
      <c r="C20" s="111" t="s">
        <v>195</v>
      </c>
      <c r="D20" s="111"/>
      <c r="E20" s="112" t="s">
        <v>14</v>
      </c>
      <c r="F20" s="112"/>
      <c r="G20" s="111">
        <v>400064</v>
      </c>
      <c r="H20" s="111"/>
    </row>
    <row r="21" spans="1:8" ht="32.25" customHeight="1" x14ac:dyDescent="0.35">
      <c r="A21" s="87" t="s">
        <v>129</v>
      </c>
      <c r="B21" s="87"/>
      <c r="C21" s="111" t="s">
        <v>197</v>
      </c>
      <c r="D21" s="111"/>
      <c r="E21" s="112" t="s">
        <v>15</v>
      </c>
      <c r="F21" s="112"/>
      <c r="G21" s="111" t="s">
        <v>196</v>
      </c>
      <c r="H21" s="111"/>
    </row>
    <row r="22" spans="1:8" ht="15" customHeight="1" x14ac:dyDescent="0.35">
      <c r="A22" s="112" t="s">
        <v>78</v>
      </c>
      <c r="B22" s="112"/>
      <c r="C22" s="112"/>
      <c r="D22" s="112"/>
      <c r="E22" s="110" t="s">
        <v>16</v>
      </c>
      <c r="F22" s="110"/>
      <c r="G22" s="110"/>
      <c r="H22" s="110"/>
    </row>
    <row r="23" spans="1:8" ht="18.75" customHeight="1" x14ac:dyDescent="0.35">
      <c r="A23" s="112"/>
      <c r="B23" s="112"/>
      <c r="C23" s="112"/>
      <c r="D23" s="112"/>
      <c r="E23" s="110"/>
      <c r="F23" s="110"/>
      <c r="G23" s="110"/>
      <c r="H23" s="110"/>
    </row>
    <row r="24" spans="1:8" ht="15" customHeight="1" x14ac:dyDescent="0.35">
      <c r="A24" s="112" t="s">
        <v>17</v>
      </c>
      <c r="B24" s="112"/>
      <c r="C24" s="112"/>
      <c r="D24" s="112"/>
      <c r="E24" s="111" t="s">
        <v>18</v>
      </c>
      <c r="F24" s="111"/>
      <c r="G24" s="111"/>
      <c r="H24" s="111"/>
    </row>
    <row r="25" spans="1:8" ht="15" customHeight="1" x14ac:dyDescent="0.35">
      <c r="A25" s="87" t="s">
        <v>19</v>
      </c>
      <c r="B25" s="87"/>
      <c r="C25" s="87"/>
      <c r="D25" s="87"/>
      <c r="E25" s="111" t="str">
        <f>IF(AND(G19="Mumbai"),"Upper Class","Middle Class")</f>
        <v>Upper Class</v>
      </c>
      <c r="F25" s="111"/>
      <c r="G25" s="111"/>
      <c r="H25" s="111"/>
    </row>
    <row r="26" spans="1:8" x14ac:dyDescent="0.35">
      <c r="A26" s="87" t="s">
        <v>20</v>
      </c>
      <c r="B26" s="87"/>
      <c r="C26" s="87"/>
      <c r="D26" s="87"/>
      <c r="E26" s="111" t="s">
        <v>21</v>
      </c>
      <c r="F26" s="111"/>
      <c r="G26" s="111"/>
      <c r="H26" s="111"/>
    </row>
    <row r="27" spans="1:8" ht="15.75" customHeight="1" x14ac:dyDescent="0.35">
      <c r="A27" s="87" t="s">
        <v>22</v>
      </c>
      <c r="B27" s="87"/>
      <c r="C27" s="87"/>
      <c r="D27" s="87"/>
      <c r="E27" s="111" t="str">
        <f>IF(AND(G19="Mumbai"),"Developed","Developing")</f>
        <v>Developed</v>
      </c>
      <c r="F27" s="111"/>
      <c r="G27" s="111"/>
      <c r="H27" s="111"/>
    </row>
    <row r="28" spans="1:8" x14ac:dyDescent="0.35">
      <c r="A28" s="87" t="s">
        <v>23</v>
      </c>
      <c r="B28" s="87"/>
      <c r="C28" s="87"/>
      <c r="D28" s="87"/>
      <c r="E28" s="111" t="s">
        <v>24</v>
      </c>
      <c r="F28" s="111"/>
      <c r="G28" s="111"/>
      <c r="H28" s="111"/>
    </row>
    <row r="29" spans="1:8" ht="15.75" customHeight="1" x14ac:dyDescent="0.35">
      <c r="A29" s="87" t="s">
        <v>83</v>
      </c>
      <c r="B29" s="87"/>
      <c r="C29" s="87"/>
      <c r="D29" s="87"/>
      <c r="E29" s="111" t="s">
        <v>84</v>
      </c>
      <c r="F29" s="111"/>
      <c r="G29" s="111"/>
      <c r="H29" s="111"/>
    </row>
    <row r="30" spans="1:8" ht="15" customHeight="1" x14ac:dyDescent="0.35">
      <c r="A30" s="87" t="s">
        <v>33</v>
      </c>
      <c r="B30" s="87"/>
      <c r="C30" s="87"/>
      <c r="D30" s="87"/>
      <c r="E30" s="111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11"/>
      <c r="G30" s="111"/>
      <c r="H30" s="111"/>
    </row>
    <row r="31" spans="1:8" ht="15.75" customHeight="1" x14ac:dyDescent="0.35">
      <c r="A31" s="87" t="s">
        <v>95</v>
      </c>
      <c r="B31" s="87"/>
      <c r="C31" s="87"/>
      <c r="D31" s="87"/>
      <c r="E31" s="111" t="s">
        <v>34</v>
      </c>
      <c r="F31" s="111"/>
      <c r="G31" s="111"/>
      <c r="H31" s="111"/>
    </row>
    <row r="32" spans="1:8" s="21" customFormat="1" x14ac:dyDescent="0.35">
      <c r="A32" s="136" t="s">
        <v>96</v>
      </c>
      <c r="B32" s="136"/>
      <c r="C32" s="135" t="s">
        <v>29</v>
      </c>
      <c r="D32" s="135"/>
      <c r="E32" s="135"/>
      <c r="F32" s="135" t="s">
        <v>31</v>
      </c>
      <c r="G32" s="135"/>
      <c r="H32" s="135"/>
    </row>
    <row r="33" spans="1:8" s="21" customFormat="1" x14ac:dyDescent="0.35">
      <c r="A33" s="115" t="s">
        <v>25</v>
      </c>
      <c r="B33" s="115" t="s">
        <v>30</v>
      </c>
      <c r="C33" s="116" t="s">
        <v>30</v>
      </c>
      <c r="D33" s="116"/>
      <c r="E33" s="116"/>
      <c r="F33" s="116" t="s">
        <v>193</v>
      </c>
      <c r="G33" s="116"/>
      <c r="H33" s="116"/>
    </row>
    <row r="34" spans="1:8" x14ac:dyDescent="0.35">
      <c r="A34" s="115" t="s">
        <v>26</v>
      </c>
      <c r="B34" s="115" t="s">
        <v>30</v>
      </c>
      <c r="C34" s="116" t="s">
        <v>30</v>
      </c>
      <c r="D34" s="116"/>
      <c r="E34" s="116"/>
      <c r="F34" s="116" t="s">
        <v>200</v>
      </c>
      <c r="G34" s="116"/>
      <c r="H34" s="116"/>
    </row>
    <row r="35" spans="1:8" s="21" customFormat="1" x14ac:dyDescent="0.35">
      <c r="A35" s="115" t="s">
        <v>28</v>
      </c>
      <c r="B35" s="115" t="s">
        <v>30</v>
      </c>
      <c r="C35" s="116" t="s">
        <v>30</v>
      </c>
      <c r="D35" s="116"/>
      <c r="E35" s="116"/>
      <c r="F35" s="116" t="s">
        <v>199</v>
      </c>
      <c r="G35" s="116"/>
      <c r="H35" s="116"/>
    </row>
    <row r="36" spans="1:8" x14ac:dyDescent="0.35">
      <c r="A36" s="115" t="s">
        <v>27</v>
      </c>
      <c r="B36" s="115" t="s">
        <v>30</v>
      </c>
      <c r="C36" s="116" t="s">
        <v>30</v>
      </c>
      <c r="D36" s="116"/>
      <c r="E36" s="116"/>
      <c r="F36" s="116" t="s">
        <v>201</v>
      </c>
      <c r="G36" s="116"/>
      <c r="H36" s="116"/>
    </row>
    <row r="37" spans="1:8" x14ac:dyDescent="0.35">
      <c r="A37" s="87" t="s">
        <v>32</v>
      </c>
      <c r="B37" s="87"/>
      <c r="C37" s="87"/>
      <c r="D37" s="87"/>
      <c r="E37" s="87"/>
      <c r="F37" s="87"/>
      <c r="G37" s="87"/>
      <c r="H37" s="87"/>
    </row>
    <row r="38" spans="1:8" ht="15.75" customHeight="1" x14ac:dyDescent="0.35">
      <c r="A38" s="118" t="s">
        <v>179</v>
      </c>
      <c r="B38" s="118"/>
      <c r="C38" s="87" t="s">
        <v>238</v>
      </c>
      <c r="D38" s="87"/>
      <c r="E38" s="87"/>
      <c r="F38" s="87"/>
      <c r="G38" s="87"/>
      <c r="H38" s="87"/>
    </row>
    <row r="39" spans="1:8" x14ac:dyDescent="0.35">
      <c r="A39" s="118" t="s">
        <v>174</v>
      </c>
      <c r="B39" s="118"/>
      <c r="C39" s="120" t="s">
        <v>192</v>
      </c>
      <c r="D39" s="111"/>
      <c r="E39" s="111"/>
      <c r="F39" s="111"/>
      <c r="G39" s="111"/>
      <c r="H39" s="111"/>
    </row>
    <row r="40" spans="1:8" x14ac:dyDescent="0.35">
      <c r="A40" s="118" t="s">
        <v>35</v>
      </c>
      <c r="B40" s="118"/>
      <c r="C40" s="118"/>
      <c r="D40" s="118"/>
      <c r="E40" s="118"/>
      <c r="F40" s="118"/>
      <c r="G40" s="118"/>
      <c r="H40" s="118"/>
    </row>
    <row r="41" spans="1:8" x14ac:dyDescent="0.35">
      <c r="A41" s="87" t="s">
        <v>36</v>
      </c>
      <c r="B41" s="87"/>
      <c r="C41" s="87"/>
      <c r="D41" s="87"/>
      <c r="E41" s="117">
        <v>1991.3</v>
      </c>
      <c r="F41" s="117"/>
      <c r="G41" s="117"/>
      <c r="H41" s="117"/>
    </row>
    <row r="42" spans="1:8" x14ac:dyDescent="0.35">
      <c r="A42" s="87" t="s">
        <v>37</v>
      </c>
      <c r="B42" s="87"/>
      <c r="C42" s="87"/>
      <c r="D42" s="87"/>
      <c r="E42" s="108">
        <v>1</v>
      </c>
      <c r="F42" s="108"/>
      <c r="G42" s="108"/>
      <c r="H42" s="108"/>
    </row>
    <row r="43" spans="1:8" x14ac:dyDescent="0.35">
      <c r="A43" s="87" t="s">
        <v>38</v>
      </c>
      <c r="B43" s="87"/>
      <c r="C43" s="87"/>
      <c r="D43" s="87"/>
      <c r="E43" s="108">
        <f>E45/E41-E42</f>
        <v>0.76416913574047096</v>
      </c>
      <c r="F43" s="108"/>
      <c r="G43" s="108"/>
      <c r="H43" s="108"/>
    </row>
    <row r="44" spans="1:8" x14ac:dyDescent="0.35">
      <c r="A44" s="87" t="s">
        <v>39</v>
      </c>
      <c r="B44" s="87"/>
      <c r="C44" s="87"/>
      <c r="D44" s="87"/>
      <c r="E44" s="108">
        <f>E42+E43</f>
        <v>1.764169135740471</v>
      </c>
      <c r="F44" s="108"/>
      <c r="G44" s="108"/>
      <c r="H44" s="108"/>
    </row>
    <row r="45" spans="1:8" x14ac:dyDescent="0.35">
      <c r="A45" s="87" t="s">
        <v>94</v>
      </c>
      <c r="B45" s="87"/>
      <c r="C45" s="87"/>
      <c r="D45" s="87"/>
      <c r="E45" s="109">
        <v>3512.99</v>
      </c>
      <c r="F45" s="109"/>
      <c r="G45" s="109"/>
      <c r="H45" s="109"/>
    </row>
    <row r="46" spans="1:8" x14ac:dyDescent="0.35">
      <c r="A46" s="110" t="s">
        <v>40</v>
      </c>
      <c r="B46" s="110"/>
      <c r="C46" s="110"/>
      <c r="D46" s="110"/>
      <c r="E46" s="110" t="s">
        <v>208</v>
      </c>
      <c r="F46" s="110"/>
      <c r="G46" s="110"/>
      <c r="H46" s="110"/>
    </row>
    <row r="47" spans="1:8" x14ac:dyDescent="0.35">
      <c r="A47" s="118" t="s">
        <v>41</v>
      </c>
      <c r="B47" s="118"/>
      <c r="C47" s="118"/>
      <c r="D47" s="118"/>
      <c r="E47" s="118"/>
      <c r="F47" s="118"/>
      <c r="G47" s="118"/>
      <c r="H47" s="118"/>
    </row>
    <row r="48" spans="1:8" ht="33.75" customHeight="1" x14ac:dyDescent="0.35">
      <c r="A48" s="112" t="s">
        <v>161</v>
      </c>
      <c r="B48" s="112"/>
      <c r="C48" s="113" t="s">
        <v>203</v>
      </c>
      <c r="D48" s="113"/>
      <c r="E48" s="113"/>
      <c r="F48" s="113"/>
      <c r="G48" s="113"/>
      <c r="H48" s="113"/>
    </row>
    <row r="49" spans="1:14" ht="15.75" customHeight="1" x14ac:dyDescent="0.35">
      <c r="A49" s="132" t="s">
        <v>42</v>
      </c>
      <c r="B49" s="134"/>
      <c r="C49" s="132" t="s">
        <v>202</v>
      </c>
      <c r="D49" s="133"/>
      <c r="E49" s="134"/>
      <c r="F49" s="18" t="s">
        <v>43</v>
      </c>
      <c r="G49" s="126">
        <v>44777</v>
      </c>
      <c r="H49" s="134"/>
    </row>
    <row r="50" spans="1:14" x14ac:dyDescent="0.35">
      <c r="A50" s="132" t="s">
        <v>44</v>
      </c>
      <c r="B50" s="134"/>
      <c r="C50" s="132" t="str">
        <f>C49</f>
        <v>CHE/WSII/4153/P/N/337(NEW)</v>
      </c>
      <c r="D50" s="133"/>
      <c r="E50" s="134"/>
      <c r="F50" s="18" t="s">
        <v>43</v>
      </c>
      <c r="G50" s="126">
        <f>G49</f>
        <v>44777</v>
      </c>
      <c r="H50" s="127"/>
    </row>
    <row r="51" spans="1:14" s="22" customFormat="1" ht="34.5" customHeight="1" x14ac:dyDescent="0.35">
      <c r="A51" s="160" t="s">
        <v>165</v>
      </c>
      <c r="B51" s="161"/>
      <c r="C51" s="132" t="s">
        <v>250</v>
      </c>
      <c r="D51" s="133"/>
      <c r="E51" s="134"/>
      <c r="F51" s="18" t="s">
        <v>43</v>
      </c>
      <c r="G51" s="126">
        <v>45772</v>
      </c>
      <c r="H51" s="127"/>
    </row>
    <row r="52" spans="1:14" s="22" customFormat="1" ht="159.5" customHeight="1" x14ac:dyDescent="0.35">
      <c r="A52" s="162"/>
      <c r="B52" s="163"/>
      <c r="C52" s="132" t="s">
        <v>251</v>
      </c>
      <c r="D52" s="133"/>
      <c r="E52" s="134"/>
      <c r="F52" s="18" t="s">
        <v>128</v>
      </c>
      <c r="G52" s="126">
        <v>46080</v>
      </c>
      <c r="H52" s="127"/>
    </row>
    <row r="53" spans="1:14" x14ac:dyDescent="0.35">
      <c r="A53" s="155" t="s">
        <v>45</v>
      </c>
      <c r="B53" s="157"/>
      <c r="C53" s="155" t="s">
        <v>108</v>
      </c>
      <c r="D53" s="156"/>
      <c r="E53" s="157"/>
      <c r="F53" s="43" t="s">
        <v>43</v>
      </c>
      <c r="G53" s="158" t="s">
        <v>30</v>
      </c>
      <c r="H53" s="159"/>
    </row>
    <row r="54" spans="1:14" x14ac:dyDescent="0.35">
      <c r="A54" s="140" t="s">
        <v>47</v>
      </c>
      <c r="B54" s="140"/>
      <c r="C54" s="140"/>
      <c r="D54" s="140"/>
      <c r="E54" s="140"/>
      <c r="F54" s="140"/>
      <c r="G54" s="140"/>
      <c r="H54" s="140"/>
    </row>
    <row r="55" spans="1:14" x14ac:dyDescent="0.35">
      <c r="A55" s="112" t="s">
        <v>93</v>
      </c>
      <c r="B55" s="112"/>
      <c r="C55" s="112"/>
      <c r="D55" s="87">
        <f>E45</f>
        <v>3512.99</v>
      </c>
      <c r="E55" s="87"/>
      <c r="F55" s="87"/>
      <c r="G55" s="87"/>
      <c r="H55" s="87"/>
    </row>
    <row r="56" spans="1:14" x14ac:dyDescent="0.35">
      <c r="A56" s="111" t="s">
        <v>48</v>
      </c>
      <c r="B56" s="110"/>
      <c r="C56" s="110"/>
      <c r="D56" s="110" t="s">
        <v>240</v>
      </c>
      <c r="E56" s="110"/>
      <c r="F56" s="110"/>
      <c r="G56" s="110"/>
      <c r="H56" s="110"/>
      <c r="I56" s="23"/>
    </row>
    <row r="57" spans="1:14" ht="31.5" customHeight="1" x14ac:dyDescent="0.35">
      <c r="A57" s="123" t="s">
        <v>49</v>
      </c>
      <c r="B57" s="124"/>
      <c r="C57" s="125"/>
      <c r="D57" s="121" t="s">
        <v>209</v>
      </c>
      <c r="E57" s="122"/>
      <c r="F57" s="122"/>
      <c r="G57" s="122"/>
      <c r="H57" s="122"/>
    </row>
    <row r="58" spans="1:14" ht="15.75" customHeight="1" x14ac:dyDescent="0.35">
      <c r="A58" s="123" t="s">
        <v>91</v>
      </c>
      <c r="B58" s="124"/>
      <c r="C58" s="125"/>
      <c r="D58" s="111" t="s">
        <v>234</v>
      </c>
      <c r="E58" s="110"/>
      <c r="F58" s="110"/>
      <c r="G58" s="110"/>
      <c r="H58" s="110"/>
    </row>
    <row r="59" spans="1:14" x14ac:dyDescent="0.35">
      <c r="A59" s="152"/>
      <c r="B59" s="153"/>
      <c r="C59" s="154"/>
      <c r="D59" s="111" t="s">
        <v>210</v>
      </c>
      <c r="E59" s="110"/>
      <c r="F59" s="110"/>
      <c r="G59" s="110"/>
      <c r="H59" s="110"/>
    </row>
    <row r="60" spans="1:14" ht="15.75" customHeight="1" x14ac:dyDescent="0.35">
      <c r="A60" s="87" t="s">
        <v>46</v>
      </c>
      <c r="B60" s="87"/>
      <c r="C60" s="87"/>
      <c r="D60" s="119" t="s">
        <v>204</v>
      </c>
      <c r="E60" s="119"/>
      <c r="F60" s="119"/>
      <c r="G60" s="119"/>
      <c r="H60" s="119"/>
      <c r="J60" s="24"/>
      <c r="K60" s="23"/>
      <c r="N60" s="23"/>
    </row>
    <row r="61" spans="1:14" ht="15.75" customHeight="1" x14ac:dyDescent="0.35">
      <c r="A61" s="87" t="s">
        <v>89</v>
      </c>
      <c r="B61" s="87"/>
      <c r="C61" s="87"/>
      <c r="D61" s="150" t="str">
        <f>(IF(G53="NA","60 Years After Completion",IF(G53&lt;&gt;"NA",""&amp;60-ROUNDDOWN((E3-G53)/360,0)&amp;" Years"," ")))</f>
        <v>60 Years After Completion</v>
      </c>
      <c r="E61" s="150"/>
      <c r="F61" s="150"/>
      <c r="G61" s="150"/>
      <c r="H61" s="150"/>
      <c r="N61" s="23"/>
    </row>
    <row r="62" spans="1:14" ht="15.75" customHeight="1" x14ac:dyDescent="0.35">
      <c r="A62" s="87" t="s">
        <v>90</v>
      </c>
      <c r="B62" s="87"/>
      <c r="C62" s="87"/>
      <c r="D62" s="112" t="s">
        <v>24</v>
      </c>
      <c r="E62" s="112"/>
      <c r="F62" s="112"/>
      <c r="G62" s="112"/>
      <c r="H62" s="112"/>
      <c r="J62" s="25"/>
      <c r="K62" s="25"/>
    </row>
    <row r="63" spans="1:14" ht="66.650000000000006" customHeight="1" x14ac:dyDescent="0.35">
      <c r="A63" s="87" t="s">
        <v>76</v>
      </c>
      <c r="B63" s="87"/>
      <c r="C63" s="87"/>
      <c r="D63" s="111" t="s">
        <v>205</v>
      </c>
      <c r="E63" s="112"/>
      <c r="F63" s="112"/>
      <c r="G63" s="112"/>
      <c r="H63" s="112"/>
    </row>
    <row r="64" spans="1:14" x14ac:dyDescent="0.35">
      <c r="A64" s="112" t="s">
        <v>157</v>
      </c>
      <c r="B64" s="112"/>
      <c r="C64" s="112"/>
      <c r="D64" s="112" t="s">
        <v>30</v>
      </c>
      <c r="E64" s="112"/>
      <c r="F64" s="112"/>
      <c r="G64" s="112"/>
      <c r="H64" s="112"/>
      <c r="I64" s="26"/>
      <c r="J64" s="26"/>
      <c r="K64" s="26"/>
      <c r="L64" s="26"/>
      <c r="M64" s="26"/>
      <c r="N64" s="26"/>
    </row>
    <row r="65" spans="1:10" ht="15.75" customHeight="1" x14ac:dyDescent="0.35">
      <c r="A65" s="87" t="s">
        <v>88</v>
      </c>
      <c r="B65" s="87"/>
      <c r="C65" s="87"/>
      <c r="D65" s="111" t="str">
        <f ca="1">(IF(G71&gt;95%,"Nothing",IF(G71&gt;0%,"Cement, Aggregate, Steel, etc",IF(G71=0%,"Work not yet Started"))))</f>
        <v>Cement, Aggregate, Steel, etc</v>
      </c>
      <c r="E65" s="111"/>
      <c r="F65" s="111"/>
      <c r="G65" s="111"/>
      <c r="H65" s="111"/>
      <c r="J65" s="25"/>
    </row>
    <row r="66" spans="1:10" ht="33.75" customHeight="1" thickBot="1" x14ac:dyDescent="0.4">
      <c r="A66" s="112" t="s">
        <v>121</v>
      </c>
      <c r="B66" s="112"/>
      <c r="C66" s="112"/>
      <c r="D66" s="111" t="str">
        <f ca="1">(IF(D65="Nothing","Yes",IF(D65="Cement, Aggregate, Steel, etc","Under Construction",IF(D65="Work not yet Started","Work not yet Started"))))</f>
        <v>Under Construction</v>
      </c>
      <c r="E66" s="111"/>
      <c r="F66" s="111" t="str">
        <f ca="1">(IF(D65="Nothing","Yes",IF(D65="Cement, Aggregate, Steel, etc","Under Construction",IF(D65="Work not yet Started","Work not yet Started"))))</f>
        <v>Under Construction</v>
      </c>
      <c r="G66" s="111"/>
      <c r="H66" s="111"/>
    </row>
    <row r="67" spans="1:10" ht="15.75" customHeight="1" x14ac:dyDescent="0.35">
      <c r="A67" s="148" t="s">
        <v>147</v>
      </c>
      <c r="B67" s="148"/>
      <c r="C67" s="148" t="str">
        <f>D58</f>
        <v>Wing A = B + Gr + 1st to 22nd Floor</v>
      </c>
      <c r="D67" s="148"/>
      <c r="E67" s="148"/>
      <c r="F67" s="148"/>
      <c r="G67" s="148"/>
      <c r="H67" s="148"/>
      <c r="I67" s="68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 Completed, External Plaster upto 16 Floor, Flooring upto 3 Floor Completed</v>
      </c>
      <c r="J67" s="46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External Plaster upto 16 Floor, Flooring upto 3 Floor</v>
      </c>
    </row>
    <row r="68" spans="1:10" x14ac:dyDescent="0.35">
      <c r="A68" s="67" t="s">
        <v>149</v>
      </c>
      <c r="B68" s="67">
        <v>1</v>
      </c>
      <c r="C68" s="67" t="s">
        <v>73</v>
      </c>
      <c r="D68" s="67">
        <v>1</v>
      </c>
      <c r="E68" s="67" t="s">
        <v>72</v>
      </c>
      <c r="F68" s="67">
        <v>0</v>
      </c>
      <c r="G68" s="67" t="s">
        <v>82</v>
      </c>
      <c r="H68" s="67">
        <f ca="1">--TRIM(RIGHT(SUBSTITUTE(LEFT(C67,_xlfn.AGGREGATE(16,6,FIND({0,1,2,3,4,5,6,7,8,9},C67,ROW(INDIRECT("1:"&amp;LEN(C67)))),1))," ",REPT(" ",LEN(C67))),LEN(C67)))</f>
        <v>22</v>
      </c>
      <c r="I68" s="69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</v>
      </c>
      <c r="J68" s="48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1.5" customHeight="1" x14ac:dyDescent="0.35">
      <c r="A69" s="113" t="s">
        <v>92</v>
      </c>
      <c r="B69" s="113"/>
      <c r="C69" s="148" t="str">
        <f ca="1">I67</f>
        <v>Excavation, Plinth, RCC Slab, Brickwork, Internal Plaster Completed, External Plaster upto 16 Floor, Flooring upto 3 Floor Completed</v>
      </c>
      <c r="D69" s="148"/>
      <c r="E69" s="148"/>
      <c r="F69" s="148"/>
      <c r="G69" s="148"/>
      <c r="H69" s="148"/>
      <c r="I69" s="69" t="str">
        <f ca="1">IF(I68&lt;&gt;""," Completed","")</f>
        <v xml:space="preserve"> Completed</v>
      </c>
      <c r="J69" s="48" t="str">
        <f ca="1">IF(J67&lt;&gt;"","Completed","")</f>
        <v>Completed</v>
      </c>
    </row>
    <row r="70" spans="1:10" ht="15.75" customHeight="1" x14ac:dyDescent="0.35">
      <c r="A70" s="149" t="s">
        <v>50</v>
      </c>
      <c r="B70" s="149"/>
      <c r="C70" s="64" t="s">
        <v>146</v>
      </c>
      <c r="D70" s="64" t="s">
        <v>85</v>
      </c>
      <c r="E70" s="149" t="s">
        <v>87</v>
      </c>
      <c r="F70" s="149"/>
      <c r="G70" s="149" t="s">
        <v>86</v>
      </c>
      <c r="H70" s="149"/>
      <c r="I70" s="14" t="s">
        <v>148</v>
      </c>
      <c r="J70" s="27">
        <f ca="1">H68*25%</f>
        <v>5.5</v>
      </c>
    </row>
    <row r="71" spans="1:10" x14ac:dyDescent="0.35">
      <c r="A71" s="100" t="s">
        <v>135</v>
      </c>
      <c r="B71" s="100"/>
      <c r="C71" s="62">
        <f ca="1">J72</f>
        <v>22</v>
      </c>
      <c r="D71" s="19">
        <f ca="1">((100/H68)*C71)/100</f>
        <v>1.0000000000000002</v>
      </c>
      <c r="E71" s="147">
        <f ca="1">(((C72/H68*10)+(40/(D68+F68+H68)*C73)+(7.5/(H68)*C74)+(7.5/(H68)*C75)+(10/H68*C76)+(10/H68*C77)+(5/H68*C78)+(5/H68*C79)+(5/H68*C80))/100)</f>
        <v>0.73636363636363622</v>
      </c>
      <c r="F71" s="147"/>
      <c r="G71" s="147">
        <f ca="1">((((C71/H68)*20)+((C72/H68)*25)+(30/(H68+F68+D68)*C73)+(5/H68*C74)+(5/H68*C75)+(5/H68*C76)+(5/H68*C77)+(0/H68*C78)+(0/H68*C79)+(5/H68*C80))/100)</f>
        <v>0.8931818181818183</v>
      </c>
      <c r="H71" s="147"/>
      <c r="I71" s="14" t="s">
        <v>103</v>
      </c>
      <c r="J71" s="28">
        <f ca="1">H68*50%</f>
        <v>11</v>
      </c>
    </row>
    <row r="72" spans="1:10" x14ac:dyDescent="0.35">
      <c r="A72" s="100" t="s">
        <v>51</v>
      </c>
      <c r="B72" s="100"/>
      <c r="C72" s="55">
        <f ca="1">J80</f>
        <v>22</v>
      </c>
      <c r="D72" s="19">
        <f ca="1">((100/H68)*C72)/100</f>
        <v>1.0000000000000002</v>
      </c>
      <c r="E72" s="147"/>
      <c r="F72" s="147"/>
      <c r="G72" s="147"/>
      <c r="H72" s="147"/>
      <c r="I72" s="14" t="s">
        <v>104</v>
      </c>
      <c r="J72" s="28">
        <f ca="1">H68</f>
        <v>22</v>
      </c>
    </row>
    <row r="73" spans="1:10" ht="15.75" customHeight="1" x14ac:dyDescent="0.35">
      <c r="A73" s="100" t="s">
        <v>136</v>
      </c>
      <c r="B73" s="100"/>
      <c r="C73" s="62">
        <v>23</v>
      </c>
      <c r="D73" s="19">
        <f ca="1">((100/(D68+F68+H68))*C73)/100</f>
        <v>1</v>
      </c>
      <c r="E73" s="147"/>
      <c r="F73" s="147"/>
      <c r="G73" s="147"/>
      <c r="H73" s="147"/>
      <c r="I73" s="14" t="s">
        <v>105</v>
      </c>
      <c r="J73" s="29">
        <f ca="1">(IF(B68&gt;1,(H68/(B68+2)),H68/4))</f>
        <v>5.5</v>
      </c>
    </row>
    <row r="74" spans="1:10" ht="15.75" customHeight="1" x14ac:dyDescent="0.35">
      <c r="A74" s="100" t="s">
        <v>143</v>
      </c>
      <c r="B74" s="100" t="s">
        <v>137</v>
      </c>
      <c r="C74" s="62">
        <f>C73-1</f>
        <v>22</v>
      </c>
      <c r="D74" s="19">
        <f ca="1">((100/H68)*C74)/100</f>
        <v>1.0000000000000002</v>
      </c>
      <c r="E74" s="147"/>
      <c r="F74" s="147"/>
      <c r="G74" s="147"/>
      <c r="H74" s="147"/>
      <c r="I74" s="14" t="s">
        <v>106</v>
      </c>
      <c r="J74" s="29">
        <f ca="1">(IF(B68&gt;1,(H68/(B68+2)+J73),H68/4+J73))</f>
        <v>11</v>
      </c>
    </row>
    <row r="75" spans="1:10" ht="15.75" customHeight="1" x14ac:dyDescent="0.35">
      <c r="A75" s="100" t="s">
        <v>144</v>
      </c>
      <c r="B75" s="100" t="s">
        <v>137</v>
      </c>
      <c r="C75" s="55">
        <v>22</v>
      </c>
      <c r="D75" s="19">
        <f ca="1">((100/H68)*C75)/100</f>
        <v>1.0000000000000002</v>
      </c>
      <c r="E75" s="147"/>
      <c r="F75" s="147"/>
      <c r="G75" s="147"/>
      <c r="H75" s="147"/>
      <c r="I75" s="14" t="s">
        <v>155</v>
      </c>
      <c r="J75" s="29">
        <f>(IF(B68&gt;1,(H68/(B68+2)+J74),0))</f>
        <v>0</v>
      </c>
    </row>
    <row r="76" spans="1:10" ht="15" customHeight="1" x14ac:dyDescent="0.35">
      <c r="A76" s="100" t="s">
        <v>142</v>
      </c>
      <c r="B76" s="100" t="s">
        <v>139</v>
      </c>
      <c r="C76" s="55">
        <v>16</v>
      </c>
      <c r="D76" s="19">
        <f ca="1">((100/(H68))*C76)/100</f>
        <v>0.72727272727272729</v>
      </c>
      <c r="E76" s="147"/>
      <c r="F76" s="147"/>
      <c r="G76" s="147"/>
      <c r="H76" s="147"/>
      <c r="I76" s="14" t="s">
        <v>150</v>
      </c>
      <c r="J76" s="29">
        <f>(IF(B68&gt;2,(H68/(B68+2)+J75),0))</f>
        <v>0</v>
      </c>
    </row>
    <row r="77" spans="1:10" ht="15.75" customHeight="1" x14ac:dyDescent="0.35">
      <c r="A77" s="100" t="s">
        <v>138</v>
      </c>
      <c r="B77" s="100" t="s">
        <v>138</v>
      </c>
      <c r="C77" s="62">
        <v>3</v>
      </c>
      <c r="D77" s="19">
        <f ca="1">((100/H68)*C77)/100</f>
        <v>0.13636363636363635</v>
      </c>
      <c r="E77" s="147"/>
      <c r="F77" s="147"/>
      <c r="G77" s="147"/>
      <c r="H77" s="147"/>
      <c r="I77" s="14" t="s">
        <v>151</v>
      </c>
      <c r="J77" s="30">
        <f>(IF(B68&gt;3,(H68/(B68+2)+J76),0))</f>
        <v>0</v>
      </c>
    </row>
    <row r="78" spans="1:10" ht="15.75" customHeight="1" x14ac:dyDescent="0.35">
      <c r="A78" s="100" t="s">
        <v>145</v>
      </c>
      <c r="B78" s="100"/>
      <c r="C78" s="62">
        <v>0</v>
      </c>
      <c r="D78" s="19">
        <f ca="1">((100/H68)*C78)/100</f>
        <v>0</v>
      </c>
      <c r="E78" s="147"/>
      <c r="F78" s="147"/>
      <c r="G78" s="147"/>
      <c r="H78" s="147"/>
      <c r="I78" s="14" t="s">
        <v>152</v>
      </c>
      <c r="J78" s="29">
        <f>(IF(B68&gt;4,(H68/(B68+2)+J77),0))</f>
        <v>0</v>
      </c>
    </row>
    <row r="79" spans="1:10" ht="15.75" customHeight="1" x14ac:dyDescent="0.35">
      <c r="A79" s="100" t="s">
        <v>140</v>
      </c>
      <c r="B79" s="100" t="s">
        <v>140</v>
      </c>
      <c r="C79" s="62">
        <v>0</v>
      </c>
      <c r="D79" s="19">
        <f ca="1">((100/(H68))*C79)/100</f>
        <v>0</v>
      </c>
      <c r="E79" s="147"/>
      <c r="F79" s="147"/>
      <c r="G79" s="147"/>
      <c r="H79" s="147"/>
      <c r="I79" s="14" t="s">
        <v>156</v>
      </c>
      <c r="J79" s="29">
        <f ca="1">(IF(B68=1,(H68/(B68+3)+J74),IF(B68=0,(H68/4+J74),IF(B68&gt;1,0))))</f>
        <v>16.5</v>
      </c>
    </row>
    <row r="80" spans="1:10" ht="16" thickBot="1" x14ac:dyDescent="0.4">
      <c r="A80" s="100" t="s">
        <v>141</v>
      </c>
      <c r="B80" s="100"/>
      <c r="C80" s="62">
        <v>0</v>
      </c>
      <c r="D80" s="19">
        <f ca="1">((100/(H68))*C80)/100</f>
        <v>0</v>
      </c>
      <c r="E80" s="147"/>
      <c r="F80" s="147"/>
      <c r="G80" s="147"/>
      <c r="H80" s="147"/>
      <c r="I80" s="15" t="s">
        <v>107</v>
      </c>
      <c r="J80" s="31">
        <f ca="1">(IF(B68&gt;1.5,(H68/(B68+2)+J74+MAX(0,J75-J74)+MAX(0,J76-J75)+MAX(0,J77-J76)+MAX(0,J78-J77)+MAX(0,J79-J78)),IF(B68=1,(H68/(B68+3)+J79),IF(B68=0,H68/4+J79))))</f>
        <v>22</v>
      </c>
    </row>
    <row r="81" spans="1:12" ht="15.75" customHeight="1" x14ac:dyDescent="0.35">
      <c r="A81" s="164" t="s">
        <v>147</v>
      </c>
      <c r="B81" s="165"/>
      <c r="C81" s="166" t="s">
        <v>210</v>
      </c>
      <c r="D81" s="167"/>
      <c r="E81" s="167"/>
      <c r="F81" s="167"/>
      <c r="G81" s="167"/>
      <c r="H81" s="168"/>
      <c r="I81" s="45" t="str">
        <f ca="1">IF(D94=100%,"All work Completed. Possession granted to the Building.",IF(D93=100%,"All work Completed, Waiting for OC",I82&amp;""&amp;I83&amp;""&amp;J82&amp;""&amp;J81&amp;" "&amp;J83))</f>
        <v xml:space="preserve">Excavation, Plinth Completed </v>
      </c>
      <c r="J81" s="46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/>
      </c>
    </row>
    <row r="82" spans="1:12" x14ac:dyDescent="0.35">
      <c r="A82" s="16" t="s">
        <v>149</v>
      </c>
      <c r="B82" s="59">
        <v>1</v>
      </c>
      <c r="C82" s="59" t="s">
        <v>73</v>
      </c>
      <c r="D82" s="59">
        <v>1</v>
      </c>
      <c r="E82" s="59" t="s">
        <v>72</v>
      </c>
      <c r="F82" s="59">
        <v>0</v>
      </c>
      <c r="G82" s="59" t="s">
        <v>82</v>
      </c>
      <c r="H82" s="17">
        <f ca="1">--TRIM(RIGHT(SUBSTITUTE(LEFT(C81,_xlfn.AGGREGATE(16,6,FIND({0,1,2,3,4,5,6,7,8,9},C81,ROW(INDIRECT("1:"&amp;LEN(C81)))),1))," ",REPT(" ",LEN(C81))),LEN(C81)))</f>
        <v>1</v>
      </c>
      <c r="I82" s="47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</v>
      </c>
      <c r="J82" s="48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2" x14ac:dyDescent="0.35">
      <c r="A83" s="172" t="s">
        <v>92</v>
      </c>
      <c r="B83" s="113"/>
      <c r="C83" s="148" t="str">
        <f ca="1">I81</f>
        <v xml:space="preserve">Excavation, Plinth Completed </v>
      </c>
      <c r="D83" s="148"/>
      <c r="E83" s="148"/>
      <c r="F83" s="148"/>
      <c r="G83" s="148"/>
      <c r="H83" s="173"/>
      <c r="I83" s="47" t="str">
        <f ca="1">IF(I82&lt;&gt;""," Completed","")</f>
        <v xml:space="preserve"> Completed</v>
      </c>
      <c r="J83" s="48" t="str">
        <f ca="1">IF(J81&lt;&gt;"","Completed","")</f>
        <v/>
      </c>
    </row>
    <row r="84" spans="1:12" ht="15.75" customHeight="1" x14ac:dyDescent="0.35">
      <c r="A84" s="174" t="s">
        <v>50</v>
      </c>
      <c r="B84" s="149"/>
      <c r="C84" s="58" t="s">
        <v>146</v>
      </c>
      <c r="D84" s="58" t="s">
        <v>85</v>
      </c>
      <c r="E84" s="149" t="s">
        <v>87</v>
      </c>
      <c r="F84" s="149"/>
      <c r="G84" s="149" t="s">
        <v>86</v>
      </c>
      <c r="H84" s="175"/>
      <c r="I84" s="14" t="s">
        <v>148</v>
      </c>
      <c r="J84" s="27">
        <f ca="1">H82*25%</f>
        <v>0.25</v>
      </c>
    </row>
    <row r="85" spans="1:12" x14ac:dyDescent="0.35">
      <c r="A85" s="100" t="s">
        <v>135</v>
      </c>
      <c r="B85" s="100"/>
      <c r="C85" s="65">
        <f ca="1">J86</f>
        <v>1</v>
      </c>
      <c r="D85" s="19">
        <f ca="1">((100/H82)*C85)/100</f>
        <v>1</v>
      </c>
      <c r="E85" s="147">
        <f ca="1">(((C86/H82*10)+(40/(D82+F82+H82)*C87)+(7.5/(H82)*C88)+(7.5/(H82)*C89)+(10/H82*C90)+(10/H82*C91)+(5/H82*C92)+(5/H82*C93)+(5/H82*C94))/100)</f>
        <v>0.1</v>
      </c>
      <c r="F85" s="147"/>
      <c r="G85" s="147">
        <f ca="1">((((C85/H82)*20)+((C86/H82)*25)+(30/(H82+F82+D82)*C87)+(5/H82*C88)+(5/H82*C89)+(5/H82*C90)+(5/H82*C91)+(0/H82*C92)+(0/H82*C93)+(5/H82*C94))/100)</f>
        <v>0.45</v>
      </c>
      <c r="H85" s="147"/>
      <c r="I85" s="14" t="s">
        <v>103</v>
      </c>
      <c r="J85" s="28">
        <f ca="1">H82*50%</f>
        <v>0.5</v>
      </c>
    </row>
    <row r="86" spans="1:12" x14ac:dyDescent="0.35">
      <c r="A86" s="100" t="s">
        <v>51</v>
      </c>
      <c r="B86" s="100"/>
      <c r="C86" s="55">
        <f ca="1">J94</f>
        <v>1</v>
      </c>
      <c r="D86" s="19">
        <f ca="1">((100/H82)*C86)/100</f>
        <v>1</v>
      </c>
      <c r="E86" s="147"/>
      <c r="F86" s="147"/>
      <c r="G86" s="147"/>
      <c r="H86" s="147"/>
      <c r="I86" s="14" t="s">
        <v>104</v>
      </c>
      <c r="J86" s="28">
        <f ca="1">H82</f>
        <v>1</v>
      </c>
      <c r="L86" s="21" t="s">
        <v>249</v>
      </c>
    </row>
    <row r="87" spans="1:12" ht="15.75" customHeight="1" x14ac:dyDescent="0.35">
      <c r="A87" s="100" t="s">
        <v>136</v>
      </c>
      <c r="B87" s="100"/>
      <c r="C87" s="65">
        <v>0</v>
      </c>
      <c r="D87" s="19">
        <f ca="1">((100/(D82+F82+H82))*C87)/100</f>
        <v>0</v>
      </c>
      <c r="E87" s="147"/>
      <c r="F87" s="147"/>
      <c r="G87" s="147"/>
      <c r="H87" s="147"/>
      <c r="I87" s="14" t="s">
        <v>105</v>
      </c>
      <c r="J87" s="29">
        <f ca="1">(IF(B82&gt;1,(H82/(B82+2)),H82/4))</f>
        <v>0.25</v>
      </c>
      <c r="L87" s="60" t="s">
        <v>248</v>
      </c>
    </row>
    <row r="88" spans="1:12" ht="15.75" customHeight="1" x14ac:dyDescent="0.35">
      <c r="A88" s="100" t="s">
        <v>143</v>
      </c>
      <c r="B88" s="100" t="s">
        <v>137</v>
      </c>
      <c r="C88" s="65">
        <v>0</v>
      </c>
      <c r="D88" s="19">
        <f ca="1">((100/H82)*C88)/100</f>
        <v>0</v>
      </c>
      <c r="E88" s="147"/>
      <c r="F88" s="147"/>
      <c r="G88" s="147"/>
      <c r="H88" s="147"/>
      <c r="I88" s="14" t="s">
        <v>106</v>
      </c>
      <c r="J88" s="29">
        <f ca="1">(IF(B82&gt;1,(H82/(B82+2)+J87),H82/4+J87))</f>
        <v>0.5</v>
      </c>
    </row>
    <row r="89" spans="1:12" ht="15.75" customHeight="1" x14ac:dyDescent="0.35">
      <c r="A89" s="100" t="s">
        <v>144</v>
      </c>
      <c r="B89" s="100" t="s">
        <v>137</v>
      </c>
      <c r="C89" s="65">
        <v>0</v>
      </c>
      <c r="D89" s="19">
        <f ca="1">((100/H82)*C89)/100</f>
        <v>0</v>
      </c>
      <c r="E89" s="147"/>
      <c r="F89" s="147"/>
      <c r="G89" s="147"/>
      <c r="H89" s="147"/>
      <c r="I89" s="14" t="s">
        <v>155</v>
      </c>
      <c r="J89" s="29">
        <f>(IF(B82&gt;1,(H82/(B82+2)+J88),0))</f>
        <v>0</v>
      </c>
    </row>
    <row r="90" spans="1:12" ht="15" customHeight="1" x14ac:dyDescent="0.35">
      <c r="A90" s="100" t="s">
        <v>142</v>
      </c>
      <c r="B90" s="100" t="s">
        <v>139</v>
      </c>
      <c r="C90" s="65">
        <v>0</v>
      </c>
      <c r="D90" s="19">
        <f ca="1">((100/(H82))*C90)/100</f>
        <v>0</v>
      </c>
      <c r="E90" s="147"/>
      <c r="F90" s="147"/>
      <c r="G90" s="147"/>
      <c r="H90" s="147"/>
      <c r="I90" s="14" t="s">
        <v>150</v>
      </c>
      <c r="J90" s="29">
        <f>(IF(B82&gt;2,(H82/(B82+2)+J89),0))</f>
        <v>0</v>
      </c>
    </row>
    <row r="91" spans="1:12" ht="15.75" customHeight="1" x14ac:dyDescent="0.35">
      <c r="A91" s="100" t="s">
        <v>138</v>
      </c>
      <c r="B91" s="100" t="s">
        <v>138</v>
      </c>
      <c r="C91" s="65">
        <v>0</v>
      </c>
      <c r="D91" s="19">
        <f ca="1">((100/H82)*C91)/100</f>
        <v>0</v>
      </c>
      <c r="E91" s="147"/>
      <c r="F91" s="147"/>
      <c r="G91" s="147"/>
      <c r="H91" s="147"/>
      <c r="I91" s="14" t="s">
        <v>151</v>
      </c>
      <c r="J91" s="30">
        <f>(IF(B82&gt;3,(H82/(B82+2)+J90),0))</f>
        <v>0</v>
      </c>
    </row>
    <row r="92" spans="1:12" ht="15.75" customHeight="1" x14ac:dyDescent="0.35">
      <c r="A92" s="100" t="s">
        <v>145</v>
      </c>
      <c r="B92" s="100"/>
      <c r="C92" s="65">
        <v>0</v>
      </c>
      <c r="D92" s="19">
        <f ca="1">((100/H82)*C92)/100</f>
        <v>0</v>
      </c>
      <c r="E92" s="147"/>
      <c r="F92" s="147"/>
      <c r="G92" s="147"/>
      <c r="H92" s="147"/>
      <c r="I92" s="14" t="s">
        <v>152</v>
      </c>
      <c r="J92" s="29">
        <f>(IF(B82&gt;4,(H82/(B82+2)+J91),0))</f>
        <v>0</v>
      </c>
    </row>
    <row r="93" spans="1:12" ht="15.75" customHeight="1" x14ac:dyDescent="0.35">
      <c r="A93" s="100" t="s">
        <v>140</v>
      </c>
      <c r="B93" s="100" t="s">
        <v>140</v>
      </c>
      <c r="C93" s="65">
        <v>0</v>
      </c>
      <c r="D93" s="19">
        <f ca="1">((100/(H82))*C93)/100</f>
        <v>0</v>
      </c>
      <c r="E93" s="147"/>
      <c r="F93" s="147"/>
      <c r="G93" s="147"/>
      <c r="H93" s="147"/>
      <c r="I93" s="14" t="s">
        <v>156</v>
      </c>
      <c r="J93" s="29">
        <f ca="1">(IF(B82=1,(H82/(B82+3)+J88),IF(B82=0,(H82/4+J88),IF(B82&gt;1,0))))</f>
        <v>0.75</v>
      </c>
    </row>
    <row r="94" spans="1:12" ht="16" thickBot="1" x14ac:dyDescent="0.4">
      <c r="A94" s="100" t="s">
        <v>141</v>
      </c>
      <c r="B94" s="100"/>
      <c r="C94" s="65">
        <v>0</v>
      </c>
      <c r="D94" s="19">
        <f ca="1">((100/(H82))*C94)/100</f>
        <v>0</v>
      </c>
      <c r="E94" s="147"/>
      <c r="F94" s="147"/>
      <c r="G94" s="147"/>
      <c r="H94" s="147"/>
      <c r="I94" s="15" t="s">
        <v>107</v>
      </c>
      <c r="J94" s="31">
        <f ca="1">(IF(B82&gt;1.5,(H82/(B82+2)+J88+MAX(0,J89-J88)+MAX(0,J90-J89)+MAX(0,J91-J90)+MAX(0,J92-J91)+MAX(0,J93-J92)),IF(B82=1,(H82/(B82+3)+J93),IF(B82=0,H82/4+J93))))</f>
        <v>1</v>
      </c>
    </row>
    <row r="95" spans="1:12" x14ac:dyDescent="0.35">
      <c r="A95" s="118" t="s">
        <v>167</v>
      </c>
      <c r="B95" s="118"/>
      <c r="C95" s="118"/>
      <c r="D95" s="118"/>
      <c r="E95" s="118"/>
      <c r="F95" s="130" t="s">
        <v>172</v>
      </c>
      <c r="G95" s="130"/>
      <c r="H95" s="130"/>
    </row>
    <row r="96" spans="1:12" x14ac:dyDescent="0.35">
      <c r="A96" s="87" t="s">
        <v>170</v>
      </c>
      <c r="B96" s="87"/>
      <c r="C96" s="87"/>
      <c r="D96" s="87"/>
      <c r="E96" s="87"/>
      <c r="F96" s="88">
        <v>19000</v>
      </c>
      <c r="G96" s="88"/>
      <c r="H96" s="88"/>
      <c r="J96" s="20" t="s">
        <v>243</v>
      </c>
    </row>
    <row r="97" spans="1:10" x14ac:dyDescent="0.35">
      <c r="A97" s="87" t="s">
        <v>169</v>
      </c>
      <c r="B97" s="87"/>
      <c r="C97" s="87"/>
      <c r="D97" s="87"/>
      <c r="E97" s="87"/>
      <c r="F97" s="88">
        <v>45000</v>
      </c>
      <c r="G97" s="88"/>
      <c r="H97" s="88"/>
      <c r="J97" s="20" t="s">
        <v>244</v>
      </c>
    </row>
    <row r="98" spans="1:10" x14ac:dyDescent="0.35">
      <c r="A98" s="87" t="s">
        <v>171</v>
      </c>
      <c r="B98" s="87"/>
      <c r="C98" s="87"/>
      <c r="D98" s="87"/>
      <c r="E98" s="87"/>
      <c r="F98" s="88">
        <v>35000</v>
      </c>
      <c r="G98" s="88"/>
      <c r="H98" s="88"/>
    </row>
    <row r="99" spans="1:10" s="32" customFormat="1" x14ac:dyDescent="0.3">
      <c r="A99" s="87" t="s">
        <v>242</v>
      </c>
      <c r="B99" s="87"/>
      <c r="C99" s="87"/>
      <c r="D99" s="87"/>
      <c r="E99" s="87"/>
      <c r="F99" s="88">
        <v>300000</v>
      </c>
      <c r="G99" s="88"/>
      <c r="H99" s="88"/>
    </row>
    <row r="100" spans="1:10" s="32" customFormat="1" hidden="1" x14ac:dyDescent="0.3">
      <c r="A100" s="87" t="s">
        <v>168</v>
      </c>
      <c r="B100" s="87"/>
      <c r="C100" s="87"/>
      <c r="D100" s="87"/>
      <c r="E100" s="87"/>
      <c r="F100" s="88"/>
      <c r="G100" s="88"/>
      <c r="H100" s="88"/>
    </row>
    <row r="101" spans="1:10" s="32" customFormat="1" hidden="1" x14ac:dyDescent="0.3">
      <c r="A101" s="87" t="s">
        <v>97</v>
      </c>
      <c r="B101" s="87"/>
      <c r="C101" s="87"/>
      <c r="D101" s="87"/>
      <c r="E101" s="87"/>
      <c r="F101" s="88"/>
      <c r="G101" s="88"/>
      <c r="H101" s="88"/>
    </row>
    <row r="102" spans="1:10" s="32" customFormat="1" hidden="1" x14ac:dyDescent="0.3">
      <c r="A102" s="87" t="s">
        <v>98</v>
      </c>
      <c r="B102" s="87"/>
      <c r="C102" s="87"/>
      <c r="D102" s="87"/>
      <c r="E102" s="87"/>
      <c r="F102" s="88"/>
      <c r="G102" s="88"/>
      <c r="H102" s="88"/>
    </row>
    <row r="103" spans="1:10" s="32" customFormat="1" hidden="1" x14ac:dyDescent="0.3">
      <c r="A103" s="87" t="s">
        <v>173</v>
      </c>
      <c r="B103" s="87"/>
      <c r="C103" s="87"/>
      <c r="D103" s="87"/>
      <c r="E103" s="87"/>
      <c r="F103" s="88"/>
      <c r="G103" s="88"/>
      <c r="H103" s="88"/>
    </row>
    <row r="104" spans="1:10" s="32" customFormat="1" hidden="1" x14ac:dyDescent="0.3">
      <c r="A104" s="87" t="s">
        <v>99</v>
      </c>
      <c r="B104" s="87"/>
      <c r="C104" s="87"/>
      <c r="D104" s="87"/>
      <c r="E104" s="87"/>
      <c r="F104" s="88"/>
      <c r="G104" s="88"/>
      <c r="H104" s="88"/>
    </row>
    <row r="105" spans="1:10" s="32" customFormat="1" hidden="1" x14ac:dyDescent="0.3">
      <c r="A105" s="87" t="s">
        <v>100</v>
      </c>
      <c r="B105" s="87"/>
      <c r="C105" s="87"/>
      <c r="D105" s="87"/>
      <c r="E105" s="87"/>
      <c r="F105" s="88"/>
      <c r="G105" s="88"/>
      <c r="H105" s="88"/>
    </row>
    <row r="106" spans="1:10" s="32" customFormat="1" hidden="1" x14ac:dyDescent="0.3">
      <c r="A106" s="87" t="s">
        <v>101</v>
      </c>
      <c r="B106" s="87"/>
      <c r="C106" s="87"/>
      <c r="D106" s="87"/>
      <c r="E106" s="87"/>
      <c r="F106" s="88"/>
      <c r="G106" s="88"/>
      <c r="H106" s="88"/>
    </row>
    <row r="107" spans="1:10" s="32" customFormat="1" hidden="1" x14ac:dyDescent="0.3">
      <c r="A107" s="87" t="s">
        <v>102</v>
      </c>
      <c r="B107" s="87"/>
      <c r="C107" s="87"/>
      <c r="D107" s="87"/>
      <c r="E107" s="87"/>
      <c r="F107" s="88"/>
      <c r="G107" s="88"/>
      <c r="H107" s="88"/>
    </row>
    <row r="108" spans="1:10" x14ac:dyDescent="0.35">
      <c r="A108" s="87" t="s">
        <v>52</v>
      </c>
      <c r="B108" s="87"/>
      <c r="C108" s="87"/>
      <c r="D108" s="87"/>
      <c r="E108" s="87"/>
      <c r="F108" s="88">
        <v>1000000</v>
      </c>
      <c r="G108" s="88"/>
      <c r="H108" s="88"/>
    </row>
    <row r="109" spans="1:10" s="33" customFormat="1" x14ac:dyDescent="0.35">
      <c r="A109" s="118" t="s">
        <v>53</v>
      </c>
      <c r="B109" s="118"/>
      <c r="C109" s="118"/>
      <c r="D109" s="118"/>
      <c r="E109" s="118"/>
      <c r="F109" s="88">
        <f>F96*0.8</f>
        <v>15200</v>
      </c>
      <c r="G109" s="88"/>
      <c r="H109" s="88"/>
    </row>
    <row r="110" spans="1:10" s="34" customFormat="1" ht="15.75" customHeight="1" x14ac:dyDescent="0.35">
      <c r="A110" s="106" t="s">
        <v>77</v>
      </c>
      <c r="B110" s="106"/>
      <c r="C110" s="106"/>
      <c r="D110" s="106"/>
      <c r="E110" s="106"/>
      <c r="F110" s="106"/>
      <c r="G110" s="106"/>
      <c r="H110" s="106"/>
    </row>
    <row r="111" spans="1:10" s="34" customFormat="1" ht="15.75" customHeight="1" x14ac:dyDescent="0.35">
      <c r="A111" s="101" t="s">
        <v>54</v>
      </c>
      <c r="B111" s="101"/>
      <c r="C111" s="98" t="s">
        <v>80</v>
      </c>
      <c r="D111" s="98"/>
      <c r="E111" s="99" t="s">
        <v>55</v>
      </c>
      <c r="F111" s="99"/>
      <c r="G111" s="101" t="s">
        <v>56</v>
      </c>
      <c r="H111" s="101"/>
    </row>
    <row r="112" spans="1:10" s="34" customFormat="1" x14ac:dyDescent="0.35">
      <c r="A112" s="139" t="s">
        <v>211</v>
      </c>
      <c r="B112" s="66" t="s">
        <v>206</v>
      </c>
      <c r="C112" s="102">
        <f>COUNT(D126:D127)</f>
        <v>2</v>
      </c>
      <c r="D112" s="103"/>
      <c r="E112" s="104">
        <f>SUM(D126:D127)</f>
        <v>1654.2965555999999</v>
      </c>
      <c r="F112" s="105"/>
      <c r="G112" s="104">
        <f>SUM(F126:F127)</f>
        <v>2646.8744889600002</v>
      </c>
      <c r="H112" s="105"/>
    </row>
    <row r="113" spans="1:14" s="34" customFormat="1" x14ac:dyDescent="0.35">
      <c r="A113" s="139"/>
      <c r="B113" s="66" t="s">
        <v>239</v>
      </c>
      <c r="C113" s="102">
        <f>COUNT(D129)</f>
        <v>1</v>
      </c>
      <c r="D113" s="103"/>
      <c r="E113" s="104">
        <f>SUM(D129)</f>
        <v>1726.7608799999998</v>
      </c>
      <c r="F113" s="105"/>
      <c r="G113" s="104">
        <f>SUM(F129)</f>
        <v>2762.8174079999999</v>
      </c>
      <c r="H113" s="105"/>
    </row>
    <row r="114" spans="1:14" s="34" customFormat="1" x14ac:dyDescent="0.35">
      <c r="A114" s="106" t="s">
        <v>160</v>
      </c>
      <c r="B114" s="106"/>
      <c r="C114" s="107">
        <f>SUM(C112:C113)</f>
        <v>3</v>
      </c>
      <c r="D114" s="98"/>
      <c r="E114" s="114">
        <f>SUM(E112:E113)</f>
        <v>3381.0574355999997</v>
      </c>
      <c r="F114" s="99"/>
      <c r="G114" s="101">
        <f>SUM(G112:G113)</f>
        <v>5409.6918969600001</v>
      </c>
      <c r="H114" s="101"/>
    </row>
    <row r="115" spans="1:14" s="34" customFormat="1" x14ac:dyDescent="0.35">
      <c r="A115" s="106" t="s">
        <v>235</v>
      </c>
      <c r="B115" s="106"/>
      <c r="C115" s="106"/>
      <c r="D115" s="106"/>
      <c r="E115" s="106"/>
      <c r="F115" s="106"/>
      <c r="G115" s="106"/>
      <c r="H115" s="106"/>
    </row>
    <row r="116" spans="1:14" s="34" customFormat="1" ht="15.75" customHeight="1" x14ac:dyDescent="0.35">
      <c r="A116" s="101" t="s">
        <v>54</v>
      </c>
      <c r="B116" s="101"/>
      <c r="C116" s="98" t="s">
        <v>80</v>
      </c>
      <c r="D116" s="98"/>
      <c r="E116" s="99" t="s">
        <v>55</v>
      </c>
      <c r="F116" s="99"/>
      <c r="G116" s="101" t="s">
        <v>56</v>
      </c>
      <c r="H116" s="101"/>
    </row>
    <row r="117" spans="1:14" s="34" customFormat="1" x14ac:dyDescent="0.35">
      <c r="A117" s="139" t="s">
        <v>214</v>
      </c>
      <c r="B117" s="139"/>
      <c r="C117" s="103">
        <f>COUNT(D144:D146)+COUNT(D150:D152)+COUNT(D154:D158)+COUNT(D160:D164)+COUNT(D166:D170)+COUNT(D172:D176)+COUNT(D179:D182)+COUNT(D184:D188)+COUNT(D190:D194)+COUNT(D196:D200)+COUNT(D202:D206)*3+COUNT(D209:D212)+COUNT(D214:D217)</f>
        <v>68</v>
      </c>
      <c r="D117" s="103"/>
      <c r="E117" s="104">
        <f>SUM(D144:D146)+SUM(D150:D152)+SUM(D154:D158)+SUM(D160:D164)+SUM(D166:D170)+SUM(D172:D176)+SUM(D179:D182)+SUM(D184:D188)+SUM(D190:D194)+SUM(D196:D200)+SUM(D202:D206)*3+SUM(D209:D212)+SUM(D214:D217)</f>
        <v>41251.738319999989</v>
      </c>
      <c r="F117" s="104"/>
      <c r="G117" s="104">
        <f>SUM(F144:F146)+SUM(F150:F152)+SUM(F154:F158)+SUM(F160:F164)+SUM(F166:F170)+SUM(F172:F176)+SUM(F179:F182)+SUM(F184:F188)+SUM(F190:F194)+SUM(F196:F200)+SUM(F202:F206)*3+SUM(F209:F212)+SUM(F214:F217)</f>
        <v>63940.194395999992</v>
      </c>
      <c r="H117" s="104"/>
    </row>
    <row r="118" spans="1:14" s="34" customFormat="1" x14ac:dyDescent="0.35">
      <c r="A118" s="106" t="s">
        <v>160</v>
      </c>
      <c r="B118" s="106"/>
      <c r="C118" s="98">
        <f>SUM(C117)</f>
        <v>68</v>
      </c>
      <c r="D118" s="98"/>
      <c r="E118" s="114">
        <f>SUM(E117)</f>
        <v>41251.738319999989</v>
      </c>
      <c r="F118" s="114"/>
      <c r="G118" s="101">
        <f>SUM(G117)</f>
        <v>63940.194395999992</v>
      </c>
      <c r="H118" s="101"/>
    </row>
    <row r="119" spans="1:14" s="34" customFormat="1" x14ac:dyDescent="0.35">
      <c r="A119" s="106" t="s">
        <v>180</v>
      </c>
      <c r="B119" s="106"/>
      <c r="C119" s="98">
        <f>C114+C118</f>
        <v>71</v>
      </c>
      <c r="D119" s="98"/>
      <c r="E119" s="114">
        <f>E114+E118</f>
        <v>44632.795755599989</v>
      </c>
      <c r="F119" s="114"/>
      <c r="G119" s="101">
        <f>G114+G118</f>
        <v>69349.886292959985</v>
      </c>
      <c r="H119" s="101"/>
    </row>
    <row r="120" spans="1:14" s="33" customFormat="1" x14ac:dyDescent="0.35">
      <c r="A120" s="130" t="s">
        <v>57</v>
      </c>
      <c r="B120" s="130"/>
      <c r="C120" s="130"/>
      <c r="D120" s="130"/>
      <c r="E120" s="130"/>
      <c r="F120" s="130"/>
      <c r="G120" s="130"/>
      <c r="H120" s="130"/>
    </row>
    <row r="121" spans="1:14" x14ac:dyDescent="0.35">
      <c r="A121" s="130" t="s">
        <v>58</v>
      </c>
      <c r="B121" s="130"/>
      <c r="C121" s="130"/>
      <c r="D121" s="130"/>
      <c r="E121" s="130"/>
      <c r="F121" s="130"/>
      <c r="G121" s="130"/>
      <c r="H121" s="130"/>
    </row>
    <row r="122" spans="1:14" ht="47.25" customHeight="1" x14ac:dyDescent="0.35">
      <c r="A122" s="90" t="s">
        <v>125</v>
      </c>
      <c r="B122" s="90" t="s">
        <v>124</v>
      </c>
      <c r="C122" s="90" t="s">
        <v>59</v>
      </c>
      <c r="D122" s="90" t="s">
        <v>60</v>
      </c>
      <c r="E122" s="141" t="s">
        <v>166</v>
      </c>
      <c r="F122" s="42" t="s">
        <v>158</v>
      </c>
      <c r="G122" s="143" t="s">
        <v>62</v>
      </c>
      <c r="H122" s="144"/>
    </row>
    <row r="123" spans="1:14" s="36" customFormat="1" x14ac:dyDescent="0.35">
      <c r="A123" s="91"/>
      <c r="B123" s="91"/>
      <c r="C123" s="91"/>
      <c r="D123" s="91"/>
      <c r="E123" s="142"/>
      <c r="F123" s="13">
        <v>0.6</v>
      </c>
      <c r="G123" s="145"/>
      <c r="H123" s="146"/>
    </row>
    <row r="124" spans="1:14" s="51" customFormat="1" x14ac:dyDescent="0.35">
      <c r="A124" s="80" t="s">
        <v>211</v>
      </c>
      <c r="B124" s="81"/>
      <c r="C124" s="81"/>
      <c r="D124" s="81"/>
      <c r="E124" s="81"/>
      <c r="F124" s="81"/>
      <c r="G124" s="81"/>
      <c r="H124" s="82"/>
      <c r="J124" s="35"/>
    </row>
    <row r="125" spans="1:14" s="51" customFormat="1" x14ac:dyDescent="0.35">
      <c r="A125" s="80" t="s">
        <v>213</v>
      </c>
      <c r="B125" s="81"/>
      <c r="C125" s="81"/>
      <c r="D125" s="81"/>
      <c r="E125" s="81"/>
      <c r="F125" s="81"/>
      <c r="G125" s="81"/>
      <c r="H125" s="82"/>
      <c r="J125" s="35"/>
    </row>
    <row r="126" spans="1:14" s="51" customFormat="1" ht="15.75" customHeight="1" x14ac:dyDescent="0.35">
      <c r="A126" s="74">
        <v>1</v>
      </c>
      <c r="B126" s="75"/>
      <c r="C126" s="50" t="s">
        <v>212</v>
      </c>
      <c r="D126" s="54">
        <f>(12.87*6.93+1.4*4.98+1.25*1.8)*(10.764)</f>
        <v>1059.2970803999999</v>
      </c>
      <c r="E126" s="50">
        <v>0</v>
      </c>
      <c r="F126" s="50">
        <f>(D126+E126)*(($F$123)+1)</f>
        <v>1694.8753286399999</v>
      </c>
      <c r="G126" s="92" t="str">
        <f>A125</f>
        <v>Ground Floor For Commercial &amp; Parking</v>
      </c>
      <c r="H126" s="93"/>
      <c r="I126" s="35"/>
      <c r="J126" s="54">
        <f>10.764</f>
        <v>10.763999999999999</v>
      </c>
      <c r="L126" s="73"/>
      <c r="M126" s="73"/>
      <c r="N126" s="35"/>
    </row>
    <row r="127" spans="1:14" s="51" customFormat="1" ht="15.75" customHeight="1" x14ac:dyDescent="0.35">
      <c r="A127" s="74">
        <f t="shared" ref="A127" si="0">A126+1</f>
        <v>2</v>
      </c>
      <c r="B127" s="75"/>
      <c r="C127" s="50" t="s">
        <v>212</v>
      </c>
      <c r="D127" s="54">
        <f>(9.49*5.12+1.4*3.17+1.25*1.8)*(10.764)</f>
        <v>594.99947520000001</v>
      </c>
      <c r="E127" s="50">
        <v>0</v>
      </c>
      <c r="F127" s="50">
        <f t="shared" ref="F127" si="1">(D127+E127)*(($F$123)+1)</f>
        <v>951.9991603200001</v>
      </c>
      <c r="G127" s="96"/>
      <c r="H127" s="97"/>
      <c r="I127" s="35"/>
      <c r="L127" s="73"/>
      <c r="M127" s="73"/>
      <c r="N127" s="35"/>
    </row>
    <row r="128" spans="1:14" s="51" customFormat="1" x14ac:dyDescent="0.35">
      <c r="A128" s="80" t="s">
        <v>241</v>
      </c>
      <c r="B128" s="81"/>
      <c r="C128" s="81"/>
      <c r="D128" s="81"/>
      <c r="E128" s="81"/>
      <c r="F128" s="81"/>
      <c r="G128" s="81"/>
      <c r="H128" s="82"/>
      <c r="J128" s="35"/>
    </row>
    <row r="129" spans="1:14" s="51" customFormat="1" x14ac:dyDescent="0.35">
      <c r="A129" s="74">
        <v>1</v>
      </c>
      <c r="B129" s="75"/>
      <c r="C129" s="50" t="s">
        <v>239</v>
      </c>
      <c r="D129" s="54">
        <f>(160.42)*(10.764)</f>
        <v>1726.7608799999998</v>
      </c>
      <c r="E129" s="50">
        <v>0</v>
      </c>
      <c r="F129" s="50">
        <f>(D129+E129)*(($F$123)+1)</f>
        <v>2762.8174079999999</v>
      </c>
      <c r="G129" s="74" t="str">
        <f>A128</f>
        <v>1st Floor</v>
      </c>
      <c r="H129" s="75"/>
      <c r="I129" s="35"/>
      <c r="L129" s="73"/>
      <c r="M129" s="73"/>
      <c r="N129" s="35"/>
    </row>
    <row r="130" spans="1:14" s="36" customFormat="1" hidden="1" x14ac:dyDescent="0.35">
      <c r="A130" s="80" t="s">
        <v>122</v>
      </c>
      <c r="B130" s="81"/>
      <c r="C130" s="81"/>
      <c r="D130" s="81"/>
      <c r="E130" s="81"/>
      <c r="F130" s="81"/>
      <c r="G130" s="81"/>
      <c r="H130" s="82"/>
      <c r="J130" s="35"/>
    </row>
    <row r="131" spans="1:14" s="36" customFormat="1" hidden="1" x14ac:dyDescent="0.35">
      <c r="A131" s="74">
        <v>1</v>
      </c>
      <c r="B131" s="75"/>
      <c r="C131" s="41"/>
      <c r="D131" s="41"/>
      <c r="E131" s="41">
        <v>0</v>
      </c>
      <c r="F131" s="41">
        <f>(D131+E131)*(($F$123)+1)</f>
        <v>0</v>
      </c>
      <c r="G131" s="74" t="str">
        <f>A130</f>
        <v>Ground Floor</v>
      </c>
      <c r="H131" s="75"/>
      <c r="I131" s="35"/>
      <c r="L131" s="73"/>
      <c r="M131" s="73"/>
      <c r="N131" s="35"/>
    </row>
    <row r="132" spans="1:14" s="36" customFormat="1" hidden="1" x14ac:dyDescent="0.35">
      <c r="A132" s="74">
        <f t="shared" ref="A132:A134" si="2">A131+1</f>
        <v>2</v>
      </c>
      <c r="B132" s="75"/>
      <c r="C132" s="41"/>
      <c r="D132" s="41"/>
      <c r="E132" s="41">
        <v>0</v>
      </c>
      <c r="F132" s="41">
        <f t="shared" ref="F132:F134" si="3">(D132+E132)*(($F$123)+1)</f>
        <v>0</v>
      </c>
      <c r="G132" s="74" t="str">
        <f t="shared" ref="G132:G134" si="4">G131</f>
        <v>Ground Floor</v>
      </c>
      <c r="H132" s="75"/>
      <c r="I132" s="35"/>
      <c r="L132" s="73"/>
      <c r="M132" s="73"/>
      <c r="N132" s="35"/>
    </row>
    <row r="133" spans="1:14" s="36" customFormat="1" hidden="1" x14ac:dyDescent="0.35">
      <c r="A133" s="74">
        <f t="shared" si="2"/>
        <v>3</v>
      </c>
      <c r="B133" s="75"/>
      <c r="C133" s="41"/>
      <c r="D133" s="41"/>
      <c r="E133" s="41">
        <v>0</v>
      </c>
      <c r="F133" s="41">
        <f t="shared" si="3"/>
        <v>0</v>
      </c>
      <c r="G133" s="74" t="str">
        <f t="shared" si="4"/>
        <v>Ground Floor</v>
      </c>
      <c r="H133" s="75"/>
      <c r="I133" s="35"/>
      <c r="L133" s="73"/>
      <c r="M133" s="73"/>
      <c r="N133" s="35"/>
    </row>
    <row r="134" spans="1:14" s="36" customFormat="1" hidden="1" x14ac:dyDescent="0.35">
      <c r="A134" s="74">
        <f t="shared" si="2"/>
        <v>4</v>
      </c>
      <c r="B134" s="75"/>
      <c r="C134" s="41"/>
      <c r="D134" s="41"/>
      <c r="E134" s="41">
        <v>0</v>
      </c>
      <c r="F134" s="41">
        <f t="shared" si="3"/>
        <v>0</v>
      </c>
      <c r="G134" s="74" t="str">
        <f t="shared" si="4"/>
        <v>Ground Floor</v>
      </c>
      <c r="H134" s="75"/>
      <c r="I134" s="35"/>
      <c r="L134" s="73"/>
      <c r="M134" s="73"/>
      <c r="N134" s="35"/>
    </row>
    <row r="135" spans="1:14" s="36" customFormat="1" x14ac:dyDescent="0.35">
      <c r="A135" s="74"/>
      <c r="B135" s="169"/>
      <c r="C135" s="169"/>
      <c r="D135" s="169"/>
      <c r="E135" s="169"/>
      <c r="F135" s="169"/>
      <c r="G135" s="169"/>
      <c r="H135" s="75"/>
      <c r="I135" s="35"/>
      <c r="N135" s="35"/>
    </row>
    <row r="136" spans="1:14" ht="47.25" customHeight="1" x14ac:dyDescent="0.35">
      <c r="A136" s="143" t="s">
        <v>126</v>
      </c>
      <c r="B136" s="143" t="s">
        <v>127</v>
      </c>
      <c r="C136" s="90" t="s">
        <v>59</v>
      </c>
      <c r="D136" s="90" t="s">
        <v>60</v>
      </c>
      <c r="E136" s="141" t="s">
        <v>61</v>
      </c>
      <c r="F136" s="42" t="s">
        <v>158</v>
      </c>
      <c r="G136" s="143" t="s">
        <v>62</v>
      </c>
      <c r="H136" s="144"/>
      <c r="I136" s="35"/>
    </row>
    <row r="137" spans="1:14" s="36" customFormat="1" x14ac:dyDescent="0.35">
      <c r="A137" s="145"/>
      <c r="B137" s="145"/>
      <c r="C137" s="91"/>
      <c r="D137" s="91"/>
      <c r="E137" s="142"/>
      <c r="F137" s="13">
        <v>0.55000000000000004</v>
      </c>
      <c r="G137" s="145"/>
      <c r="H137" s="146"/>
      <c r="I137" s="35"/>
    </row>
    <row r="138" spans="1:14" s="51" customFormat="1" x14ac:dyDescent="0.35">
      <c r="A138" s="80" t="s">
        <v>214</v>
      </c>
      <c r="B138" s="81"/>
      <c r="C138" s="81"/>
      <c r="D138" s="81"/>
      <c r="E138" s="81"/>
      <c r="F138" s="81"/>
      <c r="G138" s="81"/>
      <c r="H138" s="82"/>
      <c r="J138" s="35"/>
    </row>
    <row r="139" spans="1:14" s="51" customFormat="1" x14ac:dyDescent="0.35">
      <c r="A139" s="80" t="s">
        <v>218</v>
      </c>
      <c r="B139" s="81"/>
      <c r="C139" s="81"/>
      <c r="D139" s="81"/>
      <c r="E139" s="81"/>
      <c r="F139" s="81"/>
      <c r="G139" s="81"/>
      <c r="H139" s="82"/>
      <c r="J139" s="35"/>
    </row>
    <row r="140" spans="1:14" s="51" customFormat="1" x14ac:dyDescent="0.35">
      <c r="A140" s="80" t="s">
        <v>215</v>
      </c>
      <c r="B140" s="81"/>
      <c r="C140" s="81"/>
      <c r="D140" s="81"/>
      <c r="E140" s="81"/>
      <c r="F140" s="81"/>
      <c r="G140" s="81"/>
      <c r="H140" s="82"/>
      <c r="J140" s="35"/>
    </row>
    <row r="141" spans="1:14" s="51" customFormat="1" x14ac:dyDescent="0.35">
      <c r="A141" s="80" t="s">
        <v>216</v>
      </c>
      <c r="B141" s="81"/>
      <c r="C141" s="81"/>
      <c r="D141" s="81"/>
      <c r="E141" s="81"/>
      <c r="F141" s="81"/>
      <c r="G141" s="81"/>
      <c r="H141" s="82"/>
      <c r="J141" s="35"/>
    </row>
    <row r="142" spans="1:14" s="51" customFormat="1" ht="15.75" customHeight="1" x14ac:dyDescent="0.35">
      <c r="A142" s="74">
        <v>1</v>
      </c>
      <c r="B142" s="75"/>
      <c r="C142" s="92" t="s">
        <v>217</v>
      </c>
      <c r="D142" s="170"/>
      <c r="E142" s="170"/>
      <c r="F142" s="93"/>
      <c r="G142" s="92" t="str">
        <f>A141</f>
        <v>1st Floor For Part Residential</v>
      </c>
      <c r="H142" s="93"/>
      <c r="I142" s="35"/>
      <c r="L142" s="73"/>
      <c r="M142" s="73"/>
      <c r="N142" s="35"/>
    </row>
    <row r="143" spans="1:14" s="51" customFormat="1" ht="15.75" customHeight="1" x14ac:dyDescent="0.35">
      <c r="A143" s="74">
        <f t="shared" ref="A143:A146" si="5">A142+1</f>
        <v>2</v>
      </c>
      <c r="B143" s="75"/>
      <c r="C143" s="96"/>
      <c r="D143" s="171"/>
      <c r="E143" s="171"/>
      <c r="F143" s="97"/>
      <c r="G143" s="94"/>
      <c r="H143" s="95"/>
      <c r="I143" s="35"/>
      <c r="L143" s="73"/>
      <c r="M143" s="73"/>
      <c r="N143" s="35"/>
    </row>
    <row r="144" spans="1:14" s="51" customFormat="1" ht="15.75" customHeight="1" x14ac:dyDescent="0.35">
      <c r="A144" s="74">
        <f t="shared" si="5"/>
        <v>3</v>
      </c>
      <c r="B144" s="75"/>
      <c r="C144" s="49">
        <v>0</v>
      </c>
      <c r="D144" s="54">
        <f>(29.17)*(10.764)</f>
        <v>313.98588000000001</v>
      </c>
      <c r="E144" s="50">
        <v>0</v>
      </c>
      <c r="F144" s="50">
        <f>D144*(($F$137)+1)+(IF(E144&lt;101,E144,IF(E144&lt;201,E144/2,IF(E144&lt;=301,E144/3,E144/4))))</f>
        <v>486.67811400000005</v>
      </c>
      <c r="G144" s="94"/>
      <c r="H144" s="95"/>
      <c r="I144" s="35"/>
      <c r="J144" s="51">
        <f>2.98*5.59+1.48*0.93+2.42*3.05+1.25*1.97</f>
        <v>27.8781</v>
      </c>
      <c r="L144" s="73"/>
      <c r="M144" s="73"/>
      <c r="N144" s="35"/>
    </row>
    <row r="145" spans="1:14" s="51" customFormat="1" ht="15.75" customHeight="1" x14ac:dyDescent="0.35">
      <c r="A145" s="74">
        <f t="shared" si="5"/>
        <v>4</v>
      </c>
      <c r="B145" s="75"/>
      <c r="C145" s="49">
        <v>2</v>
      </c>
      <c r="D145" s="54">
        <f>(55.49)*(10.764)</f>
        <v>597.29435999999998</v>
      </c>
      <c r="E145" s="50">
        <v>0</v>
      </c>
      <c r="F145" s="50">
        <f>D145*(($F$137)+1)+(IF(E145&lt;101,E145,IF(E145&lt;201,E145/2,IF(E145&lt;=301,E145/3,E145/4))))</f>
        <v>925.80625799999996</v>
      </c>
      <c r="G145" s="94"/>
      <c r="H145" s="95"/>
      <c r="I145" s="35"/>
      <c r="J145" s="51">
        <f>2.98*5.65+1.4*1.99+2.9*3.38+2.1*2.35+3.05*3.35+2.15*1.25+1.25*2.15+2.1*1</f>
        <v>52.052500000000002</v>
      </c>
      <c r="L145" s="73"/>
      <c r="M145" s="73"/>
      <c r="N145" s="35"/>
    </row>
    <row r="146" spans="1:14" s="51" customFormat="1" ht="15.75" customHeight="1" x14ac:dyDescent="0.35">
      <c r="A146" s="74">
        <f t="shared" si="5"/>
        <v>5</v>
      </c>
      <c r="B146" s="75"/>
      <c r="C146" s="49">
        <v>2</v>
      </c>
      <c r="D146" s="54">
        <f>(56.83)*(10.764)</f>
        <v>611.71812</v>
      </c>
      <c r="E146" s="50">
        <v>0</v>
      </c>
      <c r="F146" s="50">
        <f>D146*(($F$137)+1)+(IF(E146&lt;101,E146,IF(E146&lt;201,E146/2,IF(E146&lt;=301,E146/3,E146/4))))</f>
        <v>948.16308600000002</v>
      </c>
      <c r="G146" s="96"/>
      <c r="H146" s="97"/>
      <c r="I146" s="35"/>
      <c r="L146" s="73"/>
      <c r="M146" s="73"/>
      <c r="N146" s="35"/>
    </row>
    <row r="147" spans="1:14" s="51" customFormat="1" x14ac:dyDescent="0.35">
      <c r="A147" s="80" t="s">
        <v>219</v>
      </c>
      <c r="B147" s="81"/>
      <c r="C147" s="81"/>
      <c r="D147" s="81"/>
      <c r="E147" s="81"/>
      <c r="F147" s="81"/>
      <c r="G147" s="81"/>
      <c r="H147" s="82"/>
      <c r="J147" s="35"/>
    </row>
    <row r="148" spans="1:14" s="51" customFormat="1" ht="15.75" customHeight="1" x14ac:dyDescent="0.35">
      <c r="A148" s="74">
        <v>1</v>
      </c>
      <c r="B148" s="75"/>
      <c r="C148" s="92" t="s">
        <v>220</v>
      </c>
      <c r="D148" s="170"/>
      <c r="E148" s="170"/>
      <c r="F148" s="93"/>
      <c r="G148" s="92" t="str">
        <f>A147</f>
        <v xml:space="preserve">2nd Floor For Part Residential &amp; </v>
      </c>
      <c r="H148" s="93"/>
      <c r="I148" s="35"/>
      <c r="L148" s="73"/>
      <c r="M148" s="73"/>
      <c r="N148" s="35"/>
    </row>
    <row r="149" spans="1:14" s="51" customFormat="1" ht="15.75" customHeight="1" x14ac:dyDescent="0.35">
      <c r="A149" s="74">
        <f t="shared" ref="A149:A152" si="6">A148+1</f>
        <v>2</v>
      </c>
      <c r="B149" s="75"/>
      <c r="C149" s="96"/>
      <c r="D149" s="171"/>
      <c r="E149" s="171"/>
      <c r="F149" s="97"/>
      <c r="G149" s="94"/>
      <c r="H149" s="95"/>
      <c r="I149" s="35"/>
      <c r="L149" s="73"/>
      <c r="M149" s="73"/>
      <c r="N149" s="35"/>
    </row>
    <row r="150" spans="1:14" s="51" customFormat="1" ht="15.75" customHeight="1" x14ac:dyDescent="0.35">
      <c r="A150" s="74">
        <f t="shared" si="6"/>
        <v>3</v>
      </c>
      <c r="B150" s="75"/>
      <c r="C150" s="49">
        <v>0</v>
      </c>
      <c r="D150" s="54">
        <f>(29.17)*(10.764)</f>
        <v>313.98588000000001</v>
      </c>
      <c r="E150" s="50">
        <v>0</v>
      </c>
      <c r="F150" s="50">
        <f>D150*(($F$137)+1)+(IF(E150&lt;101,E150,IF(E150&lt;201,E150/2,IF(E150&lt;=301,E150/3,E150/4))))</f>
        <v>486.67811400000005</v>
      </c>
      <c r="G150" s="94"/>
      <c r="H150" s="95"/>
      <c r="I150" s="35"/>
      <c r="L150" s="73"/>
      <c r="M150" s="73"/>
      <c r="N150" s="35"/>
    </row>
    <row r="151" spans="1:14" s="51" customFormat="1" ht="15.75" customHeight="1" x14ac:dyDescent="0.35">
      <c r="A151" s="74">
        <f t="shared" si="6"/>
        <v>4</v>
      </c>
      <c r="B151" s="75"/>
      <c r="C151" s="49">
        <v>2</v>
      </c>
      <c r="D151" s="54">
        <f>(55.49)*(10.764)</f>
        <v>597.29435999999998</v>
      </c>
      <c r="E151" s="50">
        <v>0</v>
      </c>
      <c r="F151" s="50">
        <f>D151*(($F$137)+1)+(IF(E151&lt;101,E151,IF(E151&lt;201,E151/2,IF(E151&lt;=301,E151/3,E151/4))))</f>
        <v>925.80625799999996</v>
      </c>
      <c r="G151" s="94"/>
      <c r="H151" s="95"/>
      <c r="I151" s="35"/>
      <c r="L151" s="73"/>
      <c r="M151" s="73"/>
      <c r="N151" s="35"/>
    </row>
    <row r="152" spans="1:14" s="51" customFormat="1" ht="15.75" customHeight="1" x14ac:dyDescent="0.35">
      <c r="A152" s="74">
        <f t="shared" si="6"/>
        <v>5</v>
      </c>
      <c r="B152" s="75"/>
      <c r="C152" s="49">
        <v>2</v>
      </c>
      <c r="D152" s="54">
        <f>(56.83)*(10.764)</f>
        <v>611.71812</v>
      </c>
      <c r="E152" s="50">
        <v>0</v>
      </c>
      <c r="F152" s="50">
        <f>D152*(($F$137)+1)+(IF(E152&lt;101,E152,IF(E152&lt;201,E152/2,IF(E152&lt;=301,E152/3,E152/4))))</f>
        <v>948.16308600000002</v>
      </c>
      <c r="G152" s="96"/>
      <c r="H152" s="97"/>
      <c r="I152" s="35"/>
      <c r="L152" s="73"/>
      <c r="M152" s="73"/>
      <c r="N152" s="35"/>
    </row>
    <row r="153" spans="1:14" s="51" customFormat="1" x14ac:dyDescent="0.35">
      <c r="A153" s="89" t="s">
        <v>221</v>
      </c>
      <c r="B153" s="89"/>
      <c r="C153" s="89"/>
      <c r="D153" s="89"/>
      <c r="E153" s="89"/>
      <c r="F153" s="89"/>
      <c r="G153" s="89"/>
      <c r="H153" s="89"/>
      <c r="J153" s="35"/>
    </row>
    <row r="154" spans="1:14" s="51" customFormat="1" x14ac:dyDescent="0.35">
      <c r="A154" s="83">
        <v>1</v>
      </c>
      <c r="B154" s="83"/>
      <c r="C154" s="49">
        <v>3</v>
      </c>
      <c r="D154" s="54">
        <f>(82.46)*(10.764)</f>
        <v>887.59943999999984</v>
      </c>
      <c r="E154" s="61">
        <v>0</v>
      </c>
      <c r="F154" s="61">
        <f>D154*(($F$137)+1)+(IF(E154&lt;101,E154,IF(E154&lt;201,E154/2,IF(E154&lt;=301,E154/3,E154/4))))</f>
        <v>1375.7791319999999</v>
      </c>
      <c r="G154" s="83" t="str">
        <f>A153</f>
        <v>3rd Floor</v>
      </c>
      <c r="H154" s="83"/>
      <c r="I154" s="35"/>
      <c r="L154" s="73"/>
      <c r="M154" s="73"/>
      <c r="N154" s="35"/>
    </row>
    <row r="155" spans="1:14" s="51" customFormat="1" x14ac:dyDescent="0.35">
      <c r="A155" s="83">
        <f t="shared" ref="A155:A158" si="7">A154+1</f>
        <v>2</v>
      </c>
      <c r="B155" s="83"/>
      <c r="C155" s="49">
        <v>2</v>
      </c>
      <c r="D155" s="54">
        <f>(63.47)*(10.764)</f>
        <v>683.19107999999994</v>
      </c>
      <c r="E155" s="61">
        <v>0</v>
      </c>
      <c r="F155" s="61">
        <f>D155*(($F$137)+1)+(IF(E155&lt;101,E155,IF(E155&lt;201,E155/2,IF(E155&lt;=301,E155/3,E155/4))))</f>
        <v>1058.9461739999999</v>
      </c>
      <c r="G155" s="83" t="str">
        <f t="shared" ref="G155:G158" si="8">G154</f>
        <v>3rd Floor</v>
      </c>
      <c r="H155" s="83"/>
      <c r="I155" s="35"/>
      <c r="L155" s="73"/>
      <c r="M155" s="73"/>
      <c r="N155" s="35"/>
    </row>
    <row r="156" spans="1:14" s="51" customFormat="1" x14ac:dyDescent="0.35">
      <c r="A156" s="83">
        <f t="shared" si="7"/>
        <v>3</v>
      </c>
      <c r="B156" s="83"/>
      <c r="C156" s="49">
        <v>0</v>
      </c>
      <c r="D156" s="54">
        <f>(29.17)*(10.764)</f>
        <v>313.98588000000001</v>
      </c>
      <c r="E156" s="61">
        <v>0</v>
      </c>
      <c r="F156" s="61">
        <f>D156*(($F$137)+1)+(IF(E156&lt;101,E156,IF(E156&lt;201,E156/2,IF(E156&lt;=301,E156/3,E156/4))))</f>
        <v>486.67811400000005</v>
      </c>
      <c r="G156" s="83" t="str">
        <f t="shared" si="8"/>
        <v>3rd Floor</v>
      </c>
      <c r="H156" s="83"/>
      <c r="I156" s="35"/>
      <c r="L156" s="73"/>
      <c r="M156" s="73"/>
      <c r="N156" s="35"/>
    </row>
    <row r="157" spans="1:14" s="51" customFormat="1" x14ac:dyDescent="0.35">
      <c r="A157" s="83">
        <f t="shared" si="7"/>
        <v>4</v>
      </c>
      <c r="B157" s="83"/>
      <c r="C157" s="49">
        <v>2</v>
      </c>
      <c r="D157" s="54">
        <f>(55.68)*(10.764)</f>
        <v>599.33951999999999</v>
      </c>
      <c r="E157" s="61">
        <v>0</v>
      </c>
      <c r="F157" s="61">
        <f>D157*(($F$137)+1)+(IF(E157&lt;101,E157,IF(E157&lt;201,E157/2,IF(E157&lt;=301,E157/3,E157/4))))</f>
        <v>928.97625600000003</v>
      </c>
      <c r="G157" s="83" t="str">
        <f t="shared" si="8"/>
        <v>3rd Floor</v>
      </c>
      <c r="H157" s="83"/>
      <c r="I157" s="35"/>
      <c r="L157" s="73"/>
      <c r="M157" s="73"/>
      <c r="N157" s="35"/>
    </row>
    <row r="158" spans="1:14" s="51" customFormat="1" x14ac:dyDescent="0.35">
      <c r="A158" s="83">
        <f t="shared" si="7"/>
        <v>5</v>
      </c>
      <c r="B158" s="83"/>
      <c r="C158" s="49">
        <v>2</v>
      </c>
      <c r="D158" s="54">
        <f>(56.87)*(10.764)</f>
        <v>612.1486799999999</v>
      </c>
      <c r="E158" s="61">
        <v>0</v>
      </c>
      <c r="F158" s="61">
        <f>D158*(($F$137)+1)+(IF(E158&lt;101,E158,IF(E158&lt;201,E158/2,IF(E158&lt;=301,E158/3,E158/4))))</f>
        <v>948.83045399999992</v>
      </c>
      <c r="G158" s="83" t="str">
        <f t="shared" si="8"/>
        <v>3rd Floor</v>
      </c>
      <c r="H158" s="83"/>
      <c r="I158" s="35"/>
      <c r="L158" s="73"/>
      <c r="M158" s="73"/>
      <c r="N158" s="35"/>
    </row>
    <row r="159" spans="1:14" s="53" customFormat="1" x14ac:dyDescent="0.35">
      <c r="A159" s="89" t="s">
        <v>222</v>
      </c>
      <c r="B159" s="89"/>
      <c r="C159" s="89"/>
      <c r="D159" s="89"/>
      <c r="E159" s="89"/>
      <c r="F159" s="89"/>
      <c r="G159" s="89"/>
      <c r="H159" s="89"/>
      <c r="J159" s="35"/>
    </row>
    <row r="160" spans="1:14" s="53" customFormat="1" x14ac:dyDescent="0.35">
      <c r="A160" s="83">
        <v>1</v>
      </c>
      <c r="B160" s="83"/>
      <c r="C160" s="49">
        <v>3</v>
      </c>
      <c r="D160" s="54">
        <f>(82.46)*(10.764)</f>
        <v>887.59943999999984</v>
      </c>
      <c r="E160" s="61">
        <v>0</v>
      </c>
      <c r="F160" s="61">
        <f>D160*(($F$137)+1)+(IF(E160&lt;101,E160,IF(E160&lt;201,E160/2,IF(E160&lt;=301,E160/3,E160/4))))</f>
        <v>1375.7791319999999</v>
      </c>
      <c r="G160" s="83" t="str">
        <f>A159</f>
        <v>4th Floor</v>
      </c>
      <c r="H160" s="83"/>
      <c r="I160" s="35"/>
      <c r="L160" s="73"/>
      <c r="M160" s="73"/>
      <c r="N160" s="35"/>
    </row>
    <row r="161" spans="1:14" s="53" customFormat="1" x14ac:dyDescent="0.35">
      <c r="A161" s="83">
        <f t="shared" ref="A161:A164" si="9">A160+1</f>
        <v>2</v>
      </c>
      <c r="B161" s="83"/>
      <c r="C161" s="49">
        <v>2</v>
      </c>
      <c r="D161" s="54">
        <f>(63.47)*(10.764)</f>
        <v>683.19107999999994</v>
      </c>
      <c r="E161" s="61">
        <v>0</v>
      </c>
      <c r="F161" s="61">
        <f>D161*(($F$137)+1)+(IF(E161&lt;101,E161,IF(E161&lt;201,E161/2,IF(E161&lt;=301,E161/3,E161/4))))</f>
        <v>1058.9461739999999</v>
      </c>
      <c r="G161" s="83" t="str">
        <f t="shared" ref="G161:G164" si="10">G160</f>
        <v>4th Floor</v>
      </c>
      <c r="H161" s="83"/>
      <c r="I161" s="35"/>
      <c r="L161" s="73"/>
      <c r="M161" s="73"/>
      <c r="N161" s="35"/>
    </row>
    <row r="162" spans="1:14" s="53" customFormat="1" x14ac:dyDescent="0.35">
      <c r="A162" s="83">
        <f t="shared" si="9"/>
        <v>3</v>
      </c>
      <c r="B162" s="83"/>
      <c r="C162" s="49">
        <v>0</v>
      </c>
      <c r="D162" s="54">
        <f>(29.17)*(10.764)</f>
        <v>313.98588000000001</v>
      </c>
      <c r="E162" s="61">
        <v>0</v>
      </c>
      <c r="F162" s="61">
        <f>D162*(($F$137)+1)+(IF(E162&lt;101,E162,IF(E162&lt;201,E162/2,IF(E162&lt;=301,E162/3,E162/4))))</f>
        <v>486.67811400000005</v>
      </c>
      <c r="G162" s="83" t="str">
        <f t="shared" si="10"/>
        <v>4th Floor</v>
      </c>
      <c r="H162" s="83"/>
      <c r="I162" s="35"/>
      <c r="L162" s="73"/>
      <c r="M162" s="73"/>
      <c r="N162" s="35"/>
    </row>
    <row r="163" spans="1:14" s="53" customFormat="1" x14ac:dyDescent="0.35">
      <c r="A163" s="83">
        <f t="shared" si="9"/>
        <v>4</v>
      </c>
      <c r="B163" s="83"/>
      <c r="C163" s="49">
        <v>2</v>
      </c>
      <c r="D163" s="54">
        <f>(55.68)*(10.764)</f>
        <v>599.33951999999999</v>
      </c>
      <c r="E163" s="61">
        <v>0</v>
      </c>
      <c r="F163" s="61">
        <f>D163*(($F$137)+1)+(IF(E163&lt;101,E163,IF(E163&lt;201,E163/2,IF(E163&lt;=301,E163/3,E163/4))))</f>
        <v>928.97625600000003</v>
      </c>
      <c r="G163" s="83" t="str">
        <f t="shared" si="10"/>
        <v>4th Floor</v>
      </c>
      <c r="H163" s="83"/>
      <c r="I163" s="35"/>
      <c r="L163" s="73"/>
      <c r="M163" s="73"/>
      <c r="N163" s="35"/>
    </row>
    <row r="164" spans="1:14" s="53" customFormat="1" x14ac:dyDescent="0.35">
      <c r="A164" s="83">
        <f t="shared" si="9"/>
        <v>5</v>
      </c>
      <c r="B164" s="83"/>
      <c r="C164" s="49">
        <v>2</v>
      </c>
      <c r="D164" s="54">
        <f>(56.87)*(10.764)</f>
        <v>612.1486799999999</v>
      </c>
      <c r="E164" s="61">
        <v>0</v>
      </c>
      <c r="F164" s="61">
        <f>D164*(($F$137)+1)+(IF(E164&lt;101,E164,IF(E164&lt;201,E164/2,IF(E164&lt;=301,E164/3,E164/4))))</f>
        <v>948.83045399999992</v>
      </c>
      <c r="G164" s="83" t="str">
        <f t="shared" si="10"/>
        <v>4th Floor</v>
      </c>
      <c r="H164" s="83"/>
      <c r="I164" s="35"/>
      <c r="L164" s="73"/>
      <c r="M164" s="73"/>
      <c r="N164" s="35"/>
    </row>
    <row r="165" spans="1:14" s="53" customFormat="1" x14ac:dyDescent="0.35">
      <c r="A165" s="80" t="s">
        <v>223</v>
      </c>
      <c r="B165" s="81"/>
      <c r="C165" s="81"/>
      <c r="D165" s="81"/>
      <c r="E165" s="81"/>
      <c r="F165" s="81"/>
      <c r="G165" s="81"/>
      <c r="H165" s="82"/>
      <c r="J165" s="35"/>
    </row>
    <row r="166" spans="1:14" s="53" customFormat="1" x14ac:dyDescent="0.35">
      <c r="A166" s="74">
        <v>1</v>
      </c>
      <c r="B166" s="75"/>
      <c r="C166" s="49">
        <v>3</v>
      </c>
      <c r="D166" s="54">
        <f>(82.46)*(10.764)</f>
        <v>887.59943999999984</v>
      </c>
      <c r="E166" s="52">
        <v>0</v>
      </c>
      <c r="F166" s="52">
        <f>D166*(($F$137)+1)+(IF(E166&lt;101,E166,IF(E166&lt;201,E166/2,IF(E166&lt;=301,E166/3,E166/4))))</f>
        <v>1375.7791319999999</v>
      </c>
      <c r="G166" s="92" t="str">
        <f>A165</f>
        <v>5th Floor</v>
      </c>
      <c r="H166" s="93"/>
      <c r="I166" s="35"/>
      <c r="L166" s="73"/>
      <c r="M166" s="73"/>
      <c r="N166" s="35"/>
    </row>
    <row r="167" spans="1:14" s="53" customFormat="1" x14ac:dyDescent="0.35">
      <c r="A167" s="74">
        <f t="shared" ref="A167:A170" si="11">A166+1</f>
        <v>2</v>
      </c>
      <c r="B167" s="75"/>
      <c r="C167" s="49">
        <v>2</v>
      </c>
      <c r="D167" s="54">
        <f>(63.47)*(10.764)</f>
        <v>683.19107999999994</v>
      </c>
      <c r="E167" s="52">
        <v>0</v>
      </c>
      <c r="F167" s="52">
        <f>D167*(($F$137)+1)+(IF(E167&lt;101,E167,IF(E167&lt;201,E167/2,IF(E167&lt;=301,E167/3,E167/4))))</f>
        <v>1058.9461739999999</v>
      </c>
      <c r="G167" s="94" t="str">
        <f t="shared" ref="G167:G170" si="12">G166</f>
        <v>5th Floor</v>
      </c>
      <c r="H167" s="95"/>
      <c r="I167" s="35"/>
      <c r="L167" s="73"/>
      <c r="M167" s="73"/>
      <c r="N167" s="35"/>
    </row>
    <row r="168" spans="1:14" s="53" customFormat="1" x14ac:dyDescent="0.35">
      <c r="A168" s="74">
        <f t="shared" si="11"/>
        <v>3</v>
      </c>
      <c r="B168" s="75"/>
      <c r="C168" s="49">
        <v>0</v>
      </c>
      <c r="D168" s="54">
        <f>(29.17)*(10.764)</f>
        <v>313.98588000000001</v>
      </c>
      <c r="E168" s="52">
        <v>0</v>
      </c>
      <c r="F168" s="52">
        <f>D168*(($F$137)+1)+(IF(E168&lt;101,E168,IF(E168&lt;201,E168/2,IF(E168&lt;=301,E168/3,E168/4))))</f>
        <v>486.67811400000005</v>
      </c>
      <c r="G168" s="94" t="str">
        <f t="shared" si="12"/>
        <v>5th Floor</v>
      </c>
      <c r="H168" s="95"/>
      <c r="I168" s="35"/>
      <c r="L168" s="73"/>
      <c r="M168" s="73"/>
      <c r="N168" s="35"/>
    </row>
    <row r="169" spans="1:14" s="53" customFormat="1" x14ac:dyDescent="0.35">
      <c r="A169" s="74">
        <f t="shared" si="11"/>
        <v>4</v>
      </c>
      <c r="B169" s="75"/>
      <c r="C169" s="49">
        <v>2</v>
      </c>
      <c r="D169" s="54">
        <f>(55.68)*(10.764)</f>
        <v>599.33951999999999</v>
      </c>
      <c r="E169" s="52">
        <v>0</v>
      </c>
      <c r="F169" s="52">
        <f>D169*(($F$137)+1)+(IF(E169&lt;101,E169,IF(E169&lt;201,E169/2,IF(E169&lt;=301,E169/3,E169/4))))</f>
        <v>928.97625600000003</v>
      </c>
      <c r="G169" s="94" t="str">
        <f t="shared" si="12"/>
        <v>5th Floor</v>
      </c>
      <c r="H169" s="95"/>
      <c r="I169" s="35"/>
      <c r="L169" s="73"/>
      <c r="M169" s="73"/>
      <c r="N169" s="35"/>
    </row>
    <row r="170" spans="1:14" s="53" customFormat="1" x14ac:dyDescent="0.35">
      <c r="A170" s="74">
        <f t="shared" si="11"/>
        <v>5</v>
      </c>
      <c r="B170" s="75"/>
      <c r="C170" s="49">
        <v>2</v>
      </c>
      <c r="D170" s="54">
        <f>((62.51)*(10.764))</f>
        <v>672.85763999999995</v>
      </c>
      <c r="E170" s="52">
        <v>0</v>
      </c>
      <c r="F170" s="52">
        <f>D170*(($F$137)+1)+(IF(E170&lt;101,E170,IF(E170&lt;201,E170/2,IF(E170&lt;=301,E170/3,E170/4))))</f>
        <v>1042.9293419999999</v>
      </c>
      <c r="G170" s="96" t="str">
        <f t="shared" si="12"/>
        <v>5th Floor</v>
      </c>
      <c r="H170" s="97"/>
      <c r="I170" s="35"/>
      <c r="L170" s="73"/>
      <c r="M170" s="73"/>
      <c r="N170" s="35"/>
    </row>
    <row r="171" spans="1:14" s="53" customFormat="1" x14ac:dyDescent="0.35">
      <c r="A171" s="80" t="s">
        <v>224</v>
      </c>
      <c r="B171" s="81"/>
      <c r="C171" s="81"/>
      <c r="D171" s="81"/>
      <c r="E171" s="81"/>
      <c r="F171" s="81"/>
      <c r="G171" s="81"/>
      <c r="H171" s="82"/>
      <c r="J171" s="35"/>
    </row>
    <row r="172" spans="1:14" s="53" customFormat="1" x14ac:dyDescent="0.35">
      <c r="A172" s="74">
        <v>1</v>
      </c>
      <c r="B172" s="75"/>
      <c r="C172" s="49">
        <v>3</v>
      </c>
      <c r="D172" s="54">
        <f>(82.46)*(10.764)</f>
        <v>887.59943999999984</v>
      </c>
      <c r="E172" s="52">
        <v>0</v>
      </c>
      <c r="F172" s="52">
        <f>D172*(($F$137)+1)+(IF(E172&lt;101,E172,IF(E172&lt;201,E172/2,IF(E172&lt;=301,E172/3,E172/4))))</f>
        <v>1375.7791319999999</v>
      </c>
      <c r="G172" s="92" t="str">
        <f>A171</f>
        <v>6th Floor</v>
      </c>
      <c r="H172" s="93"/>
      <c r="I172" s="35"/>
      <c r="L172" s="73"/>
      <c r="M172" s="73"/>
      <c r="N172" s="35"/>
    </row>
    <row r="173" spans="1:14" s="53" customFormat="1" x14ac:dyDescent="0.35">
      <c r="A173" s="74">
        <f t="shared" ref="A173:A176" si="13">A172+1</f>
        <v>2</v>
      </c>
      <c r="B173" s="75"/>
      <c r="C173" s="49">
        <v>2</v>
      </c>
      <c r="D173" s="54">
        <f>(63.47)*(10.764)</f>
        <v>683.19107999999994</v>
      </c>
      <c r="E173" s="52">
        <v>0</v>
      </c>
      <c r="F173" s="52">
        <f>D173*(($F$137)+1)+(IF(E173&lt;101,E173,IF(E173&lt;201,E173/2,IF(E173&lt;=301,E173/3,E173/4))))</f>
        <v>1058.9461739999999</v>
      </c>
      <c r="G173" s="94" t="str">
        <f t="shared" ref="G173:G176" si="14">G172</f>
        <v>6th Floor</v>
      </c>
      <c r="H173" s="95"/>
      <c r="I173" s="35"/>
      <c r="L173" s="73"/>
      <c r="M173" s="73"/>
      <c r="N173" s="35"/>
    </row>
    <row r="174" spans="1:14" s="53" customFormat="1" x14ac:dyDescent="0.35">
      <c r="A174" s="74">
        <f t="shared" si="13"/>
        <v>3</v>
      </c>
      <c r="B174" s="75"/>
      <c r="C174" s="49">
        <v>1</v>
      </c>
      <c r="D174" s="54">
        <f>(42.53)*(10.764)</f>
        <v>457.79291999999998</v>
      </c>
      <c r="E174" s="52">
        <v>0</v>
      </c>
      <c r="F174" s="52">
        <f>D174*(($F$137)+1)+(IF(E174&lt;101,E174,IF(E174&lt;201,E174/2,IF(E174&lt;=301,E174/3,E174/4))))</f>
        <v>709.579026</v>
      </c>
      <c r="G174" s="94" t="str">
        <f t="shared" si="14"/>
        <v>6th Floor</v>
      </c>
      <c r="H174" s="95"/>
      <c r="I174" s="35"/>
      <c r="L174" s="73"/>
      <c r="M174" s="73"/>
      <c r="N174" s="35"/>
    </row>
    <row r="175" spans="1:14" s="53" customFormat="1" x14ac:dyDescent="0.35">
      <c r="A175" s="74">
        <f t="shared" si="13"/>
        <v>4</v>
      </c>
      <c r="B175" s="75"/>
      <c r="C175" s="49">
        <v>1</v>
      </c>
      <c r="D175" s="54">
        <f>(39.11)*(10.764)</f>
        <v>420.98003999999997</v>
      </c>
      <c r="E175" s="52">
        <v>0</v>
      </c>
      <c r="F175" s="52">
        <f>D175*(($F$137)+1)+(IF(E175&lt;101,E175,IF(E175&lt;201,E175/2,IF(E175&lt;=301,E175/3,E175/4))))</f>
        <v>652.51906199999996</v>
      </c>
      <c r="G175" s="94" t="str">
        <f t="shared" si="14"/>
        <v>6th Floor</v>
      </c>
      <c r="H175" s="95"/>
      <c r="I175" s="35"/>
      <c r="L175" s="73"/>
      <c r="M175" s="73"/>
      <c r="N175" s="35"/>
    </row>
    <row r="176" spans="1:14" s="53" customFormat="1" x14ac:dyDescent="0.35">
      <c r="A176" s="74">
        <f t="shared" si="13"/>
        <v>5</v>
      </c>
      <c r="B176" s="75"/>
      <c r="C176" s="49">
        <v>2</v>
      </c>
      <c r="D176" s="54">
        <f>(62.51)*(10.764)</f>
        <v>672.85763999999995</v>
      </c>
      <c r="E176" s="52">
        <v>0</v>
      </c>
      <c r="F176" s="52">
        <f>D176*(($F$137)+1)+(IF(E176&lt;101,E176,IF(E176&lt;201,E176/2,IF(E176&lt;=301,E176/3,E176/4))))</f>
        <v>1042.9293419999999</v>
      </c>
      <c r="G176" s="96" t="str">
        <f t="shared" si="14"/>
        <v>6th Floor</v>
      </c>
      <c r="H176" s="97"/>
      <c r="I176" s="35"/>
      <c r="L176" s="73"/>
      <c r="M176" s="73"/>
      <c r="N176" s="35"/>
    </row>
    <row r="177" spans="1:14" s="53" customFormat="1" x14ac:dyDescent="0.35">
      <c r="A177" s="80" t="s">
        <v>226</v>
      </c>
      <c r="B177" s="81"/>
      <c r="C177" s="81"/>
      <c r="D177" s="81"/>
      <c r="E177" s="81"/>
      <c r="F177" s="81"/>
      <c r="G177" s="81"/>
      <c r="H177" s="82"/>
      <c r="J177" s="35"/>
    </row>
    <row r="178" spans="1:14" s="53" customFormat="1" x14ac:dyDescent="0.35">
      <c r="A178" s="74">
        <v>1</v>
      </c>
      <c r="B178" s="75"/>
      <c r="C178" s="76" t="s">
        <v>225</v>
      </c>
      <c r="D178" s="77"/>
      <c r="E178" s="77"/>
      <c r="F178" s="78"/>
      <c r="G178" s="92" t="str">
        <f>A177</f>
        <v>7th Floor (Part Refuge Area)</v>
      </c>
      <c r="H178" s="93"/>
      <c r="I178" s="35"/>
      <c r="L178" s="73"/>
      <c r="M178" s="73"/>
      <c r="N178" s="35"/>
    </row>
    <row r="179" spans="1:14" s="53" customFormat="1" x14ac:dyDescent="0.35">
      <c r="A179" s="74">
        <f t="shared" ref="A179:A182" si="15">A178+1</f>
        <v>2</v>
      </c>
      <c r="B179" s="75"/>
      <c r="C179" s="49">
        <v>2</v>
      </c>
      <c r="D179" s="54">
        <f>(63.47)*(10.764)</f>
        <v>683.19107999999994</v>
      </c>
      <c r="E179" s="52">
        <v>0</v>
      </c>
      <c r="F179" s="52">
        <f>D179*(($F$137)+1)+(IF(E179&lt;101,E179,IF(E179&lt;201,E179/2,IF(E179&lt;=301,E179/3,E179/4))))</f>
        <v>1058.9461739999999</v>
      </c>
      <c r="G179" s="94" t="str">
        <f t="shared" ref="G179:G182" si="16">G178</f>
        <v>7th Floor (Part Refuge Area)</v>
      </c>
      <c r="H179" s="95"/>
      <c r="I179" s="35"/>
      <c r="L179" s="73"/>
      <c r="M179" s="73"/>
      <c r="N179" s="35"/>
    </row>
    <row r="180" spans="1:14" s="53" customFormat="1" x14ac:dyDescent="0.35">
      <c r="A180" s="74">
        <f t="shared" si="15"/>
        <v>3</v>
      </c>
      <c r="B180" s="75"/>
      <c r="C180" s="49">
        <v>1</v>
      </c>
      <c r="D180" s="54">
        <f>(42.53)*(10.764)</f>
        <v>457.79291999999998</v>
      </c>
      <c r="E180" s="52">
        <v>0</v>
      </c>
      <c r="F180" s="52">
        <f>D180*(($F$137)+1)+(IF(E180&lt;101,E180,IF(E180&lt;201,E180/2,IF(E180&lt;=301,E180/3,E180/4))))</f>
        <v>709.579026</v>
      </c>
      <c r="G180" s="94" t="str">
        <f t="shared" si="16"/>
        <v>7th Floor (Part Refuge Area)</v>
      </c>
      <c r="H180" s="95"/>
      <c r="I180" s="35"/>
      <c r="L180" s="73"/>
      <c r="M180" s="73"/>
      <c r="N180" s="35"/>
    </row>
    <row r="181" spans="1:14" s="53" customFormat="1" x14ac:dyDescent="0.35">
      <c r="A181" s="74">
        <f t="shared" si="15"/>
        <v>4</v>
      </c>
      <c r="B181" s="75"/>
      <c r="C181" s="49">
        <v>1</v>
      </c>
      <c r="D181" s="54">
        <f>(39.11)*(10.764)</f>
        <v>420.98003999999997</v>
      </c>
      <c r="E181" s="52">
        <v>0</v>
      </c>
      <c r="F181" s="52">
        <f>D181*(($F$137)+1)+(IF(E181&lt;101,E181,IF(E181&lt;201,E181/2,IF(E181&lt;=301,E181/3,E181/4))))</f>
        <v>652.51906199999996</v>
      </c>
      <c r="G181" s="94" t="str">
        <f t="shared" si="16"/>
        <v>7th Floor (Part Refuge Area)</v>
      </c>
      <c r="H181" s="95"/>
      <c r="I181" s="35"/>
      <c r="L181" s="73"/>
      <c r="M181" s="73"/>
      <c r="N181" s="35"/>
    </row>
    <row r="182" spans="1:14" s="53" customFormat="1" x14ac:dyDescent="0.35">
      <c r="A182" s="74">
        <f t="shared" si="15"/>
        <v>5</v>
      </c>
      <c r="B182" s="75"/>
      <c r="C182" s="49">
        <v>2</v>
      </c>
      <c r="D182" s="54">
        <f>((62.51)*(10.764))</f>
        <v>672.85763999999995</v>
      </c>
      <c r="E182" s="52">
        <v>0</v>
      </c>
      <c r="F182" s="52">
        <f>D182*(($F$137)+1)+(IF(E182&lt;101,E182,IF(E182&lt;201,E182/2,IF(E182&lt;=301,E182/3,E182/4))))</f>
        <v>1042.9293419999999</v>
      </c>
      <c r="G182" s="96" t="str">
        <f t="shared" si="16"/>
        <v>7th Floor (Part Refuge Area)</v>
      </c>
      <c r="H182" s="97"/>
      <c r="I182" s="35"/>
      <c r="L182" s="73"/>
      <c r="M182" s="73"/>
      <c r="N182" s="35"/>
    </row>
    <row r="183" spans="1:14" s="53" customFormat="1" x14ac:dyDescent="0.35">
      <c r="A183" s="80" t="s">
        <v>227</v>
      </c>
      <c r="B183" s="81"/>
      <c r="C183" s="81"/>
      <c r="D183" s="81"/>
      <c r="E183" s="81"/>
      <c r="F183" s="81"/>
      <c r="G183" s="81"/>
      <c r="H183" s="82"/>
      <c r="J183" s="35"/>
    </row>
    <row r="184" spans="1:14" s="53" customFormat="1" x14ac:dyDescent="0.35">
      <c r="A184" s="74">
        <v>1</v>
      </c>
      <c r="B184" s="75"/>
      <c r="C184" s="49">
        <v>3</v>
      </c>
      <c r="D184" s="54">
        <f>(82.46)*(10.764)</f>
        <v>887.59943999999984</v>
      </c>
      <c r="E184" s="52">
        <v>0</v>
      </c>
      <c r="F184" s="52">
        <f>D184*(($F$137)+1)+(IF(E184&lt;101,E184,IF(E184&lt;201,E184/2,IF(E184&lt;=301,E184/3,E184/4))))</f>
        <v>1375.7791319999999</v>
      </c>
      <c r="G184" s="92" t="str">
        <f>A183</f>
        <v>8th Floor</v>
      </c>
      <c r="H184" s="93"/>
      <c r="I184" s="35"/>
      <c r="L184" s="73"/>
      <c r="M184" s="73"/>
      <c r="N184" s="35"/>
    </row>
    <row r="185" spans="1:14" s="53" customFormat="1" x14ac:dyDescent="0.35">
      <c r="A185" s="74">
        <f t="shared" ref="A185:A188" si="17">A184+1</f>
        <v>2</v>
      </c>
      <c r="B185" s="75"/>
      <c r="C185" s="49">
        <v>2</v>
      </c>
      <c r="D185" s="54">
        <f>(63.47)*(10.764)</f>
        <v>683.19107999999994</v>
      </c>
      <c r="E185" s="52">
        <v>0</v>
      </c>
      <c r="F185" s="52">
        <f>D185*(($F$137)+1)+(IF(E185&lt;101,E185,IF(E185&lt;201,E185/2,IF(E185&lt;=301,E185/3,E185/4))))</f>
        <v>1058.9461739999999</v>
      </c>
      <c r="G185" s="94" t="str">
        <f t="shared" ref="G185:G188" si="18">G184</f>
        <v>8th Floor</v>
      </c>
      <c r="H185" s="95"/>
      <c r="I185" s="35"/>
      <c r="L185" s="73"/>
      <c r="M185" s="73"/>
      <c r="N185" s="35"/>
    </row>
    <row r="186" spans="1:14" s="53" customFormat="1" x14ac:dyDescent="0.35">
      <c r="A186" s="74">
        <f t="shared" si="17"/>
        <v>3</v>
      </c>
      <c r="B186" s="75"/>
      <c r="C186" s="49">
        <v>1</v>
      </c>
      <c r="D186" s="54">
        <f>(42.53)*(10.764)</f>
        <v>457.79291999999998</v>
      </c>
      <c r="E186" s="52">
        <v>0</v>
      </c>
      <c r="F186" s="52">
        <f>D186*(($F$137)+1)+(IF(E186&lt;101,E186,IF(E186&lt;201,E186/2,IF(E186&lt;=301,E186/3,E186/4))))</f>
        <v>709.579026</v>
      </c>
      <c r="G186" s="94" t="str">
        <f t="shared" si="18"/>
        <v>8th Floor</v>
      </c>
      <c r="H186" s="95"/>
      <c r="I186" s="35"/>
      <c r="L186" s="73"/>
      <c r="M186" s="73"/>
      <c r="N186" s="35"/>
    </row>
    <row r="187" spans="1:14" s="53" customFormat="1" x14ac:dyDescent="0.35">
      <c r="A187" s="74">
        <f t="shared" si="17"/>
        <v>4</v>
      </c>
      <c r="B187" s="75"/>
      <c r="C187" s="49">
        <v>1</v>
      </c>
      <c r="D187" s="54">
        <f>(39.11)*(10.764)</f>
        <v>420.98003999999997</v>
      </c>
      <c r="E187" s="52">
        <v>0</v>
      </c>
      <c r="F187" s="52">
        <f>D187*(($F$137)+1)+(IF(E187&lt;101,E187,IF(E187&lt;201,E187/2,IF(E187&lt;=301,E187/3,E187/4))))</f>
        <v>652.51906199999996</v>
      </c>
      <c r="G187" s="94" t="str">
        <f t="shared" si="18"/>
        <v>8th Floor</v>
      </c>
      <c r="H187" s="95"/>
      <c r="I187" s="35"/>
      <c r="L187" s="73"/>
      <c r="M187" s="73"/>
      <c r="N187" s="35"/>
    </row>
    <row r="188" spans="1:14" s="53" customFormat="1" x14ac:dyDescent="0.35">
      <c r="A188" s="74">
        <f t="shared" si="17"/>
        <v>5</v>
      </c>
      <c r="B188" s="75"/>
      <c r="C188" s="49">
        <v>2</v>
      </c>
      <c r="D188" s="54">
        <f>(62.51)*(10.764)</f>
        <v>672.85763999999995</v>
      </c>
      <c r="E188" s="52">
        <v>0</v>
      </c>
      <c r="F188" s="52">
        <f>D188*(($F$137)+1)+(IF(E188&lt;101,E188,IF(E188&lt;201,E188/2,IF(E188&lt;=301,E188/3,E188/4))))</f>
        <v>1042.9293419999999</v>
      </c>
      <c r="G188" s="96" t="str">
        <f t="shared" si="18"/>
        <v>8th Floor</v>
      </c>
      <c r="H188" s="97"/>
      <c r="I188" s="35"/>
      <c r="L188" s="73"/>
      <c r="M188" s="73"/>
      <c r="N188" s="35"/>
    </row>
    <row r="189" spans="1:14" s="53" customFormat="1" x14ac:dyDescent="0.35">
      <c r="A189" s="80" t="s">
        <v>228</v>
      </c>
      <c r="B189" s="81"/>
      <c r="C189" s="81"/>
      <c r="D189" s="81"/>
      <c r="E189" s="81"/>
      <c r="F189" s="81"/>
      <c r="G189" s="81"/>
      <c r="H189" s="82"/>
      <c r="J189" s="35"/>
    </row>
    <row r="190" spans="1:14" s="53" customFormat="1" x14ac:dyDescent="0.35">
      <c r="A190" s="74">
        <v>1</v>
      </c>
      <c r="B190" s="75"/>
      <c r="C190" s="49">
        <v>3</v>
      </c>
      <c r="D190" s="54">
        <f>(85.71)*(10.764)</f>
        <v>922.58243999999991</v>
      </c>
      <c r="E190" s="52">
        <v>0</v>
      </c>
      <c r="F190" s="52">
        <f>D190*(($F$137)+1)+(IF(E190&lt;101,E190,IF(E190&lt;201,E190/2,IF(E190&lt;=301,E190/3,E190/4))))</f>
        <v>1430.0027819999998</v>
      </c>
      <c r="G190" s="92" t="str">
        <f>A189</f>
        <v>9th Floor</v>
      </c>
      <c r="H190" s="93"/>
      <c r="I190" s="35"/>
      <c r="L190" s="73"/>
      <c r="M190" s="73"/>
      <c r="N190" s="35"/>
    </row>
    <row r="191" spans="1:14" s="53" customFormat="1" x14ac:dyDescent="0.35">
      <c r="A191" s="74">
        <f t="shared" ref="A191:A194" si="19">A190+1</f>
        <v>2</v>
      </c>
      <c r="B191" s="75"/>
      <c r="C191" s="49">
        <v>2</v>
      </c>
      <c r="D191" s="54">
        <f>(63.47)*(10.764)</f>
        <v>683.19107999999994</v>
      </c>
      <c r="E191" s="52">
        <v>0</v>
      </c>
      <c r="F191" s="52">
        <f>D191*(($F$137)+1)+(IF(E191&lt;101,E191,IF(E191&lt;201,E191/2,IF(E191&lt;=301,E191/3,E191/4))))</f>
        <v>1058.9461739999999</v>
      </c>
      <c r="G191" s="94" t="str">
        <f t="shared" ref="G191:G194" si="20">G190</f>
        <v>9th Floor</v>
      </c>
      <c r="H191" s="95"/>
      <c r="I191" s="35"/>
      <c r="L191" s="73"/>
      <c r="M191" s="73"/>
      <c r="N191" s="35"/>
    </row>
    <row r="192" spans="1:14" s="53" customFormat="1" x14ac:dyDescent="0.35">
      <c r="A192" s="74">
        <f t="shared" si="19"/>
        <v>3</v>
      </c>
      <c r="B192" s="75"/>
      <c r="C192" s="49">
        <v>1</v>
      </c>
      <c r="D192" s="54">
        <f>(42.53)*(10.764)</f>
        <v>457.79291999999998</v>
      </c>
      <c r="E192" s="52">
        <v>0</v>
      </c>
      <c r="F192" s="52">
        <f>D192*(($F$137)+1)+(IF(E192&lt;101,E192,IF(E192&lt;201,E192/2,IF(E192&lt;=301,E192/3,E192/4))))</f>
        <v>709.579026</v>
      </c>
      <c r="G192" s="94" t="str">
        <f t="shared" si="20"/>
        <v>9th Floor</v>
      </c>
      <c r="H192" s="95"/>
      <c r="I192" s="35"/>
      <c r="L192" s="73"/>
      <c r="M192" s="73"/>
      <c r="N192" s="35"/>
    </row>
    <row r="193" spans="1:14" s="53" customFormat="1" x14ac:dyDescent="0.35">
      <c r="A193" s="74">
        <f t="shared" si="19"/>
        <v>4</v>
      </c>
      <c r="B193" s="75"/>
      <c r="C193" s="49">
        <v>1</v>
      </c>
      <c r="D193" s="54">
        <f>(39.11)*(10.764)</f>
        <v>420.98003999999997</v>
      </c>
      <c r="E193" s="52">
        <v>0</v>
      </c>
      <c r="F193" s="52">
        <f>D193*(($F$137)+1)+(IF(E193&lt;101,E193,IF(E193&lt;201,E193/2,IF(E193&lt;=301,E193/3,E193/4))))</f>
        <v>652.51906199999996</v>
      </c>
      <c r="G193" s="94" t="str">
        <f t="shared" si="20"/>
        <v>9th Floor</v>
      </c>
      <c r="H193" s="95"/>
      <c r="I193" s="35"/>
      <c r="L193" s="73"/>
      <c r="M193" s="73"/>
      <c r="N193" s="35"/>
    </row>
    <row r="194" spans="1:14" s="53" customFormat="1" x14ac:dyDescent="0.35">
      <c r="A194" s="74">
        <f t="shared" si="19"/>
        <v>5</v>
      </c>
      <c r="B194" s="75"/>
      <c r="C194" s="49">
        <v>2</v>
      </c>
      <c r="D194" s="54">
        <f>(62.51)*(10.764)</f>
        <v>672.85763999999995</v>
      </c>
      <c r="E194" s="52">
        <v>0</v>
      </c>
      <c r="F194" s="52">
        <f>D194*(($F$137)+1)+(IF(E194&lt;101,E194,IF(E194&lt;201,E194/2,IF(E194&lt;=301,E194/3,E194/4))))</f>
        <v>1042.9293419999999</v>
      </c>
      <c r="G194" s="96" t="str">
        <f t="shared" si="20"/>
        <v>9th Floor</v>
      </c>
      <c r="H194" s="97"/>
      <c r="I194" s="35"/>
      <c r="L194" s="73"/>
      <c r="M194" s="73"/>
      <c r="N194" s="35"/>
    </row>
    <row r="195" spans="1:14" s="53" customFormat="1" x14ac:dyDescent="0.35">
      <c r="A195" s="89" t="s">
        <v>229</v>
      </c>
      <c r="B195" s="89"/>
      <c r="C195" s="89"/>
      <c r="D195" s="89"/>
      <c r="E195" s="89"/>
      <c r="F195" s="89"/>
      <c r="G195" s="89"/>
      <c r="H195" s="89"/>
      <c r="J195" s="35"/>
    </row>
    <row r="196" spans="1:14" s="53" customFormat="1" x14ac:dyDescent="0.35">
      <c r="A196" s="83">
        <v>1</v>
      </c>
      <c r="B196" s="83"/>
      <c r="C196" s="49">
        <v>3</v>
      </c>
      <c r="D196" s="54">
        <f>(85.71)*(10.764)</f>
        <v>922.58243999999991</v>
      </c>
      <c r="E196" s="61">
        <v>0</v>
      </c>
      <c r="F196" s="61">
        <f>D196*(($F$137)+1)+(IF(E196&lt;101,E196,IF(E196&lt;201,E196/2,IF(E196&lt;=301,E196/3,E196/4))))</f>
        <v>1430.0027819999998</v>
      </c>
      <c r="G196" s="83" t="str">
        <f>A195</f>
        <v>10th Floor</v>
      </c>
      <c r="H196" s="83"/>
      <c r="I196" s="35"/>
      <c r="L196" s="73"/>
      <c r="M196" s="73"/>
      <c r="N196" s="35"/>
    </row>
    <row r="197" spans="1:14" s="53" customFormat="1" x14ac:dyDescent="0.35">
      <c r="A197" s="83">
        <f t="shared" ref="A197:A200" si="21">A196+1</f>
        <v>2</v>
      </c>
      <c r="B197" s="83"/>
      <c r="C197" s="49">
        <v>2</v>
      </c>
      <c r="D197" s="54">
        <f>(63.47)*(10.764)</f>
        <v>683.19107999999994</v>
      </c>
      <c r="E197" s="61">
        <v>0</v>
      </c>
      <c r="F197" s="61">
        <f>D197*(($F$137)+1)+(IF(E197&lt;101,E197,IF(E197&lt;201,E197/2,IF(E197&lt;=301,E197/3,E197/4))))</f>
        <v>1058.9461739999999</v>
      </c>
      <c r="G197" s="83" t="str">
        <f t="shared" ref="G197:G200" si="22">G196</f>
        <v>10th Floor</v>
      </c>
      <c r="H197" s="83"/>
      <c r="I197" s="35"/>
      <c r="L197" s="73"/>
      <c r="M197" s="73"/>
      <c r="N197" s="35"/>
    </row>
    <row r="198" spans="1:14" s="53" customFormat="1" x14ac:dyDescent="0.35">
      <c r="A198" s="83">
        <f t="shared" si="21"/>
        <v>3</v>
      </c>
      <c r="B198" s="83"/>
      <c r="C198" s="49">
        <v>1</v>
      </c>
      <c r="D198" s="54">
        <f>(40.52)*(10.764)</f>
        <v>436.15728000000001</v>
      </c>
      <c r="E198" s="61">
        <v>0</v>
      </c>
      <c r="F198" s="61">
        <f>D198*(($F$137)+1)+(IF(E198&lt;101,E198,IF(E198&lt;201,E198/2,IF(E198&lt;=301,E198/3,E198/4))))</f>
        <v>676.04378400000007</v>
      </c>
      <c r="G198" s="83" t="str">
        <f t="shared" si="22"/>
        <v>10th Floor</v>
      </c>
      <c r="H198" s="83"/>
      <c r="I198" s="35"/>
      <c r="L198" s="73"/>
      <c r="M198" s="73"/>
      <c r="N198" s="35"/>
    </row>
    <row r="199" spans="1:14" s="53" customFormat="1" x14ac:dyDescent="0.35">
      <c r="A199" s="83">
        <f t="shared" si="21"/>
        <v>4</v>
      </c>
      <c r="B199" s="83"/>
      <c r="C199" s="49">
        <v>1</v>
      </c>
      <c r="D199" s="54">
        <f>(39.11)*(10.764)</f>
        <v>420.98003999999997</v>
      </c>
      <c r="E199" s="61">
        <v>0</v>
      </c>
      <c r="F199" s="61">
        <f>D199*(($F$137)+1)+(IF(E199&lt;101,E199,IF(E199&lt;201,E199/2,IF(E199&lt;=301,E199/3,E199/4))))</f>
        <v>652.51906199999996</v>
      </c>
      <c r="G199" s="83" t="str">
        <f t="shared" si="22"/>
        <v>10th Floor</v>
      </c>
      <c r="H199" s="83"/>
      <c r="I199" s="35"/>
      <c r="L199" s="73"/>
      <c r="M199" s="73"/>
      <c r="N199" s="35"/>
    </row>
    <row r="200" spans="1:14" s="53" customFormat="1" x14ac:dyDescent="0.35">
      <c r="A200" s="83">
        <f t="shared" si="21"/>
        <v>5</v>
      </c>
      <c r="B200" s="83"/>
      <c r="C200" s="49">
        <v>2</v>
      </c>
      <c r="D200" s="54">
        <f>(62.51)*(10.764)</f>
        <v>672.85763999999995</v>
      </c>
      <c r="E200" s="61">
        <v>0</v>
      </c>
      <c r="F200" s="61">
        <f>D200*(($F$137)+1)+(IF(E200&lt;101,E200,IF(E200&lt;201,E200/2,IF(E200&lt;=301,E200/3,E200/4))))</f>
        <v>1042.9293419999999</v>
      </c>
      <c r="G200" s="83" t="str">
        <f t="shared" si="22"/>
        <v>10th Floor</v>
      </c>
      <c r="H200" s="83"/>
      <c r="I200" s="35"/>
      <c r="L200" s="73"/>
      <c r="M200" s="73"/>
      <c r="N200" s="35"/>
    </row>
    <row r="201" spans="1:14" s="53" customFormat="1" x14ac:dyDescent="0.35">
      <c r="A201" s="89" t="s">
        <v>230</v>
      </c>
      <c r="B201" s="89"/>
      <c r="C201" s="89"/>
      <c r="D201" s="89"/>
      <c r="E201" s="89"/>
      <c r="F201" s="89"/>
      <c r="G201" s="89"/>
      <c r="H201" s="89"/>
      <c r="J201" s="35"/>
    </row>
    <row r="202" spans="1:14" s="53" customFormat="1" x14ac:dyDescent="0.35">
      <c r="A202" s="83">
        <v>1</v>
      </c>
      <c r="B202" s="83"/>
      <c r="C202" s="49">
        <v>3</v>
      </c>
      <c r="D202" s="54">
        <f>(85.71)*(10.764)</f>
        <v>922.58243999999991</v>
      </c>
      <c r="E202" s="61">
        <v>0</v>
      </c>
      <c r="F202" s="61">
        <f>D202*(($F$137)+1)+(IF(E202&lt;101,E202,IF(E202&lt;201,E202/2,IF(E202&lt;=301,E202/3,E202/4))))</f>
        <v>1430.0027819999998</v>
      </c>
      <c r="G202" s="83" t="str">
        <f>A201</f>
        <v>11th to 13th Floor</v>
      </c>
      <c r="H202" s="83"/>
      <c r="I202" s="35"/>
      <c r="L202" s="73"/>
      <c r="M202" s="73"/>
      <c r="N202" s="35"/>
    </row>
    <row r="203" spans="1:14" s="53" customFormat="1" x14ac:dyDescent="0.35">
      <c r="A203" s="83">
        <f t="shared" ref="A203:A206" si="23">A202+1</f>
        <v>2</v>
      </c>
      <c r="B203" s="83"/>
      <c r="C203" s="49">
        <v>2</v>
      </c>
      <c r="D203" s="54">
        <f>(63.47)*(10.764)</f>
        <v>683.19107999999994</v>
      </c>
      <c r="E203" s="61">
        <v>0</v>
      </c>
      <c r="F203" s="61">
        <f>D203*(($F$137)+1)+(IF(E203&lt;101,E203,IF(E203&lt;201,E203/2,IF(E203&lt;=301,E203/3,E203/4))))</f>
        <v>1058.9461739999999</v>
      </c>
      <c r="G203" s="83" t="str">
        <f t="shared" ref="G203:G206" si="24">G202</f>
        <v>11th to 13th Floor</v>
      </c>
      <c r="H203" s="83"/>
      <c r="I203" s="35"/>
      <c r="L203" s="73"/>
      <c r="M203" s="73"/>
      <c r="N203" s="35"/>
    </row>
    <row r="204" spans="1:14" s="53" customFormat="1" x14ac:dyDescent="0.35">
      <c r="A204" s="83">
        <f t="shared" si="23"/>
        <v>3</v>
      </c>
      <c r="B204" s="83"/>
      <c r="C204" s="49">
        <v>1</v>
      </c>
      <c r="D204" s="54">
        <f>(40.52)*(10.764)</f>
        <v>436.15728000000001</v>
      </c>
      <c r="E204" s="61">
        <v>0</v>
      </c>
      <c r="F204" s="61">
        <f>D204*(($F$137)+1)+(IF(E204&lt;101,E204,IF(E204&lt;201,E204/2,IF(E204&lt;=301,E204/3,E204/4))))</f>
        <v>676.04378400000007</v>
      </c>
      <c r="G204" s="83" t="str">
        <f t="shared" si="24"/>
        <v>11th to 13th Floor</v>
      </c>
      <c r="H204" s="83"/>
      <c r="I204" s="35"/>
      <c r="L204" s="73"/>
      <c r="M204" s="73"/>
      <c r="N204" s="35"/>
    </row>
    <row r="205" spans="1:14" s="53" customFormat="1" x14ac:dyDescent="0.35">
      <c r="A205" s="83">
        <f t="shared" si="23"/>
        <v>4</v>
      </c>
      <c r="B205" s="83"/>
      <c r="C205" s="49">
        <v>1</v>
      </c>
      <c r="D205" s="54">
        <f>(39.11)*(10.764)</f>
        <v>420.98003999999997</v>
      </c>
      <c r="E205" s="61">
        <v>0</v>
      </c>
      <c r="F205" s="61">
        <f>D205*(($F$137)+1)+(IF(E205&lt;101,E205,IF(E205&lt;201,E205/2,IF(E205&lt;=301,E205/3,E205/4))))</f>
        <v>652.51906199999996</v>
      </c>
      <c r="G205" s="83" t="str">
        <f t="shared" si="24"/>
        <v>11th to 13th Floor</v>
      </c>
      <c r="H205" s="83"/>
      <c r="I205" s="35"/>
      <c r="L205" s="73"/>
      <c r="M205" s="73"/>
      <c r="N205" s="35"/>
    </row>
    <row r="206" spans="1:14" s="53" customFormat="1" x14ac:dyDescent="0.35">
      <c r="A206" s="83">
        <f t="shared" si="23"/>
        <v>5</v>
      </c>
      <c r="B206" s="83"/>
      <c r="C206" s="49">
        <v>2</v>
      </c>
      <c r="D206" s="54">
        <f>(62.51)*(10.764)</f>
        <v>672.85763999999995</v>
      </c>
      <c r="E206" s="61">
        <v>0</v>
      </c>
      <c r="F206" s="61">
        <f>D206*(($F$137)+1)+(IF(E206&lt;101,E206,IF(E206&lt;201,E206/2,IF(E206&lt;=301,E206/3,E206/4))))</f>
        <v>1042.9293419999999</v>
      </c>
      <c r="G206" s="83" t="str">
        <f t="shared" si="24"/>
        <v>11th to 13th Floor</v>
      </c>
      <c r="H206" s="83"/>
      <c r="I206" s="35"/>
      <c r="L206" s="73"/>
      <c r="M206" s="73"/>
      <c r="N206" s="35"/>
    </row>
    <row r="207" spans="1:14" s="53" customFormat="1" x14ac:dyDescent="0.35">
      <c r="A207" s="80" t="s">
        <v>231</v>
      </c>
      <c r="B207" s="81"/>
      <c r="C207" s="81"/>
      <c r="D207" s="81"/>
      <c r="E207" s="81"/>
      <c r="F207" s="81"/>
      <c r="G207" s="81"/>
      <c r="H207" s="82"/>
      <c r="J207" s="35"/>
    </row>
    <row r="208" spans="1:14" s="53" customFormat="1" x14ac:dyDescent="0.35">
      <c r="A208" s="74">
        <v>1</v>
      </c>
      <c r="B208" s="75"/>
      <c r="C208" s="76" t="s">
        <v>225</v>
      </c>
      <c r="D208" s="77"/>
      <c r="E208" s="77"/>
      <c r="F208" s="78"/>
      <c r="G208" s="92" t="str">
        <f>A207</f>
        <v>14th Floor (Part Refuge Area)</v>
      </c>
      <c r="H208" s="93"/>
      <c r="I208" s="35"/>
      <c r="L208" s="73"/>
      <c r="M208" s="73"/>
      <c r="N208" s="35"/>
    </row>
    <row r="209" spans="1:14" s="53" customFormat="1" x14ac:dyDescent="0.35">
      <c r="A209" s="74">
        <f t="shared" ref="A209:A212" si="25">A208+1</f>
        <v>2</v>
      </c>
      <c r="B209" s="75"/>
      <c r="C209" s="49">
        <v>2</v>
      </c>
      <c r="D209" s="54">
        <f>(63.47)*(10.764)</f>
        <v>683.19107999999994</v>
      </c>
      <c r="E209" s="52">
        <v>0</v>
      </c>
      <c r="F209" s="52">
        <f>D209*(($F$137)+1)+(IF(E209&lt;101,E209,IF(E209&lt;201,E209/2,IF(E209&lt;=301,E209/3,E209/4))))</f>
        <v>1058.9461739999999</v>
      </c>
      <c r="G209" s="94" t="str">
        <f t="shared" ref="G209:G212" si="26">G208</f>
        <v>14th Floor (Part Refuge Area)</v>
      </c>
      <c r="H209" s="95"/>
      <c r="I209" s="35"/>
      <c r="L209" s="73"/>
      <c r="M209" s="73"/>
      <c r="N209" s="35"/>
    </row>
    <row r="210" spans="1:14" s="53" customFormat="1" x14ac:dyDescent="0.35">
      <c r="A210" s="74">
        <f t="shared" si="25"/>
        <v>3</v>
      </c>
      <c r="B210" s="75"/>
      <c r="C210" s="49">
        <v>1</v>
      </c>
      <c r="D210" s="54">
        <f>(40.52)*(10.764)</f>
        <v>436.15728000000001</v>
      </c>
      <c r="E210" s="52">
        <v>0</v>
      </c>
      <c r="F210" s="52">
        <f>D210*(($F$137)+1)+(IF(E210&lt;101,E210,IF(E210&lt;201,E210/2,IF(E210&lt;=301,E210/3,E210/4))))</f>
        <v>676.04378400000007</v>
      </c>
      <c r="G210" s="94" t="str">
        <f t="shared" si="26"/>
        <v>14th Floor (Part Refuge Area)</v>
      </c>
      <c r="H210" s="95"/>
      <c r="I210" s="35"/>
      <c r="L210" s="73"/>
      <c r="M210" s="73"/>
      <c r="N210" s="35"/>
    </row>
    <row r="211" spans="1:14" s="53" customFormat="1" x14ac:dyDescent="0.35">
      <c r="A211" s="74">
        <f t="shared" si="25"/>
        <v>4</v>
      </c>
      <c r="B211" s="75"/>
      <c r="C211" s="49">
        <v>1</v>
      </c>
      <c r="D211" s="54">
        <f>(39.11)*(10.764)</f>
        <v>420.98003999999997</v>
      </c>
      <c r="E211" s="52">
        <v>0</v>
      </c>
      <c r="F211" s="52">
        <f>D211*(($F$137)+1)+(IF(E211&lt;101,E211,IF(E211&lt;201,E211/2,IF(E211&lt;=301,E211/3,E211/4))))</f>
        <v>652.51906199999996</v>
      </c>
      <c r="G211" s="94" t="str">
        <f t="shared" si="26"/>
        <v>14th Floor (Part Refuge Area)</v>
      </c>
      <c r="H211" s="95"/>
      <c r="I211" s="35"/>
      <c r="L211" s="73"/>
      <c r="M211" s="73"/>
      <c r="N211" s="35"/>
    </row>
    <row r="212" spans="1:14" s="53" customFormat="1" x14ac:dyDescent="0.35">
      <c r="A212" s="74">
        <f t="shared" si="25"/>
        <v>5</v>
      </c>
      <c r="B212" s="75"/>
      <c r="C212" s="49">
        <v>2</v>
      </c>
      <c r="D212" s="54">
        <f>(62.51)*(10.764)</f>
        <v>672.85763999999995</v>
      </c>
      <c r="E212" s="52">
        <v>0</v>
      </c>
      <c r="F212" s="52">
        <f>D212*(($F$137)+1)+(IF(E212&lt;101,E212,IF(E212&lt;201,E212/2,IF(E212&lt;=301,E212/3,E212/4))))</f>
        <v>1042.9293419999999</v>
      </c>
      <c r="G212" s="96" t="str">
        <f t="shared" si="26"/>
        <v>14th Floor (Part Refuge Area)</v>
      </c>
      <c r="H212" s="97"/>
      <c r="I212" s="35"/>
      <c r="L212" s="73"/>
      <c r="M212" s="73"/>
      <c r="N212" s="35"/>
    </row>
    <row r="213" spans="1:14" s="53" customFormat="1" x14ac:dyDescent="0.35">
      <c r="A213" s="80" t="s">
        <v>233</v>
      </c>
      <c r="B213" s="81"/>
      <c r="C213" s="81"/>
      <c r="D213" s="81"/>
      <c r="E213" s="81"/>
      <c r="F213" s="81"/>
      <c r="G213" s="81"/>
      <c r="H213" s="82"/>
      <c r="J213" s="35"/>
    </row>
    <row r="214" spans="1:14" s="53" customFormat="1" x14ac:dyDescent="0.35">
      <c r="A214" s="74">
        <v>1</v>
      </c>
      <c r="B214" s="75"/>
      <c r="C214" s="49">
        <v>3</v>
      </c>
      <c r="D214" s="54">
        <f>(85.71)*(10.764)</f>
        <v>922.58243999999991</v>
      </c>
      <c r="E214" s="52">
        <v>0</v>
      </c>
      <c r="F214" s="52">
        <f>D214*(($F$137)+1)+(IF(E214&lt;101,E214,IF(E214&lt;201,E214/2,IF(E214&lt;=301,E214/3,E214/4))))</f>
        <v>1430.0027819999998</v>
      </c>
      <c r="G214" s="92" t="str">
        <f>A213</f>
        <v>15th Floor (Part Terrace Area)</v>
      </c>
      <c r="H214" s="93"/>
      <c r="I214" s="35"/>
      <c r="L214" s="73"/>
      <c r="M214" s="73"/>
      <c r="N214" s="35"/>
    </row>
    <row r="215" spans="1:14" s="53" customFormat="1" x14ac:dyDescent="0.35">
      <c r="A215" s="74">
        <f t="shared" ref="A215:A218" si="27">A214+1</f>
        <v>2</v>
      </c>
      <c r="B215" s="75"/>
      <c r="C215" s="49">
        <v>2</v>
      </c>
      <c r="D215" s="54">
        <f>(63.47)*(10.764)</f>
        <v>683.19107999999994</v>
      </c>
      <c r="E215" s="52">
        <v>0</v>
      </c>
      <c r="F215" s="52">
        <f>D215*(($F$137)+1)+(IF(E215&lt;101,E215,IF(E215&lt;201,E215/2,IF(E215&lt;=301,E215/3,E215/4))))</f>
        <v>1058.9461739999999</v>
      </c>
      <c r="G215" s="94" t="str">
        <f t="shared" ref="G215:G218" si="28">G214</f>
        <v>15th Floor (Part Terrace Area)</v>
      </c>
      <c r="H215" s="95"/>
      <c r="I215" s="35"/>
      <c r="L215" s="73"/>
      <c r="M215" s="73"/>
      <c r="N215" s="35"/>
    </row>
    <row r="216" spans="1:14" s="53" customFormat="1" x14ac:dyDescent="0.35">
      <c r="A216" s="74">
        <f t="shared" si="27"/>
        <v>3</v>
      </c>
      <c r="B216" s="75"/>
      <c r="C216" s="49">
        <v>1</v>
      </c>
      <c r="D216" s="54">
        <f>(40.52)*(10.764)</f>
        <v>436.15728000000001</v>
      </c>
      <c r="E216" s="52">
        <v>0</v>
      </c>
      <c r="F216" s="52">
        <f>D216*(($F$137)+1)+(IF(E216&lt;101,E216,IF(E216&lt;201,E216/2,IF(E216&lt;=301,E216/3,E216/4))))</f>
        <v>676.04378400000007</v>
      </c>
      <c r="G216" s="94" t="str">
        <f t="shared" si="28"/>
        <v>15th Floor (Part Terrace Area)</v>
      </c>
      <c r="H216" s="95"/>
      <c r="I216" s="35"/>
      <c r="L216" s="73"/>
      <c r="M216" s="73"/>
      <c r="N216" s="35"/>
    </row>
    <row r="217" spans="1:14" s="53" customFormat="1" x14ac:dyDescent="0.35">
      <c r="A217" s="74">
        <f t="shared" si="27"/>
        <v>4</v>
      </c>
      <c r="B217" s="75"/>
      <c r="C217" s="49">
        <v>1</v>
      </c>
      <c r="D217" s="54">
        <f>(39.11)*(10.764)</f>
        <v>420.98003999999997</v>
      </c>
      <c r="E217" s="52">
        <v>0</v>
      </c>
      <c r="F217" s="52">
        <f>D217*(($F$137)+1)+(IF(E217&lt;101,E217,IF(E217&lt;201,E217/2,IF(E217&lt;=301,E217/3,E217/4))))</f>
        <v>652.51906199999996</v>
      </c>
      <c r="G217" s="94" t="str">
        <f t="shared" si="28"/>
        <v>15th Floor (Part Terrace Area)</v>
      </c>
      <c r="H217" s="95"/>
      <c r="I217" s="35"/>
      <c r="L217" s="73"/>
      <c r="M217" s="73"/>
      <c r="N217" s="35"/>
    </row>
    <row r="218" spans="1:14" s="53" customFormat="1" x14ac:dyDescent="0.35">
      <c r="A218" s="74">
        <f t="shared" si="27"/>
        <v>5</v>
      </c>
      <c r="B218" s="75"/>
      <c r="C218" s="76" t="s">
        <v>232</v>
      </c>
      <c r="D218" s="77"/>
      <c r="E218" s="77"/>
      <c r="F218" s="78"/>
      <c r="G218" s="96" t="str">
        <f t="shared" si="28"/>
        <v>15th Floor (Part Terrace Area)</v>
      </c>
      <c r="H218" s="97"/>
      <c r="I218" s="35"/>
      <c r="L218" s="73"/>
      <c r="M218" s="73"/>
      <c r="N218" s="35"/>
    </row>
    <row r="219" spans="1:14" s="36" customFormat="1" hidden="1" x14ac:dyDescent="0.35">
      <c r="A219" s="80" t="s">
        <v>122</v>
      </c>
      <c r="B219" s="81"/>
      <c r="C219" s="81"/>
      <c r="D219" s="81"/>
      <c r="E219" s="81"/>
      <c r="F219" s="81"/>
      <c r="G219" s="81"/>
      <c r="H219" s="82"/>
      <c r="J219" s="35"/>
    </row>
    <row r="220" spans="1:14" s="36" customFormat="1" hidden="1" x14ac:dyDescent="0.35">
      <c r="A220" s="74">
        <v>1</v>
      </c>
      <c r="B220" s="75"/>
      <c r="C220" s="49"/>
      <c r="D220" s="41"/>
      <c r="E220" s="41">
        <v>0</v>
      </c>
      <c r="F220" s="41">
        <f>D220*(($F$137)+1)+(IF(E220&lt;101,E220,IF(E220&lt;201,E220/2,IF(E220&lt;=301,E220/3,E220/4))))</f>
        <v>0</v>
      </c>
      <c r="G220" s="74" t="str">
        <f>A219</f>
        <v>Ground Floor</v>
      </c>
      <c r="H220" s="75"/>
      <c r="I220" s="35"/>
      <c r="L220" s="73"/>
      <c r="M220" s="73"/>
      <c r="N220" s="35"/>
    </row>
    <row r="221" spans="1:14" s="36" customFormat="1" hidden="1" x14ac:dyDescent="0.35">
      <c r="A221" s="74">
        <f t="shared" ref="A221:A223" si="29">A220+1</f>
        <v>2</v>
      </c>
      <c r="B221" s="75"/>
      <c r="C221" s="49"/>
      <c r="D221" s="41"/>
      <c r="E221" s="41">
        <v>0</v>
      </c>
      <c r="F221" s="41">
        <f>D221*(($F$137)+1)+(IF(E221&lt;101,E221,IF(E221&lt;201,E221/2,IF(E221&lt;=301,E221/3,E221/4))))</f>
        <v>0</v>
      </c>
      <c r="G221" s="74" t="str">
        <f t="shared" ref="G221:G223" si="30">G220</f>
        <v>Ground Floor</v>
      </c>
      <c r="H221" s="75"/>
      <c r="I221" s="35"/>
      <c r="L221" s="73"/>
      <c r="M221" s="73"/>
      <c r="N221" s="35"/>
    </row>
    <row r="222" spans="1:14" s="36" customFormat="1" hidden="1" x14ac:dyDescent="0.35">
      <c r="A222" s="74">
        <f t="shared" si="29"/>
        <v>3</v>
      </c>
      <c r="B222" s="75"/>
      <c r="C222" s="49"/>
      <c r="D222" s="41"/>
      <c r="E222" s="41">
        <v>0</v>
      </c>
      <c r="F222" s="41">
        <f>D222*(($F$137)+1)+(IF(E222&lt;101,E222,IF(E222&lt;201,E222/2,IF(E222&lt;=301,E222/3,E222/4))))</f>
        <v>0</v>
      </c>
      <c r="G222" s="74" t="str">
        <f t="shared" si="30"/>
        <v>Ground Floor</v>
      </c>
      <c r="H222" s="75"/>
      <c r="I222" s="35"/>
      <c r="L222" s="73"/>
      <c r="M222" s="73"/>
      <c r="N222" s="35"/>
    </row>
    <row r="223" spans="1:14" s="36" customFormat="1" hidden="1" x14ac:dyDescent="0.35">
      <c r="A223" s="74">
        <f t="shared" si="29"/>
        <v>4</v>
      </c>
      <c r="B223" s="75"/>
      <c r="C223" s="49"/>
      <c r="D223" s="41"/>
      <c r="E223" s="41">
        <v>0</v>
      </c>
      <c r="F223" s="41">
        <f>D223*(($F$137)+1)+(IF(E223&lt;101,E223,IF(E223&lt;201,E223/2,IF(E223&lt;=301,E223/3,E223/4))))</f>
        <v>0</v>
      </c>
      <c r="G223" s="74" t="str">
        <f t="shared" si="30"/>
        <v>Ground Floor</v>
      </c>
      <c r="H223" s="75"/>
      <c r="I223" s="35"/>
      <c r="L223" s="73"/>
      <c r="M223" s="73"/>
      <c r="N223" s="35"/>
    </row>
    <row r="224" spans="1:14" s="36" customFormat="1" hidden="1" x14ac:dyDescent="0.35">
      <c r="A224" s="89" t="s">
        <v>123</v>
      </c>
      <c r="B224" s="89"/>
      <c r="C224" s="89"/>
      <c r="D224" s="89"/>
      <c r="E224" s="89"/>
      <c r="F224" s="89"/>
      <c r="G224" s="89"/>
      <c r="H224" s="89"/>
      <c r="I224" s="35"/>
      <c r="L224" s="73"/>
      <c r="M224" s="73"/>
    </row>
    <row r="225" spans="1:14" s="36" customFormat="1" hidden="1" x14ac:dyDescent="0.35">
      <c r="A225" s="83">
        <f>LEFT(A224,SUM(LEN(A224)-LEN(SUBSTITUTE(A224,{"0","1","2","3","4","5","6","7","8","9"},""))))*100+1</f>
        <v>201</v>
      </c>
      <c r="B225" s="83"/>
      <c r="C225" s="49"/>
      <c r="D225" s="41"/>
      <c r="E225" s="41">
        <v>0</v>
      </c>
      <c r="F225" s="41">
        <f t="shared" ref="F225:F226" si="31">D225*(($F$137)+1)+(IF(E225&lt;101,E225,IF(E225&lt;201,E225/2,IF(E225&lt;=301,E225/3,E225/4))))</f>
        <v>0</v>
      </c>
      <c r="G225" s="83" t="str">
        <f>A224</f>
        <v>2nd Floor</v>
      </c>
      <c r="H225" s="83"/>
      <c r="I225" s="35"/>
      <c r="N225" s="35"/>
    </row>
    <row r="226" spans="1:14" s="36" customFormat="1" hidden="1" x14ac:dyDescent="0.35">
      <c r="A226" s="83">
        <f>A225+1</f>
        <v>202</v>
      </c>
      <c r="B226" s="83"/>
      <c r="C226" s="49"/>
      <c r="D226" s="41"/>
      <c r="E226" s="41">
        <v>0</v>
      </c>
      <c r="F226" s="41">
        <f t="shared" si="31"/>
        <v>0</v>
      </c>
      <c r="G226" s="83" t="str">
        <f>G225</f>
        <v>2nd Floor</v>
      </c>
      <c r="H226" s="83"/>
      <c r="I226" s="35"/>
      <c r="N226" s="35"/>
    </row>
    <row r="227" spans="1:14" s="36" customFormat="1" hidden="1" x14ac:dyDescent="0.35">
      <c r="A227" s="83">
        <f>A226+1</f>
        <v>203</v>
      </c>
      <c r="B227" s="83"/>
      <c r="C227" s="49"/>
      <c r="D227" s="41"/>
      <c r="E227" s="41">
        <v>0</v>
      </c>
      <c r="F227" s="41">
        <f>D227*(($F$137)+1)+(IF(E227&lt;101,E227,IF(E227&lt;201,E227/2,IF(E227&lt;=301,E227/3,E227/4))))</f>
        <v>0</v>
      </c>
      <c r="G227" s="83" t="str">
        <f>G226</f>
        <v>2nd Floor</v>
      </c>
      <c r="H227" s="83"/>
      <c r="I227" s="35"/>
      <c r="N227" s="35"/>
    </row>
    <row r="228" spans="1:14" s="36" customFormat="1" hidden="1" x14ac:dyDescent="0.35">
      <c r="A228" s="83">
        <f>A227+1</f>
        <v>204</v>
      </c>
      <c r="B228" s="83"/>
      <c r="C228" s="49"/>
      <c r="D228" s="41"/>
      <c r="E228" s="41">
        <v>0</v>
      </c>
      <c r="F228" s="41">
        <f>D228*(($F$137)+1)+(IF(E228&lt;101,E228,IF(E228&lt;201,E228/2,IF(E228&lt;=301,E228/3,E228/4))))</f>
        <v>0</v>
      </c>
      <c r="G228" s="83" t="str">
        <f>G227</f>
        <v>2nd Floor</v>
      </c>
      <c r="H228" s="83"/>
      <c r="I228" s="35"/>
      <c r="N228" s="35"/>
    </row>
    <row r="229" spans="1:14" s="36" customFormat="1" hidden="1" x14ac:dyDescent="0.35">
      <c r="A229" s="83">
        <f>A228+1</f>
        <v>205</v>
      </c>
      <c r="B229" s="83"/>
      <c r="C229" s="49"/>
      <c r="D229" s="41"/>
      <c r="E229" s="41">
        <v>0</v>
      </c>
      <c r="F229" s="41">
        <f>D229*(($F$137)+1)+(IF(E229&lt;101,E229,IF(E229&lt;201,E229/2,IF(E229&lt;=301,E229/3,E229/4))))</f>
        <v>0</v>
      </c>
      <c r="G229" s="83" t="str">
        <f>G228</f>
        <v>2nd Floor</v>
      </c>
      <c r="H229" s="83"/>
      <c r="I229" s="35"/>
      <c r="N229" s="35"/>
    </row>
    <row r="230" spans="1:14" s="36" customFormat="1" ht="15.75" hidden="1" customHeight="1" x14ac:dyDescent="0.35">
      <c r="A230" s="80" t="s">
        <v>159</v>
      </c>
      <c r="B230" s="81"/>
      <c r="C230" s="81"/>
      <c r="D230" s="81"/>
      <c r="E230" s="81"/>
      <c r="F230" s="81"/>
      <c r="G230" s="81"/>
      <c r="H230" s="82"/>
      <c r="I230" s="35"/>
    </row>
    <row r="231" spans="1:14" s="36" customFormat="1" hidden="1" x14ac:dyDescent="0.35">
      <c r="A231" s="74" t="str">
        <f ca="1">(SUMPRODUCT(MID(0&amp;(LEFT(A230,SUM(LEN(A230)-LEN(SUBSTITUTE(A230,{"0","1","2"},""))))), LARGE(INDEX(ISNUMBER(--MID((LEFT(A230,SUM(LEN(A230)-LEN(SUBSTITUTE(A230,{"0","1","2"},""))))), ROW(INDIRECT("1:"&amp;LEN((LEFT(A230,SUM(LEN(A230)-LEN(SUBSTITUTE(A230,{"0","1","2"},"")))))))), 1)) * ROW(INDIRECT("1:"&amp;LEN((LEFT(A230,SUM(LEN(A230)-LEN(SUBSTITUTE(A230,{"0","1","2"},"")))))))), 0), ROW(INDIRECT("1:"&amp;LEN((LEFT(A230,SUM(LEN(A230)-LEN(SUBSTITUTE(A230,{"0","1","2"},"")))))))))+1, 1) * 10^ROW(INDIRECT("1:"&amp;LEN((LEFT(A230,SUM(LEN(A230)-LEN(SUBSTITUTE(A230,{"0","1","2"},""))))))))/10))*100+1&amp;""&amp;" ,.., "&amp;""&amp;(SUMPRODUCT(MID(0&amp;(--TRIM(RIGHT(SUBSTITUTE(LEFT(A230,_xlfn.AGGREGATE(16,6,FIND({0,1,2,3,4,5,6,7,8,9},A230,ROW(INDIRECT("1:"&amp;LEN(A230)))),1))," ",REPT(" ",LEN(A230))),LEN(A230)))), LARGE(INDEX(ISNUMBER(--MID((--TRIM(RIGHT(SUBSTITUTE(LEFT(A230,_xlfn.AGGREGATE(16,6,FIND({0,1,2,3,4,5,6,7,8,9},A230,ROW(INDIRECT("1:"&amp;LEN(A230)))),1))," ",REPT(" ",LEN(A230))),LEN(A230)))), ROW(INDIRECT("1:"&amp;LEN((--TRIM(RIGHT(SUBSTITUTE(LEFT(A230,_xlfn.AGGREGATE(16,6,FIND({0,1,2,3,4,5,6,7,8,9},A230,ROW(INDIRECT("1:"&amp;LEN(A230)))),1))," ",REPT(" ",LEN(A230))),LEN(A230))))))), 1)) * ROW(INDIRECT("1:"&amp;LEN((--TRIM(RIGHT(SUBSTITUTE(LEFT(A230,_xlfn.AGGREGATE(16,6,FIND({0,1,2,3,4,5,6,7,8,9},A230,ROW(INDIRECT("1:"&amp;LEN(A230)))),1))," ",REPT(" ",LEN(A230))),LEN(A230))))))), 0), ROW(INDIRECT("1:"&amp;LEN((--TRIM(RIGHT(SUBSTITUTE(LEFT(A230,_xlfn.AGGREGATE(16,6,FIND({0,1,2,3,4,5,6,7,8,9},A230,ROW(INDIRECT("1:"&amp;LEN(A230)))),1))," ",REPT(" ",LEN(A230))),LEN(A230))))))))+1, 1) * 10^ROW(INDIRECT("1:"&amp;LEN((--TRIM(RIGHT(SUBSTITUTE(LEFT(A230,_xlfn.AGGREGATE(16,6,FIND({0,1,2,3,4,5,6,7,8,9},A230,ROW(INDIRECT("1:"&amp;LEN(A230)))),1))," ",REPT(" ",LEN(A230))),LEN(A230)))))))/10))*100+1</f>
        <v>301 ,.., 1501</v>
      </c>
      <c r="B231" s="75"/>
      <c r="C231" s="49"/>
      <c r="D231" s="41"/>
      <c r="E231" s="41">
        <v>0</v>
      </c>
      <c r="F231" s="41">
        <f>D231*(($F$137)+1)+(IF(E231&lt;101,E231,IF(E231&lt;201,E231/2,IF(E231&lt;=301,E231/3,E231/4))))</f>
        <v>0</v>
      </c>
      <c r="G231" s="74" t="str">
        <f>A230</f>
        <v>3rd, 5th, 7th, 9th, 11th, 13th, 15th Floor</v>
      </c>
      <c r="H231" s="75"/>
      <c r="I231" s="35"/>
    </row>
    <row r="232" spans="1:14" s="36" customFormat="1" hidden="1" x14ac:dyDescent="0.35">
      <c r="A232" s="74" t="str">
        <f ca="1">(SUMPRODUCT(MID(0&amp;(LEFT(A231,SUM(LEN(A231)-LEN(SUBSTITUTE(A231,{"0","1","2"},""))))), LARGE(INDEX(ISNUMBER(--MID((LEFT(A231,SUM(LEN(A231)-LEN(SUBSTITUTE(A231,{"0","1","2"},""))))), ROW(INDIRECT("1:"&amp;LEN((LEFT(A231,SUM(LEN(A231)-LEN(SUBSTITUTE(A231,{"0","1","2"},"")))))))), 1)) * ROW(INDIRECT("1:"&amp;LEN((LEFT(A231,SUM(LEN(A231)-LEN(SUBSTITUTE(A231,{"0","1","2"},"")))))))), 0), ROW(INDIRECT("1:"&amp;LEN((LEFT(A231,SUM(LEN(A231)-LEN(SUBSTITUTE(A231,{"0","1","2"},"")))))))))+1, 1) * 10^ROW(INDIRECT("1:"&amp;LEN((LEFT(A231,SUM(LEN(A231)-LEN(SUBSTITUTE(A231,{"0","1","2"},""))))))))/10))*1+1&amp;""&amp;" ,.., "&amp;""&amp;(SUMPRODUCT(MID(0&amp;(--TRIM(RIGHT(SUBSTITUTE(LEFT(A231,_xlfn.AGGREGATE(16,6,FIND({0,1,2,3,4,5,6,7,8,9},A231,ROW(INDIRECT("1:"&amp;LEN(A231)))),1))," ",REPT(" ",LEN(A231))),LEN(A231)))), LARGE(INDEX(ISNUMBER(--MID((--TRIM(RIGHT(SUBSTITUTE(LEFT(A231,_xlfn.AGGREGATE(16,6,FIND({0,1,2,3,4,5,6,7,8,9},A231,ROW(INDIRECT("1:"&amp;LEN(A231)))),1))," ",REPT(" ",LEN(A231))),LEN(A231)))), ROW(INDIRECT("1:"&amp;LEN((--TRIM(RIGHT(SUBSTITUTE(LEFT(A231,_xlfn.AGGREGATE(16,6,FIND({0,1,2,3,4,5,6,7,8,9},A231,ROW(INDIRECT("1:"&amp;LEN(A231)))),1))," ",REPT(" ",LEN(A231))),LEN(A231))))))), 1)) * ROW(INDIRECT("1:"&amp;LEN((--TRIM(RIGHT(SUBSTITUTE(LEFT(A231,_xlfn.AGGREGATE(16,6,FIND({0,1,2,3,4,5,6,7,8,9},A231,ROW(INDIRECT("1:"&amp;LEN(A231)))),1))," ",REPT(" ",LEN(A231))),LEN(A231))))))), 0), ROW(INDIRECT("1:"&amp;LEN((--TRIM(RIGHT(SUBSTITUTE(LEFT(A231,_xlfn.AGGREGATE(16,6,FIND({0,1,2,3,4,5,6,7,8,9},A231,ROW(INDIRECT("1:"&amp;LEN(A231)))),1))," ",REPT(" ",LEN(A231))),LEN(A231))))))))+1, 1) * 10^ROW(INDIRECT("1:"&amp;LEN((--TRIM(RIGHT(SUBSTITUTE(LEFT(A231,_xlfn.AGGREGATE(16,6,FIND({0,1,2,3,4,5,6,7,8,9},A231,ROW(INDIRECT("1:"&amp;LEN(A231)))),1))," ",REPT(" ",LEN(A231))),LEN(A231)))))))/10))*1+1</f>
        <v>302 ,.., 1502</v>
      </c>
      <c r="B232" s="75"/>
      <c r="C232" s="49"/>
      <c r="D232" s="41"/>
      <c r="E232" s="41">
        <v>0</v>
      </c>
      <c r="F232" s="41">
        <f>D232*(($F$137)+1)+(IF(E232&lt;101,E232,IF(E232&lt;201,E232/2,IF(E232&lt;=301,E232/3,E232/4))))</f>
        <v>0</v>
      </c>
      <c r="G232" s="74" t="str">
        <f>G231</f>
        <v>3rd, 5th, 7th, 9th, 11th, 13th, 15th Floor</v>
      </c>
      <c r="H232" s="75"/>
      <c r="I232" s="35"/>
    </row>
    <row r="233" spans="1:14" s="36" customFormat="1" ht="15.75" hidden="1" customHeight="1" x14ac:dyDescent="0.35">
      <c r="A233" s="74" t="str">
        <f ca="1">(SUMPRODUCT(MID(0&amp;(LEFT(A232,SUM(LEN(A232)-LEN(SUBSTITUTE(A232,{"0","1","2"},""))))), LARGE(INDEX(ISNUMBER(--MID((LEFT(A232,SUM(LEN(A232)-LEN(SUBSTITUTE(A232,{"0","1","2"},""))))), ROW(INDIRECT("1:"&amp;LEN((LEFT(A232,SUM(LEN(A232)-LEN(SUBSTITUTE(A232,{"0","1","2"},"")))))))), 1)) * ROW(INDIRECT("1:"&amp;LEN((LEFT(A232,SUM(LEN(A232)-LEN(SUBSTITUTE(A232,{"0","1","2"},"")))))))), 0), ROW(INDIRECT("1:"&amp;LEN((LEFT(A232,SUM(LEN(A232)-LEN(SUBSTITUTE(A232,{"0","1","2"},"")))))))))+1, 1) * 10^ROW(INDIRECT("1:"&amp;LEN((LEFT(A232,SUM(LEN(A232)-LEN(SUBSTITUTE(A232,{"0","1","2"},""))))))))/10))*1+1&amp;""&amp;" ,.., "&amp;""&amp;(SUMPRODUCT(MID(0&amp;(--TRIM(RIGHT(SUBSTITUTE(LEFT(A232,_xlfn.AGGREGATE(16,6,FIND({0,1,2,3,4,5,6,7,8,9},A232,ROW(INDIRECT("1:"&amp;LEN(A232)))),1))," ",REPT(" ",LEN(A232))),LEN(A232)))), LARGE(INDEX(ISNUMBER(--MID((--TRIM(RIGHT(SUBSTITUTE(LEFT(A232,_xlfn.AGGREGATE(16,6,FIND({0,1,2,3,4,5,6,7,8,9},A232,ROW(INDIRECT("1:"&amp;LEN(A232)))),1))," ",REPT(" ",LEN(A232))),LEN(A232)))), ROW(INDIRECT("1:"&amp;LEN((--TRIM(RIGHT(SUBSTITUTE(LEFT(A232,_xlfn.AGGREGATE(16,6,FIND({0,1,2,3,4,5,6,7,8,9},A232,ROW(INDIRECT("1:"&amp;LEN(A232)))),1))," ",REPT(" ",LEN(A232))),LEN(A232))))))), 1)) * ROW(INDIRECT("1:"&amp;LEN((--TRIM(RIGHT(SUBSTITUTE(LEFT(A232,_xlfn.AGGREGATE(16,6,FIND({0,1,2,3,4,5,6,7,8,9},A232,ROW(INDIRECT("1:"&amp;LEN(A232)))),1))," ",REPT(" ",LEN(A232))),LEN(A232))))))), 0), ROW(INDIRECT("1:"&amp;LEN((--TRIM(RIGHT(SUBSTITUTE(LEFT(A232,_xlfn.AGGREGATE(16,6,FIND({0,1,2,3,4,5,6,7,8,9},A232,ROW(INDIRECT("1:"&amp;LEN(A232)))),1))," ",REPT(" ",LEN(A232))),LEN(A232))))))))+1, 1) * 10^ROW(INDIRECT("1:"&amp;LEN((--TRIM(RIGHT(SUBSTITUTE(LEFT(A232,_xlfn.AGGREGATE(16,6,FIND({0,1,2,3,4,5,6,7,8,9},A232,ROW(INDIRECT("1:"&amp;LEN(A232)))),1))," ",REPT(" ",LEN(A232))),LEN(A232)))))))/10))*1+1</f>
        <v>303 ,.., 1503</v>
      </c>
      <c r="B233" s="75"/>
      <c r="C233" s="49"/>
      <c r="D233" s="41"/>
      <c r="E233" s="41">
        <v>0</v>
      </c>
      <c r="F233" s="41">
        <f>D233*(($F$137)+1)+(IF(E233&lt;101,E233,IF(E233&lt;201,E233/2,IF(E233&lt;=301,E233/3,E233/4))))</f>
        <v>0</v>
      </c>
      <c r="G233" s="74" t="str">
        <f>G232</f>
        <v>3rd, 5th, 7th, 9th, 11th, 13th, 15th Floor</v>
      </c>
      <c r="H233" s="75"/>
      <c r="I233" s="35"/>
    </row>
    <row r="234" spans="1:14" s="36" customFormat="1" ht="15.75" hidden="1" customHeight="1" x14ac:dyDescent="0.35">
      <c r="A234" s="74" t="str">
        <f ca="1">(SUMPRODUCT(MID(0&amp;(LEFT(A233,SUM(LEN(A233)-LEN(SUBSTITUTE(A233,{"0","1","2"},""))))), LARGE(INDEX(ISNUMBER(--MID((LEFT(A233,SUM(LEN(A233)-LEN(SUBSTITUTE(A233,{"0","1","2"},""))))), ROW(INDIRECT("1:"&amp;LEN((LEFT(A233,SUM(LEN(A233)-LEN(SUBSTITUTE(A233,{"0","1","2"},"")))))))), 1)) * ROW(INDIRECT("1:"&amp;LEN((LEFT(A233,SUM(LEN(A233)-LEN(SUBSTITUTE(A233,{"0","1","2"},"")))))))), 0), ROW(INDIRECT("1:"&amp;LEN((LEFT(A233,SUM(LEN(A233)-LEN(SUBSTITUTE(A233,{"0","1","2"},"")))))))))+1, 1) * 10^ROW(INDIRECT("1:"&amp;LEN((LEFT(A233,SUM(LEN(A233)-LEN(SUBSTITUTE(A233,{"0","1","2"},""))))))))/10))*1+1&amp;""&amp;" ,.., "&amp;""&amp;(SUMPRODUCT(MID(0&amp;(--TRIM(RIGHT(SUBSTITUTE(LEFT(A233,_xlfn.AGGREGATE(16,6,FIND({0,1,2,3,4,5,6,7,8,9},A233,ROW(INDIRECT("1:"&amp;LEN(A233)))),1))," ",REPT(" ",LEN(A233))),LEN(A233)))), LARGE(INDEX(ISNUMBER(--MID((--TRIM(RIGHT(SUBSTITUTE(LEFT(A233,_xlfn.AGGREGATE(16,6,FIND({0,1,2,3,4,5,6,7,8,9},A233,ROW(INDIRECT("1:"&amp;LEN(A233)))),1))," ",REPT(" ",LEN(A233))),LEN(A233)))), ROW(INDIRECT("1:"&amp;LEN((--TRIM(RIGHT(SUBSTITUTE(LEFT(A233,_xlfn.AGGREGATE(16,6,FIND({0,1,2,3,4,5,6,7,8,9},A233,ROW(INDIRECT("1:"&amp;LEN(A233)))),1))," ",REPT(" ",LEN(A233))),LEN(A233))))))), 1)) * ROW(INDIRECT("1:"&amp;LEN((--TRIM(RIGHT(SUBSTITUTE(LEFT(A233,_xlfn.AGGREGATE(16,6,FIND({0,1,2,3,4,5,6,7,8,9},A233,ROW(INDIRECT("1:"&amp;LEN(A233)))),1))," ",REPT(" ",LEN(A233))),LEN(A233))))))), 0), ROW(INDIRECT("1:"&amp;LEN((--TRIM(RIGHT(SUBSTITUTE(LEFT(A233,_xlfn.AGGREGATE(16,6,FIND({0,1,2,3,4,5,6,7,8,9},A233,ROW(INDIRECT("1:"&amp;LEN(A233)))),1))," ",REPT(" ",LEN(A233))),LEN(A233))))))))+1, 1) * 10^ROW(INDIRECT("1:"&amp;LEN((--TRIM(RIGHT(SUBSTITUTE(LEFT(A233,_xlfn.AGGREGATE(16,6,FIND({0,1,2,3,4,5,6,7,8,9},A233,ROW(INDIRECT("1:"&amp;LEN(A233)))),1))," ",REPT(" ",LEN(A233))),LEN(A233)))))))/10))*1+1</f>
        <v>304 ,.., 1504</v>
      </c>
      <c r="B234" s="75"/>
      <c r="C234" s="49"/>
      <c r="D234" s="41"/>
      <c r="E234" s="41">
        <v>0</v>
      </c>
      <c r="F234" s="41">
        <f>D234*(($F$137)+1)+(IF(E234&lt;101,E234,IF(E234&lt;201,E234/2,IF(E234&lt;=301,E234/3,E234/4))))</f>
        <v>0</v>
      </c>
      <c r="G234" s="74" t="str">
        <f>G233</f>
        <v>3rd, 5th, 7th, 9th, 11th, 13th, 15th Floor</v>
      </c>
      <c r="H234" s="75"/>
      <c r="I234" s="35"/>
    </row>
    <row r="235" spans="1:14" s="36" customFormat="1" ht="15.75" hidden="1" customHeight="1" x14ac:dyDescent="0.35">
      <c r="A235" s="74" t="str">
        <f ca="1">(SUMPRODUCT(MID(0&amp;(LEFT(A234,SUM(LEN(A234)-LEN(SUBSTITUTE(A234,{"0","1","2"},""))))), LARGE(INDEX(ISNUMBER(--MID((LEFT(A234,SUM(LEN(A234)-LEN(SUBSTITUTE(A234,{"0","1","2"},""))))), ROW(INDIRECT("1:"&amp;LEN((LEFT(A234,SUM(LEN(A234)-LEN(SUBSTITUTE(A234,{"0","1","2"},"")))))))), 1)) * ROW(INDIRECT("1:"&amp;LEN((LEFT(A234,SUM(LEN(A234)-LEN(SUBSTITUTE(A234,{"0","1","2"},"")))))))), 0), ROW(INDIRECT("1:"&amp;LEN((LEFT(A234,SUM(LEN(A234)-LEN(SUBSTITUTE(A234,{"0","1","2"},"")))))))))+1, 1) * 10^ROW(INDIRECT("1:"&amp;LEN((LEFT(A234,SUM(LEN(A234)-LEN(SUBSTITUTE(A234,{"0","1","2"},""))))))))/10))*1+1&amp;""&amp;" ,.., "&amp;""&amp;(SUMPRODUCT(MID(0&amp;(--TRIM(RIGHT(SUBSTITUTE(LEFT(A234,_xlfn.AGGREGATE(16,6,FIND({0,1,2,3,4,5,6,7,8,9},A234,ROW(INDIRECT("1:"&amp;LEN(A234)))),1))," ",REPT(" ",LEN(A234))),LEN(A234)))), LARGE(INDEX(ISNUMBER(--MID((--TRIM(RIGHT(SUBSTITUTE(LEFT(A234,_xlfn.AGGREGATE(16,6,FIND({0,1,2,3,4,5,6,7,8,9},A234,ROW(INDIRECT("1:"&amp;LEN(A234)))),1))," ",REPT(" ",LEN(A234))),LEN(A234)))), ROW(INDIRECT("1:"&amp;LEN((--TRIM(RIGHT(SUBSTITUTE(LEFT(A234,_xlfn.AGGREGATE(16,6,FIND({0,1,2,3,4,5,6,7,8,9},A234,ROW(INDIRECT("1:"&amp;LEN(A234)))),1))," ",REPT(" ",LEN(A234))),LEN(A234))))))), 1)) * ROW(INDIRECT("1:"&amp;LEN((--TRIM(RIGHT(SUBSTITUTE(LEFT(A234,_xlfn.AGGREGATE(16,6,FIND({0,1,2,3,4,5,6,7,8,9},A234,ROW(INDIRECT("1:"&amp;LEN(A234)))),1))," ",REPT(" ",LEN(A234))),LEN(A234))))))), 0), ROW(INDIRECT("1:"&amp;LEN((--TRIM(RIGHT(SUBSTITUTE(LEFT(A234,_xlfn.AGGREGATE(16,6,FIND({0,1,2,3,4,5,6,7,8,9},A234,ROW(INDIRECT("1:"&amp;LEN(A234)))),1))," ",REPT(" ",LEN(A234))),LEN(A234))))))))+1, 1) * 10^ROW(INDIRECT("1:"&amp;LEN((--TRIM(RIGHT(SUBSTITUTE(LEFT(A234,_xlfn.AGGREGATE(16,6,FIND({0,1,2,3,4,5,6,7,8,9},A234,ROW(INDIRECT("1:"&amp;LEN(A234)))),1))," ",REPT(" ",LEN(A234))),LEN(A234)))))))/10))*1+1</f>
        <v>305 ,.., 1505</v>
      </c>
      <c r="B235" s="75"/>
      <c r="C235" s="49"/>
      <c r="D235" s="41"/>
      <c r="E235" s="41">
        <v>0</v>
      </c>
      <c r="F235" s="41">
        <f>D235*(($F$137)+1)+(IF(E235&lt;101,E235,IF(E235&lt;201,E235/2,IF(E235&lt;=301,E235/3,E235/4))))</f>
        <v>0</v>
      </c>
      <c r="G235" s="74" t="str">
        <f>G234</f>
        <v>3rd, 5th, 7th, 9th, 11th, 13th, 15th Floor</v>
      </c>
      <c r="H235" s="75"/>
      <c r="I235" s="35"/>
    </row>
    <row r="236" spans="1:14" s="36" customFormat="1" hidden="1" x14ac:dyDescent="0.35">
      <c r="A236" s="80" t="s">
        <v>153</v>
      </c>
      <c r="B236" s="81"/>
      <c r="C236" s="81"/>
      <c r="D236" s="81"/>
      <c r="E236" s="81"/>
      <c r="F236" s="81"/>
      <c r="G236" s="81"/>
      <c r="H236" s="82"/>
      <c r="I236" s="35"/>
    </row>
    <row r="237" spans="1:14" s="36" customFormat="1" hidden="1" x14ac:dyDescent="0.35">
      <c r="A237" s="74" t="str">
        <f ca="1">(SUMPRODUCT(MID(0&amp;(LEFT(A236,SUM(LEN(A236)-LEN(SUBSTITUTE(A236,{"0","1","2"},""))))), LARGE(INDEX(ISNUMBER(--MID((LEFT(A236,SUM(LEN(A236)-LEN(SUBSTITUTE(A236,{"0","1","2"},""))))), ROW(INDIRECT("1:"&amp;LEN((LEFT(A236,SUM(LEN(A236)-LEN(SUBSTITUTE(A236,{"0","1","2"},"")))))))), 1)) * ROW(INDIRECT("1:"&amp;LEN((LEFT(A236,SUM(LEN(A236)-LEN(SUBSTITUTE(A236,{"0","1","2"},"")))))))), 0), ROW(INDIRECT("1:"&amp;LEN((LEFT(A236,SUM(LEN(A236)-LEN(SUBSTITUTE(A236,{"0","1","2"},"")))))))))+1, 1) * 10^ROW(INDIRECT("1:"&amp;LEN((LEFT(A236,SUM(LEN(A236)-LEN(SUBSTITUTE(A236,{"0","1","2"},""))))))))/10))*100+1&amp;""&amp;" to "&amp;""&amp;(SUMPRODUCT(MID(0&amp;(--TRIM(RIGHT(SUBSTITUTE(LEFT(A236,_xlfn.AGGREGATE(16,6,FIND({0,1,2,3,4,5,6,7,8,9},A236,ROW(INDIRECT("1:"&amp;LEN(A236)))),1))," ",REPT(" ",LEN(A236))),LEN(A236)))), LARGE(INDEX(ISNUMBER(--MID((--TRIM(RIGHT(SUBSTITUTE(LEFT(A236,_xlfn.AGGREGATE(16,6,FIND({0,1,2,3,4,5,6,7,8,9},A236,ROW(INDIRECT("1:"&amp;LEN(A236)))),1))," ",REPT(" ",LEN(A236))),LEN(A236)))), ROW(INDIRECT("1:"&amp;LEN((--TRIM(RIGHT(SUBSTITUTE(LEFT(A236,_xlfn.AGGREGATE(16,6,FIND({0,1,2,3,4,5,6,7,8,9},A236,ROW(INDIRECT("1:"&amp;LEN(A236)))),1))," ",REPT(" ",LEN(A236))),LEN(A236))))))), 1)) * ROW(INDIRECT("1:"&amp;LEN((--TRIM(RIGHT(SUBSTITUTE(LEFT(A236,_xlfn.AGGREGATE(16,6,FIND({0,1,2,3,4,5,6,7,8,9},A236,ROW(INDIRECT("1:"&amp;LEN(A236)))),1))," ",REPT(" ",LEN(A236))),LEN(A236))))))), 0), ROW(INDIRECT("1:"&amp;LEN((--TRIM(RIGHT(SUBSTITUTE(LEFT(A236,_xlfn.AGGREGATE(16,6,FIND({0,1,2,3,4,5,6,7,8,9},A236,ROW(INDIRECT("1:"&amp;LEN(A236)))),1))," ",REPT(" ",LEN(A236))),LEN(A236))))))))+1, 1) * 10^ROW(INDIRECT("1:"&amp;LEN((--TRIM(RIGHT(SUBSTITUTE(LEFT(A236,_xlfn.AGGREGATE(16,6,FIND({0,1,2,3,4,5,6,7,8,9},A236,ROW(INDIRECT("1:"&amp;LEN(A236)))),1))," ",REPT(" ",LEN(A236))),LEN(A236)))))))/10))*100+1</f>
        <v>201 to 501</v>
      </c>
      <c r="B237" s="75"/>
      <c r="C237" s="49"/>
      <c r="D237" s="41"/>
      <c r="E237" s="41">
        <v>0</v>
      </c>
      <c r="F237" s="41">
        <f>D237*(($F$137)+1)+(IF(E237&lt;101,E237,IF(E237&lt;201,E237/2,IF(E237&lt;=301,E237/3,E237/4))))</f>
        <v>0</v>
      </c>
      <c r="G237" s="74" t="str">
        <f>A236</f>
        <v>2nd to 5th Floor</v>
      </c>
      <c r="H237" s="75"/>
      <c r="I237" s="35"/>
    </row>
    <row r="238" spans="1:14" s="36" customFormat="1" hidden="1" x14ac:dyDescent="0.35">
      <c r="A238" s="74" t="str">
        <f ca="1">(SUMPRODUCT(MID(0&amp;(LEFT(A237,SUM(LEN(A237)-LEN(SUBSTITUTE(A237,{"0","1","2"},""))))), LARGE(INDEX(ISNUMBER(--MID((LEFT(A237,SUM(LEN(A237)-LEN(SUBSTITUTE(A237,{"0","1","2"},""))))), ROW(INDIRECT("1:"&amp;LEN((LEFT(A237,SUM(LEN(A237)-LEN(SUBSTITUTE(A237,{"0","1","2"},"")))))))), 1)) * ROW(INDIRECT("1:"&amp;LEN((LEFT(A237,SUM(LEN(A237)-LEN(SUBSTITUTE(A237,{"0","1","2"},"")))))))), 0), ROW(INDIRECT("1:"&amp;LEN((LEFT(A237,SUM(LEN(A237)-LEN(SUBSTITUTE(A237,{"0","1","2"},"")))))))))+1, 1) * 10^ROW(INDIRECT("1:"&amp;LEN((LEFT(A237,SUM(LEN(A237)-LEN(SUBSTITUTE(A237,{"0","1","2"},""))))))))/10))*1+1&amp;""&amp;" to "&amp;""&amp;(SUMPRODUCT(MID(0&amp;(--TRIM(RIGHT(SUBSTITUTE(LEFT(A237,_xlfn.AGGREGATE(16,6,FIND({0,1,2,3,4,5,6,7,8,9},A237,ROW(INDIRECT("1:"&amp;LEN(A237)))),1))," ",REPT(" ",LEN(A237))),LEN(A237)))), LARGE(INDEX(ISNUMBER(--MID((--TRIM(RIGHT(SUBSTITUTE(LEFT(A237,_xlfn.AGGREGATE(16,6,FIND({0,1,2,3,4,5,6,7,8,9},A237,ROW(INDIRECT("1:"&amp;LEN(A237)))),1))," ",REPT(" ",LEN(A237))),LEN(A237)))), ROW(INDIRECT("1:"&amp;LEN((--TRIM(RIGHT(SUBSTITUTE(LEFT(A237,_xlfn.AGGREGATE(16,6,FIND({0,1,2,3,4,5,6,7,8,9},A237,ROW(INDIRECT("1:"&amp;LEN(A237)))),1))," ",REPT(" ",LEN(A237))),LEN(A237))))))), 1)) * ROW(INDIRECT("1:"&amp;LEN((--TRIM(RIGHT(SUBSTITUTE(LEFT(A237,_xlfn.AGGREGATE(16,6,FIND({0,1,2,3,4,5,6,7,8,9},A237,ROW(INDIRECT("1:"&amp;LEN(A237)))),1))," ",REPT(" ",LEN(A237))),LEN(A237))))))), 0), ROW(INDIRECT("1:"&amp;LEN((--TRIM(RIGHT(SUBSTITUTE(LEFT(A237,_xlfn.AGGREGATE(16,6,FIND({0,1,2,3,4,5,6,7,8,9},A237,ROW(INDIRECT("1:"&amp;LEN(A237)))),1))," ",REPT(" ",LEN(A237))),LEN(A237))))))))+1, 1) * 10^ROW(INDIRECT("1:"&amp;LEN((--TRIM(RIGHT(SUBSTITUTE(LEFT(A237,_xlfn.AGGREGATE(16,6,FIND({0,1,2,3,4,5,6,7,8,9},A237,ROW(INDIRECT("1:"&amp;LEN(A237)))),1))," ",REPT(" ",LEN(A237))),LEN(A237)))))))/10))*1+1</f>
        <v>202 to 502</v>
      </c>
      <c r="B238" s="75"/>
      <c r="C238" s="49"/>
      <c r="D238" s="41"/>
      <c r="E238" s="41">
        <v>0</v>
      </c>
      <c r="F238" s="41">
        <f>D238*(($F$137)+1)+(IF(E238&lt;101,E238,IF(E238&lt;201,E238/2,IF(E238&lt;=301,E238/3,E238/4))))</f>
        <v>0</v>
      </c>
      <c r="G238" s="74" t="str">
        <f>G237</f>
        <v>2nd to 5th Floor</v>
      </c>
      <c r="H238" s="75"/>
      <c r="I238" s="35"/>
    </row>
    <row r="239" spans="1:14" s="36" customFormat="1" hidden="1" x14ac:dyDescent="0.35">
      <c r="A239" s="74" t="str">
        <f ca="1">(SUMPRODUCT(MID(0&amp;(LEFT(A238,SUM(LEN(A238)-LEN(SUBSTITUTE(A238,{"0","1","2"},""))))), LARGE(INDEX(ISNUMBER(--MID((LEFT(A238,SUM(LEN(A238)-LEN(SUBSTITUTE(A238,{"0","1","2"},""))))), ROW(INDIRECT("1:"&amp;LEN((LEFT(A238,SUM(LEN(A238)-LEN(SUBSTITUTE(A238,{"0","1","2"},"")))))))), 1)) * ROW(INDIRECT("1:"&amp;LEN((LEFT(A238,SUM(LEN(A238)-LEN(SUBSTITUTE(A238,{"0","1","2"},"")))))))), 0), ROW(INDIRECT("1:"&amp;LEN((LEFT(A238,SUM(LEN(A238)-LEN(SUBSTITUTE(A238,{"0","1","2"},"")))))))))+1, 1) * 10^ROW(INDIRECT("1:"&amp;LEN((LEFT(A238,SUM(LEN(A238)-LEN(SUBSTITUTE(A238,{"0","1","2"},""))))))))/10))*1+1&amp;""&amp;" to "&amp;""&amp;(SUMPRODUCT(MID(0&amp;(--TRIM(RIGHT(SUBSTITUTE(LEFT(A238,_xlfn.AGGREGATE(16,6,FIND({0,1,2,3,4,5,6,7,8,9},A238,ROW(INDIRECT("1:"&amp;LEN(A238)))),1))," ",REPT(" ",LEN(A238))),LEN(A238)))), LARGE(INDEX(ISNUMBER(--MID((--TRIM(RIGHT(SUBSTITUTE(LEFT(A238,_xlfn.AGGREGATE(16,6,FIND({0,1,2,3,4,5,6,7,8,9},A238,ROW(INDIRECT("1:"&amp;LEN(A238)))),1))," ",REPT(" ",LEN(A238))),LEN(A238)))), ROW(INDIRECT("1:"&amp;LEN((--TRIM(RIGHT(SUBSTITUTE(LEFT(A238,_xlfn.AGGREGATE(16,6,FIND({0,1,2,3,4,5,6,7,8,9},A238,ROW(INDIRECT("1:"&amp;LEN(A238)))),1))," ",REPT(" ",LEN(A238))),LEN(A238))))))), 1)) * ROW(INDIRECT("1:"&amp;LEN((--TRIM(RIGHT(SUBSTITUTE(LEFT(A238,_xlfn.AGGREGATE(16,6,FIND({0,1,2,3,4,5,6,7,8,9},A238,ROW(INDIRECT("1:"&amp;LEN(A238)))),1))," ",REPT(" ",LEN(A238))),LEN(A238))))))), 0), ROW(INDIRECT("1:"&amp;LEN((--TRIM(RIGHT(SUBSTITUTE(LEFT(A238,_xlfn.AGGREGATE(16,6,FIND({0,1,2,3,4,5,6,7,8,9},A238,ROW(INDIRECT("1:"&amp;LEN(A238)))),1))," ",REPT(" ",LEN(A238))),LEN(A238))))))))+1, 1) * 10^ROW(INDIRECT("1:"&amp;LEN((--TRIM(RIGHT(SUBSTITUTE(LEFT(A238,_xlfn.AGGREGATE(16,6,FIND({0,1,2,3,4,5,6,7,8,9},A238,ROW(INDIRECT("1:"&amp;LEN(A238)))),1))," ",REPT(" ",LEN(A238))),LEN(A238)))))))/10))*1+1</f>
        <v>203 to 503</v>
      </c>
      <c r="B239" s="75"/>
      <c r="C239" s="49"/>
      <c r="D239" s="41"/>
      <c r="E239" s="41">
        <v>0</v>
      </c>
      <c r="F239" s="41">
        <f>D239*(($F$137)+1)+(IF(E239&lt;101,E239,IF(E239&lt;201,E239/2,IF(E239&lt;=301,E239/3,E239/4))))</f>
        <v>0</v>
      </c>
      <c r="G239" s="74" t="str">
        <f>G238</f>
        <v>2nd to 5th Floor</v>
      </c>
      <c r="H239" s="75"/>
      <c r="I239" s="35"/>
    </row>
    <row r="240" spans="1:14" s="36" customFormat="1" hidden="1" x14ac:dyDescent="0.35">
      <c r="A240" s="74" t="str">
        <f ca="1">(SUMPRODUCT(MID(0&amp;(LEFT(A239,SUM(LEN(A239)-LEN(SUBSTITUTE(A239,{"0","1","2"},""))))), LARGE(INDEX(ISNUMBER(--MID((LEFT(A239,SUM(LEN(A239)-LEN(SUBSTITUTE(A239,{"0","1","2"},""))))), ROW(INDIRECT("1:"&amp;LEN((LEFT(A239,SUM(LEN(A239)-LEN(SUBSTITUTE(A239,{"0","1","2"},"")))))))), 1)) * ROW(INDIRECT("1:"&amp;LEN((LEFT(A239,SUM(LEN(A239)-LEN(SUBSTITUTE(A239,{"0","1","2"},"")))))))), 0), ROW(INDIRECT("1:"&amp;LEN((LEFT(A239,SUM(LEN(A239)-LEN(SUBSTITUTE(A239,{"0","1","2"},"")))))))))+1, 1) * 10^ROW(INDIRECT("1:"&amp;LEN((LEFT(A239,SUM(LEN(A239)-LEN(SUBSTITUTE(A239,{"0","1","2"},""))))))))/10))*1+1&amp;""&amp;" to "&amp;""&amp;(SUMPRODUCT(MID(0&amp;(--TRIM(RIGHT(SUBSTITUTE(LEFT(A239,_xlfn.AGGREGATE(16,6,FIND({0,1,2,3,4,5,6,7,8,9},A239,ROW(INDIRECT("1:"&amp;LEN(A239)))),1))," ",REPT(" ",LEN(A239))),LEN(A239)))), LARGE(INDEX(ISNUMBER(--MID((--TRIM(RIGHT(SUBSTITUTE(LEFT(A239,_xlfn.AGGREGATE(16,6,FIND({0,1,2,3,4,5,6,7,8,9},A239,ROW(INDIRECT("1:"&amp;LEN(A239)))),1))," ",REPT(" ",LEN(A239))),LEN(A239)))), ROW(INDIRECT("1:"&amp;LEN((--TRIM(RIGHT(SUBSTITUTE(LEFT(A239,_xlfn.AGGREGATE(16,6,FIND({0,1,2,3,4,5,6,7,8,9},A239,ROW(INDIRECT("1:"&amp;LEN(A239)))),1))," ",REPT(" ",LEN(A239))),LEN(A239))))))), 1)) * ROW(INDIRECT("1:"&amp;LEN((--TRIM(RIGHT(SUBSTITUTE(LEFT(A239,_xlfn.AGGREGATE(16,6,FIND({0,1,2,3,4,5,6,7,8,9},A239,ROW(INDIRECT("1:"&amp;LEN(A239)))),1))," ",REPT(" ",LEN(A239))),LEN(A239))))))), 0), ROW(INDIRECT("1:"&amp;LEN((--TRIM(RIGHT(SUBSTITUTE(LEFT(A239,_xlfn.AGGREGATE(16,6,FIND({0,1,2,3,4,5,6,7,8,9},A239,ROW(INDIRECT("1:"&amp;LEN(A239)))),1))," ",REPT(" ",LEN(A239))),LEN(A239))))))))+1, 1) * 10^ROW(INDIRECT("1:"&amp;LEN((--TRIM(RIGHT(SUBSTITUTE(LEFT(A239,_xlfn.AGGREGATE(16,6,FIND({0,1,2,3,4,5,6,7,8,9},A239,ROW(INDIRECT("1:"&amp;LEN(A239)))),1))," ",REPT(" ",LEN(A239))),LEN(A239)))))))/10))*1+1</f>
        <v>204 to 504</v>
      </c>
      <c r="B240" s="75"/>
      <c r="C240" s="49"/>
      <c r="D240" s="41"/>
      <c r="E240" s="41">
        <v>0</v>
      </c>
      <c r="F240" s="41">
        <f>D240*(($F$137)+1)+(IF(E240&lt;101,E240,IF(E240&lt;201,E240/2,IF(E240&lt;=301,E240/3,E240/4))))</f>
        <v>0</v>
      </c>
      <c r="G240" s="74" t="str">
        <f>G239</f>
        <v>2nd to 5th Floor</v>
      </c>
      <c r="H240" s="75"/>
      <c r="I240" s="35"/>
    </row>
    <row r="241" spans="1:9" s="36" customFormat="1" hidden="1" x14ac:dyDescent="0.35">
      <c r="A241" s="74" t="str">
        <f ca="1">(SUMPRODUCT(MID(0&amp;(LEFT(A240,SUM(LEN(A240)-LEN(SUBSTITUTE(A240,{"0","1","2"},""))))), LARGE(INDEX(ISNUMBER(--MID((LEFT(A240,SUM(LEN(A240)-LEN(SUBSTITUTE(A240,{"0","1","2"},""))))), ROW(INDIRECT("1:"&amp;LEN((LEFT(A240,SUM(LEN(A240)-LEN(SUBSTITUTE(A240,{"0","1","2"},"")))))))), 1)) * ROW(INDIRECT("1:"&amp;LEN((LEFT(A240,SUM(LEN(A240)-LEN(SUBSTITUTE(A240,{"0","1","2"},"")))))))), 0), ROW(INDIRECT("1:"&amp;LEN((LEFT(A240,SUM(LEN(A240)-LEN(SUBSTITUTE(A240,{"0","1","2"},"")))))))))+1, 1) * 10^ROW(INDIRECT("1:"&amp;LEN((LEFT(A240,SUM(LEN(A240)-LEN(SUBSTITUTE(A240,{"0","1","2"},""))))))))/10))*1+1&amp;""&amp;" to "&amp;""&amp;(SUMPRODUCT(MID(0&amp;(--TRIM(RIGHT(SUBSTITUTE(LEFT(A240,_xlfn.AGGREGATE(16,6,FIND({0,1,2,3,4,5,6,7,8,9},A240,ROW(INDIRECT("1:"&amp;LEN(A240)))),1))," ",REPT(" ",LEN(A240))),LEN(A240)))), LARGE(INDEX(ISNUMBER(--MID((--TRIM(RIGHT(SUBSTITUTE(LEFT(A240,_xlfn.AGGREGATE(16,6,FIND({0,1,2,3,4,5,6,7,8,9},A240,ROW(INDIRECT("1:"&amp;LEN(A240)))),1))," ",REPT(" ",LEN(A240))),LEN(A240)))), ROW(INDIRECT("1:"&amp;LEN((--TRIM(RIGHT(SUBSTITUTE(LEFT(A240,_xlfn.AGGREGATE(16,6,FIND({0,1,2,3,4,5,6,7,8,9},A240,ROW(INDIRECT("1:"&amp;LEN(A240)))),1))," ",REPT(" ",LEN(A240))),LEN(A240))))))), 1)) * ROW(INDIRECT("1:"&amp;LEN((--TRIM(RIGHT(SUBSTITUTE(LEFT(A240,_xlfn.AGGREGATE(16,6,FIND({0,1,2,3,4,5,6,7,8,9},A240,ROW(INDIRECT("1:"&amp;LEN(A240)))),1))," ",REPT(" ",LEN(A240))),LEN(A240))))))), 0), ROW(INDIRECT("1:"&amp;LEN((--TRIM(RIGHT(SUBSTITUTE(LEFT(A240,_xlfn.AGGREGATE(16,6,FIND({0,1,2,3,4,5,6,7,8,9},A240,ROW(INDIRECT("1:"&amp;LEN(A240)))),1))," ",REPT(" ",LEN(A240))),LEN(A240))))))))+1, 1) * 10^ROW(INDIRECT("1:"&amp;LEN((--TRIM(RIGHT(SUBSTITUTE(LEFT(A240,_xlfn.AGGREGATE(16,6,FIND({0,1,2,3,4,5,6,7,8,9},A240,ROW(INDIRECT("1:"&amp;LEN(A240)))),1))," ",REPT(" ",LEN(A240))),LEN(A240)))))))/10))*1+1</f>
        <v>205 to 505</v>
      </c>
      <c r="B241" s="75"/>
      <c r="C241" s="49"/>
      <c r="D241" s="41"/>
      <c r="E241" s="41">
        <v>0</v>
      </c>
      <c r="F241" s="41">
        <f>D241*(($F$137)+1)+(IF(E241&lt;101,E241,IF(E241&lt;201,E241/2,IF(E241&lt;=301,E241/3,E241/4))))</f>
        <v>0</v>
      </c>
      <c r="G241" s="74" t="str">
        <f>G240</f>
        <v>2nd to 5th Floor</v>
      </c>
      <c r="H241" s="75"/>
      <c r="I241" s="35"/>
    </row>
    <row r="242" spans="1:9" s="36" customFormat="1" hidden="1" x14ac:dyDescent="0.35">
      <c r="A242" s="80" t="s">
        <v>154</v>
      </c>
      <c r="B242" s="81"/>
      <c r="C242" s="81"/>
      <c r="D242" s="81"/>
      <c r="E242" s="81"/>
      <c r="F242" s="81"/>
      <c r="G242" s="81"/>
      <c r="H242" s="82"/>
      <c r="I242" s="35"/>
    </row>
    <row r="243" spans="1:9" s="36" customFormat="1" hidden="1" x14ac:dyDescent="0.35">
      <c r="A243" s="74" t="str">
        <f ca="1">(SUMPRODUCT(MID(0&amp;(LEFT(A242,SUM(LEN(A242)-LEN(SUBSTITUTE(A242,{"0","1","2"},""))))), LARGE(INDEX(ISNUMBER(--MID((LEFT(A242,SUM(LEN(A242)-LEN(SUBSTITUTE(A242,{"0","1","2"},""))))), ROW(INDIRECT("1:"&amp;LEN((LEFT(A242,SUM(LEN(A242)-LEN(SUBSTITUTE(A242,{"0","1","2"},"")))))))), 1)) * ROW(INDIRECT("1:"&amp;LEN((LEFT(A242,SUM(LEN(A242)-LEN(SUBSTITUTE(A242,{"0","1","2"},"")))))))), 0), ROW(INDIRECT("1:"&amp;LEN((LEFT(A242,SUM(LEN(A242)-LEN(SUBSTITUTE(A242,{"0","1","2"},"")))))))))+1, 1) * 10^ROW(INDIRECT("1:"&amp;LEN((LEFT(A242,SUM(LEN(A242)-LEN(SUBSTITUTE(A242,{"0","1","2"},""))))))))/10))*100+1&amp;""&amp;" &amp; "&amp;""&amp;(SUMPRODUCT(MID(0&amp;(--TRIM(RIGHT(SUBSTITUTE(LEFT(A242,_xlfn.AGGREGATE(16,6,FIND({0,1,2,3,4,5,6,7,8,9},A242,ROW(INDIRECT("1:"&amp;LEN(A242)))),1))," ",REPT(" ",LEN(A242))),LEN(A242)))), LARGE(INDEX(ISNUMBER(--MID((--TRIM(RIGHT(SUBSTITUTE(LEFT(A242,_xlfn.AGGREGATE(16,6,FIND({0,1,2,3,4,5,6,7,8,9},A242,ROW(INDIRECT("1:"&amp;LEN(A242)))),1))," ",REPT(" ",LEN(A242))),LEN(A242)))), ROW(INDIRECT("1:"&amp;LEN((--TRIM(RIGHT(SUBSTITUTE(LEFT(A242,_xlfn.AGGREGATE(16,6,FIND({0,1,2,3,4,5,6,7,8,9},A242,ROW(INDIRECT("1:"&amp;LEN(A242)))),1))," ",REPT(" ",LEN(A242))),LEN(A242))))))), 1)) * ROW(INDIRECT("1:"&amp;LEN((--TRIM(RIGHT(SUBSTITUTE(LEFT(A242,_xlfn.AGGREGATE(16,6,FIND({0,1,2,3,4,5,6,7,8,9},A242,ROW(INDIRECT("1:"&amp;LEN(A242)))),1))," ",REPT(" ",LEN(A242))),LEN(A242))))))), 0), ROW(INDIRECT("1:"&amp;LEN((--TRIM(RIGHT(SUBSTITUTE(LEFT(A242,_xlfn.AGGREGATE(16,6,FIND({0,1,2,3,4,5,6,7,8,9},A242,ROW(INDIRECT("1:"&amp;LEN(A242)))),1))," ",REPT(" ",LEN(A242))),LEN(A242))))))))+1, 1) * 10^ROW(INDIRECT("1:"&amp;LEN((--TRIM(RIGHT(SUBSTITUTE(LEFT(A242,_xlfn.AGGREGATE(16,6,FIND({0,1,2,3,4,5,6,7,8,9},A242,ROW(INDIRECT("1:"&amp;LEN(A242)))),1))," ",REPT(" ",LEN(A242))),LEN(A242)))))))/10))*100+1</f>
        <v>201 &amp; 501</v>
      </c>
      <c r="B243" s="75"/>
      <c r="C243" s="49"/>
      <c r="D243" s="41"/>
      <c r="E243" s="41">
        <v>0</v>
      </c>
      <c r="F243" s="41">
        <f>D243*(($F$137)+1)+(IF(E243&lt;101,E243,IF(E243&lt;201,E243/2,IF(E243&lt;=301,E243/3,E243/4))))</f>
        <v>0</v>
      </c>
      <c r="G243" s="74" t="str">
        <f>A242</f>
        <v>2nd &amp; 5th Floor</v>
      </c>
      <c r="H243" s="75"/>
      <c r="I243" s="35"/>
    </row>
    <row r="244" spans="1:9" s="36" customFormat="1" hidden="1" x14ac:dyDescent="0.35">
      <c r="A244" s="74" t="str">
        <f ca="1">(SUMPRODUCT(MID(0&amp;(LEFT(A243,SUM(LEN(A243)-LEN(SUBSTITUTE(A243,{"0","1","2"},""))))), LARGE(INDEX(ISNUMBER(--MID((LEFT(A243,SUM(LEN(A243)-LEN(SUBSTITUTE(A243,{"0","1","2"},""))))), ROW(INDIRECT("1:"&amp;LEN((LEFT(A243,SUM(LEN(A243)-LEN(SUBSTITUTE(A243,{"0","1","2"},"")))))))), 1)) * ROW(INDIRECT("1:"&amp;LEN((LEFT(A243,SUM(LEN(A243)-LEN(SUBSTITUTE(A243,{"0","1","2"},"")))))))), 0), ROW(INDIRECT("1:"&amp;LEN((LEFT(A243,SUM(LEN(A243)-LEN(SUBSTITUTE(A243,{"0","1","2"},"")))))))))+1, 1) * 10^ROW(INDIRECT("1:"&amp;LEN((LEFT(A243,SUM(LEN(A243)-LEN(SUBSTITUTE(A243,{"0","1","2"},""))))))))/10))*1+1&amp;""&amp;" &amp; "&amp;""&amp;(SUMPRODUCT(MID(0&amp;(--TRIM(RIGHT(SUBSTITUTE(LEFT(A243,_xlfn.AGGREGATE(16,6,FIND({0,1,2,3,4,5,6,7,8,9},A243,ROW(INDIRECT("1:"&amp;LEN(A243)))),1))," ",REPT(" ",LEN(A243))),LEN(A243)))), LARGE(INDEX(ISNUMBER(--MID((--TRIM(RIGHT(SUBSTITUTE(LEFT(A243,_xlfn.AGGREGATE(16,6,FIND({0,1,2,3,4,5,6,7,8,9},A243,ROW(INDIRECT("1:"&amp;LEN(A243)))),1))," ",REPT(" ",LEN(A243))),LEN(A243)))), ROW(INDIRECT("1:"&amp;LEN((--TRIM(RIGHT(SUBSTITUTE(LEFT(A243,_xlfn.AGGREGATE(16,6,FIND({0,1,2,3,4,5,6,7,8,9},A243,ROW(INDIRECT("1:"&amp;LEN(A243)))),1))," ",REPT(" ",LEN(A243))),LEN(A243))))))), 1)) * ROW(INDIRECT("1:"&amp;LEN((--TRIM(RIGHT(SUBSTITUTE(LEFT(A243,_xlfn.AGGREGATE(16,6,FIND({0,1,2,3,4,5,6,7,8,9},A243,ROW(INDIRECT("1:"&amp;LEN(A243)))),1))," ",REPT(" ",LEN(A243))),LEN(A243))))))), 0), ROW(INDIRECT("1:"&amp;LEN((--TRIM(RIGHT(SUBSTITUTE(LEFT(A243,_xlfn.AGGREGATE(16,6,FIND({0,1,2,3,4,5,6,7,8,9},A243,ROW(INDIRECT("1:"&amp;LEN(A243)))),1))," ",REPT(" ",LEN(A243))),LEN(A243))))))))+1, 1) * 10^ROW(INDIRECT("1:"&amp;LEN((--TRIM(RIGHT(SUBSTITUTE(LEFT(A243,_xlfn.AGGREGATE(16,6,FIND({0,1,2,3,4,5,6,7,8,9},A243,ROW(INDIRECT("1:"&amp;LEN(A243)))),1))," ",REPT(" ",LEN(A243))),LEN(A243)))))))/10))*1+1</f>
        <v>202 &amp; 502</v>
      </c>
      <c r="B244" s="75"/>
      <c r="C244" s="49"/>
      <c r="D244" s="41"/>
      <c r="E244" s="41">
        <v>0</v>
      </c>
      <c r="F244" s="41">
        <f>D244*(($F$137)+1)+(IF(E244&lt;101,E244,IF(E244&lt;201,E244/2,IF(E244&lt;=301,E244/3,E244/4))))</f>
        <v>0</v>
      </c>
      <c r="G244" s="74" t="str">
        <f t="shared" ref="G244:G247" si="32">G243</f>
        <v>2nd &amp; 5th Floor</v>
      </c>
      <c r="H244" s="75"/>
      <c r="I244" s="35"/>
    </row>
    <row r="245" spans="1:9" s="36" customFormat="1" hidden="1" x14ac:dyDescent="0.35">
      <c r="A245" s="74" t="str">
        <f ca="1">(SUMPRODUCT(MID(0&amp;(LEFT(A244,SUM(LEN(A244)-LEN(SUBSTITUTE(A244,{"0","1","2"},""))))), LARGE(INDEX(ISNUMBER(--MID((LEFT(A244,SUM(LEN(A244)-LEN(SUBSTITUTE(A244,{"0","1","2"},""))))), ROW(INDIRECT("1:"&amp;LEN((LEFT(A244,SUM(LEN(A244)-LEN(SUBSTITUTE(A244,{"0","1","2"},"")))))))), 1)) * ROW(INDIRECT("1:"&amp;LEN((LEFT(A244,SUM(LEN(A244)-LEN(SUBSTITUTE(A244,{"0","1","2"},"")))))))), 0), ROW(INDIRECT("1:"&amp;LEN((LEFT(A244,SUM(LEN(A244)-LEN(SUBSTITUTE(A244,{"0","1","2"},"")))))))))+1, 1) * 10^ROW(INDIRECT("1:"&amp;LEN((LEFT(A244,SUM(LEN(A244)-LEN(SUBSTITUTE(A244,{"0","1","2"},""))))))))/10))*1+1&amp;""&amp;" &amp; "&amp;""&amp;(SUMPRODUCT(MID(0&amp;(--TRIM(RIGHT(SUBSTITUTE(LEFT(A244,_xlfn.AGGREGATE(16,6,FIND({0,1,2,3,4,5,6,7,8,9},A244,ROW(INDIRECT("1:"&amp;LEN(A244)))),1))," ",REPT(" ",LEN(A244))),LEN(A244)))), LARGE(INDEX(ISNUMBER(--MID((--TRIM(RIGHT(SUBSTITUTE(LEFT(A244,_xlfn.AGGREGATE(16,6,FIND({0,1,2,3,4,5,6,7,8,9},A244,ROW(INDIRECT("1:"&amp;LEN(A244)))),1))," ",REPT(" ",LEN(A244))),LEN(A244)))), ROW(INDIRECT("1:"&amp;LEN((--TRIM(RIGHT(SUBSTITUTE(LEFT(A244,_xlfn.AGGREGATE(16,6,FIND({0,1,2,3,4,5,6,7,8,9},A244,ROW(INDIRECT("1:"&amp;LEN(A244)))),1))," ",REPT(" ",LEN(A244))),LEN(A244))))))), 1)) * ROW(INDIRECT("1:"&amp;LEN((--TRIM(RIGHT(SUBSTITUTE(LEFT(A244,_xlfn.AGGREGATE(16,6,FIND({0,1,2,3,4,5,6,7,8,9},A244,ROW(INDIRECT("1:"&amp;LEN(A244)))),1))," ",REPT(" ",LEN(A244))),LEN(A244))))))), 0), ROW(INDIRECT("1:"&amp;LEN((--TRIM(RIGHT(SUBSTITUTE(LEFT(A244,_xlfn.AGGREGATE(16,6,FIND({0,1,2,3,4,5,6,7,8,9},A244,ROW(INDIRECT("1:"&amp;LEN(A244)))),1))," ",REPT(" ",LEN(A244))),LEN(A244))))))))+1, 1) * 10^ROW(INDIRECT("1:"&amp;LEN((--TRIM(RIGHT(SUBSTITUTE(LEFT(A244,_xlfn.AGGREGATE(16,6,FIND({0,1,2,3,4,5,6,7,8,9},A244,ROW(INDIRECT("1:"&amp;LEN(A244)))),1))," ",REPT(" ",LEN(A244))),LEN(A244)))))))/10))*1+1</f>
        <v>203 &amp; 503</v>
      </c>
      <c r="B245" s="75"/>
      <c r="C245" s="49"/>
      <c r="D245" s="41"/>
      <c r="E245" s="41">
        <v>0</v>
      </c>
      <c r="F245" s="41">
        <f>D245*(($F$137)+1)+(IF(E245&lt;101,E245,IF(E245&lt;201,E245/2,IF(E245&lt;=301,E245/3,E245/4))))</f>
        <v>0</v>
      </c>
      <c r="G245" s="74" t="str">
        <f t="shared" si="32"/>
        <v>2nd &amp; 5th Floor</v>
      </c>
      <c r="H245" s="75"/>
      <c r="I245" s="35"/>
    </row>
    <row r="246" spans="1:9" s="36" customFormat="1" hidden="1" x14ac:dyDescent="0.35">
      <c r="A246" s="74" t="str">
        <f ca="1">(SUMPRODUCT(MID(0&amp;(LEFT(A245,SUM(LEN(A245)-LEN(SUBSTITUTE(A245,{"0","1","2"},""))))), LARGE(INDEX(ISNUMBER(--MID((LEFT(A245,SUM(LEN(A245)-LEN(SUBSTITUTE(A245,{"0","1","2"},""))))), ROW(INDIRECT("1:"&amp;LEN((LEFT(A245,SUM(LEN(A245)-LEN(SUBSTITUTE(A245,{"0","1","2"},"")))))))), 1)) * ROW(INDIRECT("1:"&amp;LEN((LEFT(A245,SUM(LEN(A245)-LEN(SUBSTITUTE(A245,{"0","1","2"},"")))))))), 0), ROW(INDIRECT("1:"&amp;LEN((LEFT(A245,SUM(LEN(A245)-LEN(SUBSTITUTE(A245,{"0","1","2"},"")))))))))+1, 1) * 10^ROW(INDIRECT("1:"&amp;LEN((LEFT(A245,SUM(LEN(A245)-LEN(SUBSTITUTE(A245,{"0","1","2"},""))))))))/10))*1+1&amp;""&amp;" &amp; "&amp;""&amp;(SUMPRODUCT(MID(0&amp;(--TRIM(RIGHT(SUBSTITUTE(LEFT(A245,_xlfn.AGGREGATE(16,6,FIND({0,1,2,3,4,5,6,7,8,9},A245,ROW(INDIRECT("1:"&amp;LEN(A245)))),1))," ",REPT(" ",LEN(A245))),LEN(A245)))), LARGE(INDEX(ISNUMBER(--MID((--TRIM(RIGHT(SUBSTITUTE(LEFT(A245,_xlfn.AGGREGATE(16,6,FIND({0,1,2,3,4,5,6,7,8,9},A245,ROW(INDIRECT("1:"&amp;LEN(A245)))),1))," ",REPT(" ",LEN(A245))),LEN(A245)))), ROW(INDIRECT("1:"&amp;LEN((--TRIM(RIGHT(SUBSTITUTE(LEFT(A245,_xlfn.AGGREGATE(16,6,FIND({0,1,2,3,4,5,6,7,8,9},A245,ROW(INDIRECT("1:"&amp;LEN(A245)))),1))," ",REPT(" ",LEN(A245))),LEN(A245))))))), 1)) * ROW(INDIRECT("1:"&amp;LEN((--TRIM(RIGHT(SUBSTITUTE(LEFT(A245,_xlfn.AGGREGATE(16,6,FIND({0,1,2,3,4,5,6,7,8,9},A245,ROW(INDIRECT("1:"&amp;LEN(A245)))),1))," ",REPT(" ",LEN(A245))),LEN(A245))))))), 0), ROW(INDIRECT("1:"&amp;LEN((--TRIM(RIGHT(SUBSTITUTE(LEFT(A245,_xlfn.AGGREGATE(16,6,FIND({0,1,2,3,4,5,6,7,8,9},A245,ROW(INDIRECT("1:"&amp;LEN(A245)))),1))," ",REPT(" ",LEN(A245))),LEN(A245))))))))+1, 1) * 10^ROW(INDIRECT("1:"&amp;LEN((--TRIM(RIGHT(SUBSTITUTE(LEFT(A245,_xlfn.AGGREGATE(16,6,FIND({0,1,2,3,4,5,6,7,8,9},A245,ROW(INDIRECT("1:"&amp;LEN(A245)))),1))," ",REPT(" ",LEN(A245))),LEN(A245)))))))/10))*1+1</f>
        <v>204 &amp; 504</v>
      </c>
      <c r="B246" s="75"/>
      <c r="C246" s="49"/>
      <c r="D246" s="41"/>
      <c r="E246" s="41">
        <v>0</v>
      </c>
      <c r="F246" s="41">
        <f>D246*(($F$137)+1)+(IF(E246&lt;101,E246,IF(E246&lt;201,E246/2,IF(E246&lt;=301,E246/3,E246/4))))</f>
        <v>0</v>
      </c>
      <c r="G246" s="74" t="str">
        <f t="shared" si="32"/>
        <v>2nd &amp; 5th Floor</v>
      </c>
      <c r="H246" s="75"/>
      <c r="I246" s="35"/>
    </row>
    <row r="247" spans="1:9" s="36" customFormat="1" hidden="1" x14ac:dyDescent="0.35">
      <c r="A247" s="74" t="str">
        <f ca="1">(SUMPRODUCT(MID(0&amp;(LEFT(A246,SUM(LEN(A246)-LEN(SUBSTITUTE(A246,{"0","1","2"},""))))), LARGE(INDEX(ISNUMBER(--MID((LEFT(A246,SUM(LEN(A246)-LEN(SUBSTITUTE(A246,{"0","1","2"},""))))), ROW(INDIRECT("1:"&amp;LEN((LEFT(A246,SUM(LEN(A246)-LEN(SUBSTITUTE(A246,{"0","1","2"},"")))))))), 1)) * ROW(INDIRECT("1:"&amp;LEN((LEFT(A246,SUM(LEN(A246)-LEN(SUBSTITUTE(A246,{"0","1","2"},"")))))))), 0), ROW(INDIRECT("1:"&amp;LEN((LEFT(A246,SUM(LEN(A246)-LEN(SUBSTITUTE(A246,{"0","1","2"},"")))))))))+1, 1) * 10^ROW(INDIRECT("1:"&amp;LEN((LEFT(A246,SUM(LEN(A246)-LEN(SUBSTITUTE(A246,{"0","1","2"},""))))))))/10))*1+1&amp;""&amp;" &amp; "&amp;""&amp;(SUMPRODUCT(MID(0&amp;(--TRIM(RIGHT(SUBSTITUTE(LEFT(A246,_xlfn.AGGREGATE(16,6,FIND({0,1,2,3,4,5,6,7,8,9},A246,ROW(INDIRECT("1:"&amp;LEN(A246)))),1))," ",REPT(" ",LEN(A246))),LEN(A246)))), LARGE(INDEX(ISNUMBER(--MID((--TRIM(RIGHT(SUBSTITUTE(LEFT(A246,_xlfn.AGGREGATE(16,6,FIND({0,1,2,3,4,5,6,7,8,9},A246,ROW(INDIRECT("1:"&amp;LEN(A246)))),1))," ",REPT(" ",LEN(A246))),LEN(A246)))), ROW(INDIRECT("1:"&amp;LEN((--TRIM(RIGHT(SUBSTITUTE(LEFT(A246,_xlfn.AGGREGATE(16,6,FIND({0,1,2,3,4,5,6,7,8,9},A246,ROW(INDIRECT("1:"&amp;LEN(A246)))),1))," ",REPT(" ",LEN(A246))),LEN(A246))))))), 1)) * ROW(INDIRECT("1:"&amp;LEN((--TRIM(RIGHT(SUBSTITUTE(LEFT(A246,_xlfn.AGGREGATE(16,6,FIND({0,1,2,3,4,5,6,7,8,9},A246,ROW(INDIRECT("1:"&amp;LEN(A246)))),1))," ",REPT(" ",LEN(A246))),LEN(A246))))))), 0), ROW(INDIRECT("1:"&amp;LEN((--TRIM(RIGHT(SUBSTITUTE(LEFT(A246,_xlfn.AGGREGATE(16,6,FIND({0,1,2,3,4,5,6,7,8,9},A246,ROW(INDIRECT("1:"&amp;LEN(A246)))),1))," ",REPT(" ",LEN(A246))),LEN(A246))))))))+1, 1) * 10^ROW(INDIRECT("1:"&amp;LEN((--TRIM(RIGHT(SUBSTITUTE(LEFT(A246,_xlfn.AGGREGATE(16,6,FIND({0,1,2,3,4,5,6,7,8,9},A246,ROW(INDIRECT("1:"&amp;LEN(A246)))),1))," ",REPT(" ",LEN(A246))),LEN(A246)))))))/10))*1+1</f>
        <v>205 &amp; 505</v>
      </c>
      <c r="B247" s="75"/>
      <c r="C247" s="49"/>
      <c r="D247" s="41"/>
      <c r="E247" s="41">
        <v>0</v>
      </c>
      <c r="F247" s="41">
        <f>D247*(($F$137)+1)+(IF(E247&lt;101,E247,IF(E247&lt;201,E247/2,IF(E247&lt;=301,E247/3,E247/4))))</f>
        <v>0</v>
      </c>
      <c r="G247" s="74" t="str">
        <f t="shared" si="32"/>
        <v>2nd &amp; 5th Floor</v>
      </c>
      <c r="H247" s="75"/>
      <c r="I247" s="35"/>
    </row>
    <row r="248" spans="1:9" s="34" customFormat="1" x14ac:dyDescent="0.35">
      <c r="A248" s="79" t="s">
        <v>70</v>
      </c>
      <c r="B248" s="79"/>
      <c r="C248" s="79"/>
      <c r="D248" s="79"/>
      <c r="E248" s="79"/>
      <c r="F248" s="79"/>
      <c r="G248" s="79"/>
      <c r="H248" s="79"/>
    </row>
    <row r="249" spans="1:9" s="34" customFormat="1" ht="31.5" customHeight="1" x14ac:dyDescent="0.35">
      <c r="A249" s="44" t="s">
        <v>163</v>
      </c>
      <c r="B249" s="84" t="s">
        <v>254</v>
      </c>
      <c r="C249" s="85"/>
      <c r="D249" s="85"/>
      <c r="E249" s="85"/>
      <c r="F249" s="85"/>
      <c r="G249" s="85"/>
      <c r="H249" s="86"/>
    </row>
    <row r="250" spans="1:9" s="34" customFormat="1" x14ac:dyDescent="0.35">
      <c r="A250" s="44" t="s">
        <v>163</v>
      </c>
      <c r="B250" s="84" t="str">
        <f>(IF(F136="Saleable area Loading :","We have considered Saleable area of Flats as per our Calculation.","We considered Saleable area of Flat as per Builder area Sheet."))</f>
        <v>We have considered Saleable area of Flats as per our Calculation.</v>
      </c>
      <c r="C250" s="85"/>
      <c r="D250" s="85"/>
      <c r="E250" s="85"/>
      <c r="F250" s="85"/>
      <c r="G250" s="85"/>
      <c r="H250" s="86"/>
    </row>
    <row r="251" spans="1:9" s="34" customFormat="1" x14ac:dyDescent="0.35">
      <c r="A251" s="44" t="s">
        <v>163</v>
      </c>
      <c r="B251" s="84" t="str">
        <f>(IF(F122="Saleable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51" s="85"/>
      <c r="D251" s="85"/>
      <c r="E251" s="85"/>
      <c r="F251" s="85"/>
      <c r="G251" s="85"/>
      <c r="H251" s="86"/>
    </row>
    <row r="252" spans="1:9" s="34" customFormat="1" x14ac:dyDescent="0.35">
      <c r="A252" s="44" t="s">
        <v>163</v>
      </c>
      <c r="B252" s="70" t="s">
        <v>130</v>
      </c>
      <c r="C252" s="71"/>
      <c r="D252" s="71"/>
      <c r="E252" s="71"/>
      <c r="F252" s="71"/>
      <c r="G252" s="71"/>
      <c r="H252" s="72"/>
    </row>
    <row r="253" spans="1:9" s="34" customFormat="1" x14ac:dyDescent="0.35">
      <c r="A253" s="44" t="s">
        <v>163</v>
      </c>
      <c r="B253" s="70" t="s">
        <v>236</v>
      </c>
      <c r="C253" s="71"/>
      <c r="D253" s="71"/>
      <c r="E253" s="71"/>
      <c r="F253" s="71"/>
      <c r="G253" s="71"/>
      <c r="H253" s="72"/>
    </row>
    <row r="254" spans="1:9" s="34" customFormat="1" x14ac:dyDescent="0.35">
      <c r="A254" s="44" t="s">
        <v>163</v>
      </c>
      <c r="B254" s="70" t="s">
        <v>162</v>
      </c>
      <c r="C254" s="71"/>
      <c r="D254" s="71"/>
      <c r="E254" s="71"/>
      <c r="F254" s="71"/>
      <c r="G254" s="71"/>
      <c r="H254" s="72"/>
    </row>
    <row r="255" spans="1:9" s="34" customFormat="1" x14ac:dyDescent="0.35">
      <c r="A255" s="44" t="s">
        <v>163</v>
      </c>
      <c r="B255" s="70" t="s">
        <v>131</v>
      </c>
      <c r="C255" s="71"/>
      <c r="D255" s="71"/>
      <c r="E255" s="71"/>
      <c r="F255" s="71"/>
      <c r="G255" s="71"/>
      <c r="H255" s="72"/>
    </row>
    <row r="256" spans="1:9" s="34" customFormat="1" ht="34.5" customHeight="1" x14ac:dyDescent="0.35">
      <c r="A256" s="44" t="s">
        <v>163</v>
      </c>
      <c r="B256" s="70" t="s">
        <v>164</v>
      </c>
      <c r="C256" s="71"/>
      <c r="D256" s="71"/>
      <c r="E256" s="71"/>
      <c r="F256" s="71"/>
      <c r="G256" s="71"/>
      <c r="H256" s="72"/>
    </row>
    <row r="257" spans="1:8" s="34" customFormat="1" x14ac:dyDescent="0.35">
      <c r="A257" s="44" t="s">
        <v>163</v>
      </c>
      <c r="B257" s="70" t="s">
        <v>132</v>
      </c>
      <c r="C257" s="71"/>
      <c r="D257" s="71"/>
      <c r="E257" s="71"/>
      <c r="F257" s="71"/>
      <c r="G257" s="71"/>
      <c r="H257" s="72"/>
    </row>
    <row r="258" spans="1:8" s="34" customFormat="1" x14ac:dyDescent="0.35">
      <c r="A258" s="56" t="s">
        <v>163</v>
      </c>
      <c r="B258" s="70" t="s">
        <v>247</v>
      </c>
      <c r="C258" s="71"/>
      <c r="D258" s="71"/>
      <c r="E258" s="71"/>
      <c r="F258" s="71"/>
      <c r="G258" s="71"/>
      <c r="H258" s="72"/>
    </row>
    <row r="259" spans="1:8" s="34" customFormat="1" x14ac:dyDescent="0.35">
      <c r="A259" s="57" t="s">
        <v>163</v>
      </c>
      <c r="B259" s="70" t="s">
        <v>245</v>
      </c>
      <c r="C259" s="71"/>
      <c r="D259" s="71"/>
      <c r="E259" s="71"/>
      <c r="F259" s="71"/>
      <c r="G259" s="71"/>
      <c r="H259" s="72"/>
    </row>
    <row r="260" spans="1:8" s="34" customFormat="1" x14ac:dyDescent="0.35">
      <c r="A260" s="63" t="s">
        <v>163</v>
      </c>
      <c r="B260" s="70" t="s">
        <v>252</v>
      </c>
      <c r="C260" s="71"/>
      <c r="D260" s="71"/>
      <c r="E260" s="71"/>
      <c r="F260" s="71"/>
      <c r="G260" s="71"/>
      <c r="H260" s="72"/>
    </row>
    <row r="261" spans="1:8" x14ac:dyDescent="0.35">
      <c r="A261" s="140" t="s">
        <v>63</v>
      </c>
      <c r="B261" s="140"/>
      <c r="C261" s="140"/>
      <c r="D261" s="140"/>
      <c r="E261" s="140"/>
      <c r="F261" s="140"/>
      <c r="G261" s="140"/>
      <c r="H261" s="140"/>
    </row>
    <row r="262" spans="1:8" x14ac:dyDescent="0.35">
      <c r="A262" s="87" t="s">
        <v>64</v>
      </c>
      <c r="B262" s="87"/>
      <c r="C262" s="87"/>
      <c r="D262" s="87"/>
      <c r="E262" s="87"/>
      <c r="F262" s="87"/>
      <c r="G262" s="87"/>
      <c r="H262" s="87"/>
    </row>
    <row r="263" spans="1:8" ht="15.75" customHeight="1" x14ac:dyDescent="0.35">
      <c r="A263" s="151" t="s">
        <v>65</v>
      </c>
      <c r="B263" s="151"/>
      <c r="C263" s="151"/>
      <c r="D263" s="151"/>
      <c r="E263" s="151"/>
      <c r="F263" s="151"/>
      <c r="G263" s="151"/>
      <c r="H263" s="151"/>
    </row>
    <row r="264" spans="1:8" x14ac:dyDescent="0.35">
      <c r="A264" s="87" t="s">
        <v>66</v>
      </c>
      <c r="B264" s="87"/>
      <c r="C264" s="87"/>
      <c r="D264" s="87"/>
      <c r="E264" s="87"/>
      <c r="F264" s="87"/>
      <c r="G264" s="87"/>
      <c r="H264" s="87"/>
    </row>
    <row r="265" spans="1:8" x14ac:dyDescent="0.35">
      <c r="A265" s="87" t="s">
        <v>67</v>
      </c>
      <c r="B265" s="87"/>
      <c r="C265" s="87"/>
      <c r="D265" s="87"/>
      <c r="E265" s="87"/>
      <c r="F265" s="87"/>
      <c r="G265" s="87"/>
      <c r="H265" s="87"/>
    </row>
    <row r="266" spans="1:8" x14ac:dyDescent="0.35">
      <c r="A266" s="87" t="s">
        <v>133</v>
      </c>
      <c r="B266" s="87"/>
      <c r="C266" s="87"/>
      <c r="D266" s="87"/>
      <c r="E266" s="87"/>
      <c r="F266" s="87"/>
      <c r="G266" s="87"/>
      <c r="H266" s="87"/>
    </row>
    <row r="267" spans="1:8" x14ac:dyDescent="0.35">
      <c r="A267" s="112" t="s">
        <v>134</v>
      </c>
      <c r="B267" s="112"/>
      <c r="C267" s="112"/>
      <c r="D267" s="112"/>
      <c r="E267" s="112"/>
      <c r="F267" s="112"/>
      <c r="G267" s="112"/>
      <c r="H267" s="112"/>
    </row>
    <row r="268" spans="1:8" x14ac:dyDescent="0.35">
      <c r="A268" s="138" t="s">
        <v>79</v>
      </c>
      <c r="B268" s="138"/>
      <c r="C268" s="138" t="s">
        <v>246</v>
      </c>
      <c r="D268" s="138"/>
      <c r="E268" s="138" t="s">
        <v>109</v>
      </c>
      <c r="F268" s="138"/>
      <c r="G268" s="138" t="s">
        <v>253</v>
      </c>
      <c r="H268" s="138"/>
    </row>
    <row r="269" spans="1:8" x14ac:dyDescent="0.35">
      <c r="A269" s="137" t="s">
        <v>81</v>
      </c>
      <c r="B269" s="137"/>
      <c r="C269" s="137"/>
      <c r="D269" s="137"/>
      <c r="E269" s="137"/>
      <c r="F269" s="137"/>
      <c r="G269" s="137"/>
      <c r="H269" s="137"/>
    </row>
    <row r="270" spans="1:8" x14ac:dyDescent="0.35">
      <c r="A270" s="137"/>
      <c r="B270" s="137"/>
      <c r="C270" s="137"/>
      <c r="D270" s="137"/>
      <c r="E270" s="137"/>
      <c r="F270" s="137"/>
      <c r="G270" s="137"/>
      <c r="H270" s="137"/>
    </row>
    <row r="271" spans="1:8" x14ac:dyDescent="0.35">
      <c r="A271" s="137"/>
      <c r="B271" s="137"/>
      <c r="C271" s="137"/>
      <c r="D271" s="137"/>
      <c r="E271" s="137"/>
      <c r="F271" s="137"/>
      <c r="G271" s="137"/>
      <c r="H271" s="137"/>
    </row>
    <row r="272" spans="1:8" x14ac:dyDescent="0.35">
      <c r="A272" s="37" t="s">
        <v>68</v>
      </c>
      <c r="B272" s="38"/>
      <c r="C272" s="38"/>
      <c r="D272" s="37" t="str">
        <f>E8</f>
        <v>Veena Suyog</v>
      </c>
      <c r="F272" s="38"/>
      <c r="G272" s="38"/>
      <c r="H272" s="38"/>
    </row>
    <row r="273" spans="1:8" x14ac:dyDescent="0.35">
      <c r="A273" s="38"/>
      <c r="B273" s="38"/>
      <c r="C273" s="38"/>
      <c r="D273" s="38"/>
      <c r="E273" s="38"/>
      <c r="F273" s="38"/>
      <c r="G273" s="38"/>
      <c r="H273" s="38"/>
    </row>
    <row r="274" spans="1:8" x14ac:dyDescent="0.35">
      <c r="A274" s="38"/>
      <c r="B274" s="38"/>
      <c r="C274" s="38"/>
      <c r="D274" s="38"/>
      <c r="E274" s="38"/>
      <c r="F274" s="38"/>
      <c r="G274" s="38"/>
      <c r="H274" s="38"/>
    </row>
    <row r="275" spans="1:8" ht="15" customHeight="1" x14ac:dyDescent="0.35"/>
    <row r="314" spans="1:1" x14ac:dyDescent="0.35">
      <c r="A314" s="40" t="s">
        <v>178</v>
      </c>
    </row>
    <row r="356" spans="1:1" x14ac:dyDescent="0.35">
      <c r="A356" s="40" t="s">
        <v>69</v>
      </c>
    </row>
  </sheetData>
  <mergeCells count="527">
    <mergeCell ref="A83:B83"/>
    <mergeCell ref="C83:H83"/>
    <mergeCell ref="A84:B84"/>
    <mergeCell ref="E84:F84"/>
    <mergeCell ref="G84:H84"/>
    <mergeCell ref="A85:B85"/>
    <mergeCell ref="E85:F94"/>
    <mergeCell ref="G85:H94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L157:M157"/>
    <mergeCell ref="A158:B158"/>
    <mergeCell ref="L158:M158"/>
    <mergeCell ref="A153:H153"/>
    <mergeCell ref="A154:B154"/>
    <mergeCell ref="L154:M154"/>
    <mergeCell ref="A155:B155"/>
    <mergeCell ref="L155:M155"/>
    <mergeCell ref="A156:B156"/>
    <mergeCell ref="L156:M156"/>
    <mergeCell ref="L146:M146"/>
    <mergeCell ref="G142:H146"/>
    <mergeCell ref="C142:F143"/>
    <mergeCell ref="A139:H139"/>
    <mergeCell ref="A147:H147"/>
    <mergeCell ref="A148:B148"/>
    <mergeCell ref="C148:F149"/>
    <mergeCell ref="G148:H152"/>
    <mergeCell ref="L148:M148"/>
    <mergeCell ref="A149:B149"/>
    <mergeCell ref="L149:M149"/>
    <mergeCell ref="A150:B150"/>
    <mergeCell ref="L150:M150"/>
    <mergeCell ref="A151:B151"/>
    <mergeCell ref="L151:M151"/>
    <mergeCell ref="A152:B152"/>
    <mergeCell ref="L152:M152"/>
    <mergeCell ref="A143:B143"/>
    <mergeCell ref="L143:M143"/>
    <mergeCell ref="A144:B144"/>
    <mergeCell ref="L144:M144"/>
    <mergeCell ref="A145:B145"/>
    <mergeCell ref="L145:M145"/>
    <mergeCell ref="A142:B142"/>
    <mergeCell ref="L142:M142"/>
    <mergeCell ref="A140:H140"/>
    <mergeCell ref="L134:M134"/>
    <mergeCell ref="L133:M133"/>
    <mergeCell ref="L132:M132"/>
    <mergeCell ref="L131:M131"/>
    <mergeCell ref="B136:B137"/>
    <mergeCell ref="A135:H135"/>
    <mergeCell ref="A136:A137"/>
    <mergeCell ref="D65:H65"/>
    <mergeCell ref="A77:B77"/>
    <mergeCell ref="L129:M129"/>
    <mergeCell ref="A138:H138"/>
    <mergeCell ref="A141:H141"/>
    <mergeCell ref="L127:M127"/>
    <mergeCell ref="C122:C123"/>
    <mergeCell ref="A98:E98"/>
    <mergeCell ref="A95:E95"/>
    <mergeCell ref="F100:H100"/>
    <mergeCell ref="A101:E101"/>
    <mergeCell ref="A118:B118"/>
    <mergeCell ref="E118:F118"/>
    <mergeCell ref="A112:A113"/>
    <mergeCell ref="G126:H127"/>
    <mergeCell ref="F95:H95"/>
    <mergeCell ref="F101:H101"/>
    <mergeCell ref="F107:H107"/>
    <mergeCell ref="F105:H105"/>
    <mergeCell ref="B122:B123"/>
    <mergeCell ref="A122:A123"/>
    <mergeCell ref="C136:C137"/>
    <mergeCell ref="A81:B81"/>
    <mergeCell ref="C81:H81"/>
    <mergeCell ref="D55:H55"/>
    <mergeCell ref="D59:H59"/>
    <mergeCell ref="A58:C59"/>
    <mergeCell ref="D58:H58"/>
    <mergeCell ref="C53:E53"/>
    <mergeCell ref="A50:B50"/>
    <mergeCell ref="A54:H54"/>
    <mergeCell ref="A55:C55"/>
    <mergeCell ref="A56:C56"/>
    <mergeCell ref="D56:H56"/>
    <mergeCell ref="G53:H53"/>
    <mergeCell ref="A53:B53"/>
    <mergeCell ref="A51:B52"/>
    <mergeCell ref="C51:E51"/>
    <mergeCell ref="G51:H51"/>
    <mergeCell ref="C52:E52"/>
    <mergeCell ref="G52:H52"/>
    <mergeCell ref="A266:H266"/>
    <mergeCell ref="A263:H263"/>
    <mergeCell ref="G240:H240"/>
    <mergeCell ref="A225:B225"/>
    <mergeCell ref="A116:B116"/>
    <mergeCell ref="D136:D137"/>
    <mergeCell ref="E136:E137"/>
    <mergeCell ref="G136:H137"/>
    <mergeCell ref="F96:H96"/>
    <mergeCell ref="G112:H112"/>
    <mergeCell ref="A119:B119"/>
    <mergeCell ref="C119:D119"/>
    <mergeCell ref="E119:F119"/>
    <mergeCell ref="G119:H119"/>
    <mergeCell ref="F104:H104"/>
    <mergeCell ref="C111:D111"/>
    <mergeCell ref="A127:B127"/>
    <mergeCell ref="A128:H128"/>
    <mergeCell ref="A129:B129"/>
    <mergeCell ref="G129:H129"/>
    <mergeCell ref="A106:E106"/>
    <mergeCell ref="C112:D112"/>
    <mergeCell ref="E112:F112"/>
    <mergeCell ref="G226:H226"/>
    <mergeCell ref="A61:C61"/>
    <mergeCell ref="E71:F80"/>
    <mergeCell ref="G71:H80"/>
    <mergeCell ref="A73:B73"/>
    <mergeCell ref="A69:B69"/>
    <mergeCell ref="A67:B67"/>
    <mergeCell ref="C67:H67"/>
    <mergeCell ref="A75:B75"/>
    <mergeCell ref="A62:C62"/>
    <mergeCell ref="A66:C66"/>
    <mergeCell ref="D66:H66"/>
    <mergeCell ref="A64:C64"/>
    <mergeCell ref="A71:B71"/>
    <mergeCell ref="G70:H70"/>
    <mergeCell ref="D61:H61"/>
    <mergeCell ref="D62:H62"/>
    <mergeCell ref="C69:H69"/>
    <mergeCell ref="A72:B72"/>
    <mergeCell ref="A74:B74"/>
    <mergeCell ref="E70:F70"/>
    <mergeCell ref="A76:B76"/>
    <mergeCell ref="A70:B70"/>
    <mergeCell ref="D64:H64"/>
    <mergeCell ref="A65:C65"/>
    <mergeCell ref="G214:H218"/>
    <mergeCell ref="A232:B232"/>
    <mergeCell ref="A121:H121"/>
    <mergeCell ref="A231:B231"/>
    <mergeCell ref="G220:H220"/>
    <mergeCell ref="G227:H227"/>
    <mergeCell ref="A183:H183"/>
    <mergeCell ref="A219:H219"/>
    <mergeCell ref="G223:H223"/>
    <mergeCell ref="A178:B178"/>
    <mergeCell ref="G178:H182"/>
    <mergeCell ref="A157:B157"/>
    <mergeCell ref="A220:B220"/>
    <mergeCell ref="A134:B134"/>
    <mergeCell ref="A133:B133"/>
    <mergeCell ref="A172:B172"/>
    <mergeCell ref="G172:H176"/>
    <mergeCell ref="A177:H177"/>
    <mergeCell ref="A184:B184"/>
    <mergeCell ref="G184:H188"/>
    <mergeCell ref="A189:H189"/>
    <mergeCell ref="A190:B190"/>
    <mergeCell ref="G190:H194"/>
    <mergeCell ref="A146:B146"/>
    <mergeCell ref="A201:H201"/>
    <mergeCell ref="A230:H230"/>
    <mergeCell ref="A223:B223"/>
    <mergeCell ref="G233:H233"/>
    <mergeCell ref="G231:H231"/>
    <mergeCell ref="A235:B235"/>
    <mergeCell ref="A261:H261"/>
    <mergeCell ref="C117:D117"/>
    <mergeCell ref="E117:F117"/>
    <mergeCell ref="G117:H117"/>
    <mergeCell ref="A130:H130"/>
    <mergeCell ref="E122:E123"/>
    <mergeCell ref="G122:H123"/>
    <mergeCell ref="A238:B238"/>
    <mergeCell ref="A239:B239"/>
    <mergeCell ref="A228:B228"/>
    <mergeCell ref="G229:H229"/>
    <mergeCell ref="G235:H235"/>
    <mergeCell ref="G234:H234"/>
    <mergeCell ref="B254:H254"/>
    <mergeCell ref="B252:H252"/>
    <mergeCell ref="B258:H258"/>
    <mergeCell ref="A214:B214"/>
    <mergeCell ref="B251:H251"/>
    <mergeCell ref="A245:B245"/>
    <mergeCell ref="G245:H245"/>
    <mergeCell ref="G244:H244"/>
    <mergeCell ref="A242:H242"/>
    <mergeCell ref="A243:B243"/>
    <mergeCell ref="A244:B244"/>
    <mergeCell ref="A247:B247"/>
    <mergeCell ref="G247:H247"/>
    <mergeCell ref="A246:B246"/>
    <mergeCell ref="A269:H271"/>
    <mergeCell ref="A268:B268"/>
    <mergeCell ref="E268:F268"/>
    <mergeCell ref="C268:D268"/>
    <mergeCell ref="G268:H268"/>
    <mergeCell ref="A110:H110"/>
    <mergeCell ref="A108:E108"/>
    <mergeCell ref="F108:H108"/>
    <mergeCell ref="A109:E109"/>
    <mergeCell ref="F109:H109"/>
    <mergeCell ref="A224:H224"/>
    <mergeCell ref="A117:B117"/>
    <mergeCell ref="A233:B233"/>
    <mergeCell ref="A264:H264"/>
    <mergeCell ref="A115:H115"/>
    <mergeCell ref="A267:H267"/>
    <mergeCell ref="A265:H265"/>
    <mergeCell ref="A262:H262"/>
    <mergeCell ref="B257:H257"/>
    <mergeCell ref="G133:H133"/>
    <mergeCell ref="G131:H131"/>
    <mergeCell ref="G132:H132"/>
    <mergeCell ref="G134:H134"/>
    <mergeCell ref="B255:H255"/>
    <mergeCell ref="A35:B35"/>
    <mergeCell ref="C50:E50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49:B49"/>
    <mergeCell ref="C49:E49"/>
    <mergeCell ref="G49:H49"/>
    <mergeCell ref="A17:B17"/>
    <mergeCell ref="C17:H17"/>
    <mergeCell ref="A28:D28"/>
    <mergeCell ref="E28:H28"/>
    <mergeCell ref="A25:D25"/>
    <mergeCell ref="E25:H25"/>
    <mergeCell ref="A29:D29"/>
    <mergeCell ref="E29:H29"/>
    <mergeCell ref="A26:D26"/>
    <mergeCell ref="A24:D24"/>
    <mergeCell ref="E24:H24"/>
    <mergeCell ref="A21:B21"/>
    <mergeCell ref="C21:D21"/>
    <mergeCell ref="E21:F21"/>
    <mergeCell ref="G21:H21"/>
    <mergeCell ref="E26:H26"/>
    <mergeCell ref="A12:D12"/>
    <mergeCell ref="E12:H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6:B16"/>
    <mergeCell ref="A13:D13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37:H37"/>
    <mergeCell ref="A36:B36"/>
    <mergeCell ref="C36:E36"/>
    <mergeCell ref="A41:D41"/>
    <mergeCell ref="E41:H41"/>
    <mergeCell ref="F33:H33"/>
    <mergeCell ref="F34:H34"/>
    <mergeCell ref="A40:H40"/>
    <mergeCell ref="A60:C60"/>
    <mergeCell ref="D60:H60"/>
    <mergeCell ref="A38:B38"/>
    <mergeCell ref="C38:H38"/>
    <mergeCell ref="A39:B39"/>
    <mergeCell ref="C39:H39"/>
    <mergeCell ref="A44:D44"/>
    <mergeCell ref="F36:H36"/>
    <mergeCell ref="A46:D46"/>
    <mergeCell ref="A47:H47"/>
    <mergeCell ref="D57:H57"/>
    <mergeCell ref="A57:C57"/>
    <mergeCell ref="G50:H50"/>
    <mergeCell ref="E42:H42"/>
    <mergeCell ref="A43:D43"/>
    <mergeCell ref="A42:D42"/>
    <mergeCell ref="E43:H43"/>
    <mergeCell ref="E44:H44"/>
    <mergeCell ref="E45:H45"/>
    <mergeCell ref="E46:H46"/>
    <mergeCell ref="C116:D116"/>
    <mergeCell ref="G116:H116"/>
    <mergeCell ref="A45:D45"/>
    <mergeCell ref="A78:B78"/>
    <mergeCell ref="F103:H103"/>
    <mergeCell ref="A96:E96"/>
    <mergeCell ref="A102:E102"/>
    <mergeCell ref="F102:H102"/>
    <mergeCell ref="A103:E103"/>
    <mergeCell ref="A105:E105"/>
    <mergeCell ref="F98:H98"/>
    <mergeCell ref="A104:E104"/>
    <mergeCell ref="A63:C63"/>
    <mergeCell ref="D63:H63"/>
    <mergeCell ref="A48:B48"/>
    <mergeCell ref="C48:H48"/>
    <mergeCell ref="E114:F114"/>
    <mergeCell ref="G114:H114"/>
    <mergeCell ref="G111:H111"/>
    <mergeCell ref="F97:H97"/>
    <mergeCell ref="L220:M220"/>
    <mergeCell ref="A221:B221"/>
    <mergeCell ref="G221:H221"/>
    <mergeCell ref="L221:M221"/>
    <mergeCell ref="E116:F116"/>
    <mergeCell ref="A222:B222"/>
    <mergeCell ref="G222:H222"/>
    <mergeCell ref="A79:B79"/>
    <mergeCell ref="A80:B80"/>
    <mergeCell ref="A120:H120"/>
    <mergeCell ref="A124:H124"/>
    <mergeCell ref="A125:H125"/>
    <mergeCell ref="A126:B126"/>
    <mergeCell ref="L126:M126"/>
    <mergeCell ref="F106:H106"/>
    <mergeCell ref="E111:F111"/>
    <mergeCell ref="A111:B111"/>
    <mergeCell ref="A107:E107"/>
    <mergeCell ref="G118:H118"/>
    <mergeCell ref="C113:D113"/>
    <mergeCell ref="E113:F113"/>
    <mergeCell ref="G113:H113"/>
    <mergeCell ref="A114:B114"/>
    <mergeCell ref="C114:D114"/>
    <mergeCell ref="A97:E97"/>
    <mergeCell ref="G232:H232"/>
    <mergeCell ref="G228:H228"/>
    <mergeCell ref="G225:H225"/>
    <mergeCell ref="D122:D123"/>
    <mergeCell ref="A100:E100"/>
    <mergeCell ref="A131:B131"/>
    <mergeCell ref="A132:B132"/>
    <mergeCell ref="G154:H158"/>
    <mergeCell ref="A159:H159"/>
    <mergeCell ref="A160:B160"/>
    <mergeCell ref="G160:H164"/>
    <mergeCell ref="A165:H165"/>
    <mergeCell ref="A166:B166"/>
    <mergeCell ref="G166:H170"/>
    <mergeCell ref="A171:H171"/>
    <mergeCell ref="A202:B202"/>
    <mergeCell ref="G202:H206"/>
    <mergeCell ref="A207:H207"/>
    <mergeCell ref="A208:B208"/>
    <mergeCell ref="G208:H212"/>
    <mergeCell ref="A213:H213"/>
    <mergeCell ref="A209:B209"/>
    <mergeCell ref="C118:D118"/>
    <mergeCell ref="L160:M160"/>
    <mergeCell ref="A161:B161"/>
    <mergeCell ref="L161:M161"/>
    <mergeCell ref="A162:B162"/>
    <mergeCell ref="L162:M162"/>
    <mergeCell ref="A163:B163"/>
    <mergeCell ref="L163:M163"/>
    <mergeCell ref="A164:B164"/>
    <mergeCell ref="L164:M164"/>
    <mergeCell ref="L166:M166"/>
    <mergeCell ref="A167:B167"/>
    <mergeCell ref="L167:M167"/>
    <mergeCell ref="A168:B168"/>
    <mergeCell ref="L168:M168"/>
    <mergeCell ref="A169:B169"/>
    <mergeCell ref="L169:M169"/>
    <mergeCell ref="A170:B170"/>
    <mergeCell ref="L170:M170"/>
    <mergeCell ref="L172:M172"/>
    <mergeCell ref="A173:B173"/>
    <mergeCell ref="L173:M173"/>
    <mergeCell ref="A174:B174"/>
    <mergeCell ref="L174:M174"/>
    <mergeCell ref="A175:B175"/>
    <mergeCell ref="L175:M175"/>
    <mergeCell ref="A176:B176"/>
    <mergeCell ref="L176:M176"/>
    <mergeCell ref="L178:M178"/>
    <mergeCell ref="A179:B179"/>
    <mergeCell ref="L179:M179"/>
    <mergeCell ref="A180:B180"/>
    <mergeCell ref="L180:M180"/>
    <mergeCell ref="A181:B181"/>
    <mergeCell ref="L181:M181"/>
    <mergeCell ref="A182:B182"/>
    <mergeCell ref="L182:M182"/>
    <mergeCell ref="C178:F178"/>
    <mergeCell ref="L184:M184"/>
    <mergeCell ref="A185:B185"/>
    <mergeCell ref="L185:M185"/>
    <mergeCell ref="A186:B186"/>
    <mergeCell ref="L186:M186"/>
    <mergeCell ref="A187:B187"/>
    <mergeCell ref="L187:M187"/>
    <mergeCell ref="A188:B188"/>
    <mergeCell ref="L188:M188"/>
    <mergeCell ref="L198:M198"/>
    <mergeCell ref="A199:B199"/>
    <mergeCell ref="L199:M199"/>
    <mergeCell ref="A200:B200"/>
    <mergeCell ref="L200:M200"/>
    <mergeCell ref="A196:B196"/>
    <mergeCell ref="G196:H200"/>
    <mergeCell ref="L190:M190"/>
    <mergeCell ref="A191:B191"/>
    <mergeCell ref="L191:M191"/>
    <mergeCell ref="A192:B192"/>
    <mergeCell ref="L192:M192"/>
    <mergeCell ref="A193:B193"/>
    <mergeCell ref="L193:M193"/>
    <mergeCell ref="A194:B194"/>
    <mergeCell ref="L194:M194"/>
    <mergeCell ref="A195:H195"/>
    <mergeCell ref="L209:M209"/>
    <mergeCell ref="A210:B210"/>
    <mergeCell ref="L210:M210"/>
    <mergeCell ref="A211:B211"/>
    <mergeCell ref="L211:M211"/>
    <mergeCell ref="A212:B212"/>
    <mergeCell ref="L212:M212"/>
    <mergeCell ref="C208:F208"/>
    <mergeCell ref="A99:E99"/>
    <mergeCell ref="F99:H99"/>
    <mergeCell ref="L208:M208"/>
    <mergeCell ref="L202:M202"/>
    <mergeCell ref="A203:B203"/>
    <mergeCell ref="L203:M203"/>
    <mergeCell ref="A204:B204"/>
    <mergeCell ref="L204:M204"/>
    <mergeCell ref="A205:B205"/>
    <mergeCell ref="L205:M205"/>
    <mergeCell ref="A206:B206"/>
    <mergeCell ref="L206:M206"/>
    <mergeCell ref="L196:M196"/>
    <mergeCell ref="A197:B197"/>
    <mergeCell ref="L197:M197"/>
    <mergeCell ref="A198:B198"/>
    <mergeCell ref="G246:H246"/>
    <mergeCell ref="A229:B229"/>
    <mergeCell ref="A226:B226"/>
    <mergeCell ref="A227:B227"/>
    <mergeCell ref="B249:H249"/>
    <mergeCell ref="B250:H250"/>
    <mergeCell ref="A237:B237"/>
    <mergeCell ref="G238:H238"/>
    <mergeCell ref="A234:B234"/>
    <mergeCell ref="G237:H237"/>
    <mergeCell ref="B260:H260"/>
    <mergeCell ref="L214:M214"/>
    <mergeCell ref="A215:B215"/>
    <mergeCell ref="L215:M215"/>
    <mergeCell ref="A216:B216"/>
    <mergeCell ref="L216:M216"/>
    <mergeCell ref="A217:B217"/>
    <mergeCell ref="L217:M217"/>
    <mergeCell ref="A218:B218"/>
    <mergeCell ref="L218:M218"/>
    <mergeCell ref="C218:F218"/>
    <mergeCell ref="B259:H259"/>
    <mergeCell ref="B256:H256"/>
    <mergeCell ref="L222:M222"/>
    <mergeCell ref="B253:H253"/>
    <mergeCell ref="G243:H243"/>
    <mergeCell ref="G241:H241"/>
    <mergeCell ref="A248:H248"/>
    <mergeCell ref="A240:B240"/>
    <mergeCell ref="A241:B241"/>
    <mergeCell ref="G239:H239"/>
    <mergeCell ref="A236:H236"/>
    <mergeCell ref="L224:M224"/>
    <mergeCell ref="L223:M223"/>
  </mergeCell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71" max="16383" man="1"/>
    <brk id="313" max="16383" man="1"/>
    <brk id="35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76" t="s">
        <v>110</v>
      </c>
      <c r="C3" s="176"/>
      <c r="D3" s="176"/>
      <c r="E3" s="176"/>
      <c r="F3" s="176"/>
      <c r="G3" s="176"/>
      <c r="H3" s="176"/>
    </row>
    <row r="4" spans="1:9" x14ac:dyDescent="0.35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2025-02-15T05:12:03Z</cp:lastPrinted>
  <dcterms:created xsi:type="dcterms:W3CDTF">2019-07-16T09:29:46Z</dcterms:created>
  <dcterms:modified xsi:type="dcterms:W3CDTF">2025-08-20T07:20:52Z</dcterms:modified>
</cp:coreProperties>
</file>