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2F26F76E-973C-483D-872B-3B042AE84C4C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1" l="1"/>
  <c r="C89" i="1" l="1"/>
  <c r="C75" i="1"/>
  <c r="D316" i="1" l="1"/>
  <c r="F316" i="1" s="1"/>
  <c r="D315" i="1"/>
  <c r="F315" i="1" s="1"/>
  <c r="D313" i="1"/>
  <c r="F313" i="1" s="1"/>
  <c r="D312" i="1"/>
  <c r="F312" i="1" s="1"/>
  <c r="G311" i="1"/>
  <c r="G312" i="1" s="1"/>
  <c r="G313" i="1" s="1"/>
  <c r="D311" i="1"/>
  <c r="F311" i="1" s="1"/>
  <c r="D309" i="1"/>
  <c r="F309" i="1" s="1"/>
  <c r="D308" i="1"/>
  <c r="F308" i="1" s="1"/>
  <c r="D307" i="1"/>
  <c r="F307" i="1" s="1"/>
  <c r="D306" i="1"/>
  <c r="F306" i="1" s="1"/>
  <c r="D305" i="1"/>
  <c r="F305" i="1" s="1"/>
  <c r="G304" i="1"/>
  <c r="G305" i="1" s="1"/>
  <c r="G306" i="1" s="1"/>
  <c r="D304" i="1"/>
  <c r="F304" i="1" s="1"/>
  <c r="D302" i="1"/>
  <c r="F302" i="1" s="1"/>
  <c r="D301" i="1"/>
  <c r="F301" i="1" s="1"/>
  <c r="D300" i="1"/>
  <c r="F300" i="1" s="1"/>
  <c r="D299" i="1"/>
  <c r="F299" i="1" s="1"/>
  <c r="D298" i="1"/>
  <c r="F298" i="1" s="1"/>
  <c r="G297" i="1"/>
  <c r="G298" i="1" s="1"/>
  <c r="G299" i="1" s="1"/>
  <c r="D297" i="1"/>
  <c r="F297" i="1" s="1"/>
  <c r="D295" i="1"/>
  <c r="F295" i="1" s="1"/>
  <c r="D294" i="1"/>
  <c r="F294" i="1" s="1"/>
  <c r="D293" i="1"/>
  <c r="F293" i="1" s="1"/>
  <c r="D292" i="1"/>
  <c r="F292" i="1" s="1"/>
  <c r="D291" i="1"/>
  <c r="F291" i="1" s="1"/>
  <c r="A291" i="1"/>
  <c r="A292" i="1" s="1"/>
  <c r="A293" i="1" s="1"/>
  <c r="A294" i="1" s="1"/>
  <c r="A295" i="1" s="1"/>
  <c r="G290" i="1"/>
  <c r="G291" i="1" s="1"/>
  <c r="G292" i="1" s="1"/>
  <c r="D290" i="1"/>
  <c r="F290" i="1" s="1"/>
  <c r="D288" i="1"/>
  <c r="F288" i="1" s="1"/>
  <c r="D287" i="1"/>
  <c r="F287" i="1" s="1"/>
  <c r="D286" i="1"/>
  <c r="F286" i="1" s="1"/>
  <c r="D285" i="1"/>
  <c r="F285" i="1" s="1"/>
  <c r="A285" i="1"/>
  <c r="A286" i="1" s="1"/>
  <c r="A287" i="1" s="1"/>
  <c r="A288" i="1" s="1"/>
  <c r="I284" i="1"/>
  <c r="G284" i="1"/>
  <c r="G285" i="1" s="1"/>
  <c r="G286" i="1" s="1"/>
  <c r="G287" i="1" s="1"/>
  <c r="G288" i="1" s="1"/>
  <c r="D284" i="1"/>
  <c r="F284" i="1" s="1"/>
  <c r="D273" i="1"/>
  <c r="F273" i="1" s="1"/>
  <c r="D272" i="1"/>
  <c r="F272" i="1" s="1"/>
  <c r="D271" i="1"/>
  <c r="F271" i="1" s="1"/>
  <c r="D270" i="1"/>
  <c r="F270" i="1" s="1"/>
  <c r="D269" i="1"/>
  <c r="F269" i="1" s="1"/>
  <c r="A269" i="1"/>
  <c r="A270" i="1" s="1"/>
  <c r="A271" i="1" s="1"/>
  <c r="A272" i="1" s="1"/>
  <c r="A273" i="1" s="1"/>
  <c r="G268" i="1"/>
  <c r="G269" i="1" s="1"/>
  <c r="G270" i="1" s="1"/>
  <c r="D268" i="1"/>
  <c r="F268" i="1" s="1"/>
  <c r="D243" i="1"/>
  <c r="F243" i="1" s="1"/>
  <c r="D242" i="1"/>
  <c r="F242" i="1" s="1"/>
  <c r="D241" i="1"/>
  <c r="F241" i="1" s="1"/>
  <c r="D240" i="1"/>
  <c r="F240" i="1" s="1"/>
  <c r="D239" i="1"/>
  <c r="F239" i="1" s="1"/>
  <c r="D238" i="1"/>
  <c r="F238" i="1" s="1"/>
  <c r="A238" i="1"/>
  <c r="A239" i="1" s="1"/>
  <c r="A240" i="1" s="1"/>
  <c r="A241" i="1" s="1"/>
  <c r="A242" i="1" s="1"/>
  <c r="A243" i="1" s="1"/>
  <c r="G237" i="1"/>
  <c r="D237" i="1"/>
  <c r="F237" i="1" s="1"/>
  <c r="D211" i="1"/>
  <c r="F211" i="1" s="1"/>
  <c r="D210" i="1"/>
  <c r="F210" i="1" s="1"/>
  <c r="D209" i="1"/>
  <c r="F209" i="1" s="1"/>
  <c r="D208" i="1"/>
  <c r="F208" i="1" s="1"/>
  <c r="D207" i="1"/>
  <c r="F207" i="1" s="1"/>
  <c r="A207" i="1"/>
  <c r="A208" i="1" s="1"/>
  <c r="A209" i="1" s="1"/>
  <c r="A210" i="1" s="1"/>
  <c r="A211" i="1" s="1"/>
  <c r="G206" i="1"/>
  <c r="D206" i="1"/>
  <c r="F206" i="1" s="1"/>
  <c r="D181" i="1"/>
  <c r="F181" i="1" s="1"/>
  <c r="D180" i="1"/>
  <c r="F180" i="1" s="1"/>
  <c r="D179" i="1"/>
  <c r="F179" i="1" s="1"/>
  <c r="D178" i="1"/>
  <c r="F178" i="1" s="1"/>
  <c r="D177" i="1"/>
  <c r="F177" i="1" s="1"/>
  <c r="G176" i="1"/>
  <c r="D176" i="1"/>
  <c r="F176" i="1" s="1"/>
  <c r="D227" i="1"/>
  <c r="D226" i="1"/>
  <c r="D225" i="1"/>
  <c r="D224" i="1"/>
  <c r="D223" i="1"/>
  <c r="D222" i="1"/>
  <c r="G308" i="1" l="1"/>
  <c r="G307" i="1"/>
  <c r="G309" i="1" s="1"/>
  <c r="G315" i="1"/>
  <c r="G314" i="1"/>
  <c r="G316" i="1" s="1"/>
  <c r="G294" i="1"/>
  <c r="G293" i="1"/>
  <c r="G295" i="1" s="1"/>
  <c r="G300" i="1"/>
  <c r="G302" i="1" s="1"/>
  <c r="G301" i="1"/>
  <c r="G271" i="1"/>
  <c r="G273" i="1" s="1"/>
  <c r="G272" i="1"/>
  <c r="D280" i="1"/>
  <c r="F280" i="1" s="1"/>
  <c r="D279" i="1"/>
  <c r="F279" i="1" s="1"/>
  <c r="D277" i="1"/>
  <c r="F277" i="1" s="1"/>
  <c r="D276" i="1"/>
  <c r="F276" i="1" s="1"/>
  <c r="A276" i="1"/>
  <c r="A277" i="1" s="1"/>
  <c r="A278" i="1" s="1"/>
  <c r="A279" i="1" s="1"/>
  <c r="A280" i="1" s="1"/>
  <c r="G275" i="1"/>
  <c r="G276" i="1" s="1"/>
  <c r="G277" i="1" s="1"/>
  <c r="D275" i="1"/>
  <c r="F275" i="1" s="1"/>
  <c r="D266" i="1"/>
  <c r="F266" i="1" s="1"/>
  <c r="D265" i="1"/>
  <c r="F265" i="1" s="1"/>
  <c r="D264" i="1"/>
  <c r="F264" i="1" s="1"/>
  <c r="D263" i="1"/>
  <c r="F263" i="1" s="1"/>
  <c r="D262" i="1"/>
  <c r="F262" i="1" s="1"/>
  <c r="A262" i="1"/>
  <c r="A263" i="1" s="1"/>
  <c r="A264" i="1" s="1"/>
  <c r="A265" i="1" s="1"/>
  <c r="A266" i="1" s="1"/>
  <c r="G261" i="1"/>
  <c r="G262" i="1" s="1"/>
  <c r="G263" i="1" s="1"/>
  <c r="D261" i="1"/>
  <c r="F261" i="1" s="1"/>
  <c r="D259" i="1"/>
  <c r="F259" i="1" s="1"/>
  <c r="D258" i="1"/>
  <c r="F258" i="1" s="1"/>
  <c r="D257" i="1"/>
  <c r="F257" i="1" s="1"/>
  <c r="D256" i="1"/>
  <c r="F256" i="1" s="1"/>
  <c r="A256" i="1"/>
  <c r="A257" i="1" s="1"/>
  <c r="A259" i="1" s="1"/>
  <c r="G255" i="1"/>
  <c r="G256" i="1" s="1"/>
  <c r="G257" i="1" s="1"/>
  <c r="D255" i="1"/>
  <c r="F255" i="1" s="1"/>
  <c r="D251" i="1"/>
  <c r="F251" i="1" s="1"/>
  <c r="D250" i="1"/>
  <c r="F250" i="1" s="1"/>
  <c r="D248" i="1"/>
  <c r="F248" i="1" s="1"/>
  <c r="D247" i="1"/>
  <c r="F247" i="1" s="1"/>
  <c r="D246" i="1"/>
  <c r="F246" i="1" s="1"/>
  <c r="A246" i="1"/>
  <c r="A247" i="1" s="1"/>
  <c r="A248" i="1" s="1"/>
  <c r="A249" i="1" s="1"/>
  <c r="A250" i="1" s="1"/>
  <c r="A251" i="1" s="1"/>
  <c r="G245" i="1"/>
  <c r="D245" i="1"/>
  <c r="F245" i="1" s="1"/>
  <c r="D234" i="1"/>
  <c r="F234" i="1" s="1"/>
  <c r="F225" i="1"/>
  <c r="F226" i="1"/>
  <c r="F227" i="1"/>
  <c r="F224" i="1"/>
  <c r="F223" i="1"/>
  <c r="F222" i="1"/>
  <c r="D235" i="1"/>
  <c r="F235" i="1" s="1"/>
  <c r="D233" i="1"/>
  <c r="F233" i="1" s="1"/>
  <c r="D232" i="1"/>
  <c r="F232" i="1" s="1"/>
  <c r="D231" i="1"/>
  <c r="F231" i="1" s="1"/>
  <c r="D230" i="1"/>
  <c r="F230" i="1" s="1"/>
  <c r="D229" i="1"/>
  <c r="F229" i="1" s="1"/>
  <c r="A230" i="1"/>
  <c r="A231" i="1" s="1"/>
  <c r="A232" i="1" s="1"/>
  <c r="A233" i="1" s="1"/>
  <c r="A234" i="1" s="1"/>
  <c r="A235" i="1" s="1"/>
  <c r="G229" i="1"/>
  <c r="A223" i="1"/>
  <c r="A224" i="1" s="1"/>
  <c r="A225" i="1" s="1"/>
  <c r="A227" i="1" s="1"/>
  <c r="G222" i="1"/>
  <c r="D218" i="1"/>
  <c r="F218" i="1" s="1"/>
  <c r="D217" i="1"/>
  <c r="F217" i="1" s="1"/>
  <c r="D215" i="1"/>
  <c r="F215" i="1" s="1"/>
  <c r="D214" i="1"/>
  <c r="F214" i="1" s="1"/>
  <c r="A214" i="1"/>
  <c r="A215" i="1" s="1"/>
  <c r="A216" i="1" s="1"/>
  <c r="A217" i="1" s="1"/>
  <c r="A218" i="1" s="1"/>
  <c r="G213" i="1"/>
  <c r="D213" i="1"/>
  <c r="F213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J199" i="1" s="1"/>
  <c r="A200" i="1"/>
  <c r="A201" i="1" s="1"/>
  <c r="A202" i="1" s="1"/>
  <c r="A203" i="1" s="1"/>
  <c r="A204" i="1" s="1"/>
  <c r="G199" i="1"/>
  <c r="D197" i="1"/>
  <c r="F197" i="1" s="1"/>
  <c r="D196" i="1"/>
  <c r="D195" i="1"/>
  <c r="F195" i="1" s="1"/>
  <c r="D194" i="1"/>
  <c r="F194" i="1" s="1"/>
  <c r="D193" i="1"/>
  <c r="F193" i="1" s="1"/>
  <c r="D192" i="1"/>
  <c r="F192" i="1" s="1"/>
  <c r="F196" i="1"/>
  <c r="A193" i="1"/>
  <c r="A194" i="1" s="1"/>
  <c r="A195" i="1" s="1"/>
  <c r="A196" i="1" s="1"/>
  <c r="A197" i="1" s="1"/>
  <c r="G192" i="1"/>
  <c r="D174" i="1"/>
  <c r="F174" i="1" s="1"/>
  <c r="D173" i="1"/>
  <c r="F173" i="1" s="1"/>
  <c r="D172" i="1"/>
  <c r="F172" i="1" s="1"/>
  <c r="D171" i="1"/>
  <c r="F171" i="1" s="1"/>
  <c r="D170" i="1"/>
  <c r="F170" i="1" s="1"/>
  <c r="G169" i="1"/>
  <c r="D169" i="1"/>
  <c r="F169" i="1" s="1"/>
  <c r="D188" i="1"/>
  <c r="F188" i="1" s="1"/>
  <c r="D187" i="1"/>
  <c r="F187" i="1" s="1"/>
  <c r="D185" i="1"/>
  <c r="D184" i="1"/>
  <c r="D183" i="1"/>
  <c r="D167" i="1"/>
  <c r="D166" i="1"/>
  <c r="F166" i="1" s="1"/>
  <c r="D165" i="1"/>
  <c r="D164" i="1"/>
  <c r="D163" i="1"/>
  <c r="D162" i="1"/>
  <c r="D160" i="1"/>
  <c r="D159" i="1"/>
  <c r="D158" i="1"/>
  <c r="D157" i="1"/>
  <c r="D156" i="1"/>
  <c r="I156" i="1"/>
  <c r="C129" i="1" l="1"/>
  <c r="E129" i="1"/>
  <c r="G130" i="1"/>
  <c r="G131" i="1"/>
  <c r="C130" i="1"/>
  <c r="C131" i="1"/>
  <c r="E130" i="1"/>
  <c r="E131" i="1"/>
  <c r="G258" i="1"/>
  <c r="G259" i="1" s="1"/>
  <c r="G265" i="1"/>
  <c r="G264" i="1"/>
  <c r="G266" i="1" s="1"/>
  <c r="G278" i="1"/>
  <c r="G280" i="1" s="1"/>
  <c r="G279" i="1"/>
  <c r="F157" i="1"/>
  <c r="F138" i="1"/>
  <c r="E132" i="1" l="1"/>
  <c r="C132" i="1"/>
  <c r="F156" i="1"/>
  <c r="F160" i="1" l="1"/>
  <c r="J160" i="1" s="1"/>
  <c r="F149" i="1"/>
  <c r="F148" i="1"/>
  <c r="F147" i="1"/>
  <c r="F146" i="1"/>
  <c r="F145" i="1"/>
  <c r="F144" i="1"/>
  <c r="F143" i="1"/>
  <c r="F142" i="1"/>
  <c r="B320" i="1" l="1"/>
  <c r="C14" i="1" l="1"/>
  <c r="E29" i="1" l="1"/>
  <c r="F158" i="1" l="1"/>
  <c r="F159" i="1"/>
  <c r="A157" i="1"/>
  <c r="A158" i="1" s="1"/>
  <c r="A159" i="1" s="1"/>
  <c r="A160" i="1" s="1"/>
  <c r="G156" i="1"/>
  <c r="F121" i="1" l="1"/>
  <c r="F139" i="1" l="1"/>
  <c r="F140" i="1"/>
  <c r="F141" i="1"/>
  <c r="B319" i="1" l="1"/>
  <c r="F185" i="1" l="1"/>
  <c r="F184" i="1"/>
  <c r="F183" i="1"/>
  <c r="F167" i="1"/>
  <c r="F165" i="1"/>
  <c r="F163" i="1"/>
  <c r="J163" i="1" s="1"/>
  <c r="F162" i="1"/>
  <c r="F164" i="1"/>
  <c r="G129" i="1" l="1"/>
  <c r="G132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40" i="1"/>
  <c r="G183" i="1"/>
  <c r="G162" i="1"/>
  <c r="A163" i="1"/>
  <c r="A164" i="1" s="1"/>
  <c r="A165" i="1" s="1"/>
  <c r="A166" i="1" s="1"/>
  <c r="A167" i="1" s="1"/>
  <c r="A139" i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G138" i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J107" i="1"/>
  <c r="J106" i="1"/>
  <c r="J105" i="1"/>
  <c r="J104" i="1"/>
  <c r="J93" i="1"/>
  <c r="J92" i="1"/>
  <c r="J91" i="1"/>
  <c r="J90" i="1"/>
  <c r="J79" i="1"/>
  <c r="J78" i="1"/>
  <c r="J77" i="1"/>
  <c r="J76" i="1"/>
  <c r="C49" i="1"/>
  <c r="C50" i="1" s="1"/>
  <c r="E42" i="1"/>
  <c r="E43" i="1" s="1"/>
  <c r="E26" i="1"/>
  <c r="E24" i="1"/>
  <c r="E7" i="1"/>
  <c r="E3" i="1"/>
  <c r="H83" i="1"/>
  <c r="H97" i="1"/>
  <c r="H69" i="1"/>
  <c r="D62" i="1" l="1"/>
  <c r="D93" i="1"/>
  <c r="D94" i="1"/>
  <c r="D95" i="1"/>
  <c r="D89" i="1"/>
  <c r="D90" i="1"/>
  <c r="D91" i="1"/>
  <c r="D92" i="1"/>
  <c r="J82" i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s="1"/>
  <c r="J81" i="1" s="1"/>
  <c r="J96" i="1"/>
  <c r="J100" i="1"/>
  <c r="D109" i="1"/>
  <c r="D107" i="1"/>
  <c r="D105" i="1"/>
  <c r="D103" i="1"/>
  <c r="J101" i="1"/>
  <c r="C100" i="1" s="1"/>
  <c r="J99" i="1"/>
  <c r="J102" i="1"/>
  <c r="J103" i="1" s="1"/>
  <c r="J108" i="1" s="1"/>
  <c r="J109" i="1" s="1"/>
  <c r="C101" i="1" s="1"/>
  <c r="D108" i="1"/>
  <c r="D106" i="1"/>
  <c r="D104" i="1"/>
  <c r="J88" i="1"/>
  <c r="J89" i="1" s="1"/>
  <c r="J94" i="1" s="1"/>
  <c r="J95" i="1" s="1"/>
  <c r="C87" i="1" s="1"/>
  <c r="J86" i="1"/>
  <c r="J87" i="1"/>
  <c r="C86" i="1" s="1"/>
  <c r="J85" i="1"/>
  <c r="D102" i="1" l="1"/>
  <c r="J98" i="1"/>
  <c r="D100" i="1"/>
  <c r="J97" i="1" s="1"/>
  <c r="D88" i="1"/>
  <c r="J84" i="1"/>
  <c r="D74" i="1"/>
  <c r="J70" i="1"/>
  <c r="E72" i="1"/>
  <c r="D73" i="1"/>
  <c r="G72" i="1"/>
  <c r="D66" i="1" s="1"/>
  <c r="D72" i="1"/>
  <c r="J69" i="1" s="1"/>
  <c r="E86" i="1"/>
  <c r="D87" i="1"/>
  <c r="G86" i="1"/>
  <c r="D86" i="1"/>
  <c r="E100" i="1"/>
  <c r="D101" i="1"/>
  <c r="G100" i="1"/>
  <c r="I83" i="1" l="1"/>
  <c r="I84" i="1" s="1"/>
  <c r="I97" i="1"/>
  <c r="J83" i="1"/>
  <c r="I69" i="1"/>
  <c r="F67" i="1"/>
  <c r="D67" i="1"/>
  <c r="I82" i="1" l="1"/>
  <c r="C84" i="1" s="1"/>
  <c r="I98" i="1"/>
  <c r="I96" i="1" s="1"/>
  <c r="C98" i="1" s="1"/>
  <c r="I70" i="1"/>
  <c r="I68" i="1" s="1"/>
  <c r="C70" i="1" s="1"/>
</calcChain>
</file>

<file path=xl/sharedStrings.xml><?xml version="1.0" encoding="utf-8"?>
<sst xmlns="http://schemas.openxmlformats.org/spreadsheetml/2006/main" count="503" uniqueCount="236">
  <si>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</si>
  <si>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</si>
  <si>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</si>
  <si>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</si>
  <si>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</si>
  <si>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</si>
  <si>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</si>
  <si>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</si>
  <si>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</si>
  <si>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</si>
  <si>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</si>
  <si>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</si>
  <si>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</si>
  <si>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</si>
  <si>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</si>
  <si>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</si>
  <si>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</si>
  <si>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</si>
  <si>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</si>
  <si>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</si>
  <si>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</si>
  <si>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</si>
  <si>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</si>
  <si>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</si>
  <si>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</si>
  <si>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</si>
  <si>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</si>
  <si>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</si>
  <si>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</si>
  <si>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</si>
  <si>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</si>
  <si>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</si>
  <si>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</si>
  <si>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</si>
  <si>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</si>
  <si>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</si>
  <si>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</si>
  <si>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</si>
  <si>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</si>
  <si>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</si>
  <si>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</si>
  <si>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</si>
  <si>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</si>
  <si>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</si>
  <si>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</si>
  <si>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</si>
  <si>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</si>
  <si>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</si>
  <si>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</si>
  <si>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</si>
  <si>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</si>
  <si>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</si>
  <si>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</si>
  <si>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</si>
  <si>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</si>
  <si>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</si>
  <si>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</si>
  <si>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</si>
  <si>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</si>
  <si>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</si>
  <si>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</si>
  <si>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</si>
  <si>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</si>
  <si>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</si>
  <si>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</si>
  <si>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</si>
  <si>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</si>
  <si>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</si>
  <si>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</si>
  <si>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</si>
  <si>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</si>
  <si>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</si>
  <si>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</si>
  <si>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</si>
  <si>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</si>
  <si>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</si>
  <si>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</si>
  <si>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</si>
  <si>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</si>
  <si>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</si>
  <si>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</si>
  <si>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</si>
  <si>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</si>
  <si>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</si>
  <si>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</si>
  <si>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</si>
  <si>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</si>
  <si>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</si>
  <si>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</si>
  <si>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</si>
  <si>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</si>
  <si>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</si>
  <si>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</si>
  <si>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</si>
  <si>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</si>
  <si>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</si>
  <si>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</si>
  <si>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</si>
  <si>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</si>
  <si>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</si>
  <si>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</si>
  <si>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</si>
  <si>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</si>
  <si>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</si>
  <si>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</si>
  <si>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</si>
  <si>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</si>
  <si>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</si>
  <si>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</si>
  <si>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</si>
  <si>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</si>
  <si>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</si>
  <si>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</si>
  <si>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</si>
  <si>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</si>
  <si>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</si>
  <si>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</si>
  <si>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</si>
  <si>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</si>
  <si>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</si>
  <si>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</si>
  <si>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</si>
  <si>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</si>
  <si>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</si>
  <si>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</si>
  <si>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</si>
  <si>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</si>
  <si>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</si>
  <si>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</si>
  <si>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</si>
  <si>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</si>
  <si>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</si>
  <si>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</si>
  <si>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</si>
  <si>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</si>
  <si>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</si>
  <si>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</si>
  <si>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</si>
  <si>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</si>
  <si>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</si>
  <si>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</si>
  <si>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</si>
  <si>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</si>
  <si>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</si>
  <si>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</si>
  <si>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</si>
  <si>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</si>
  <si>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</si>
  <si>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</si>
  <si>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B Wing = G + 1st to 20th Floor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</si>
  <si>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</si>
  <si>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</si>
  <si>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</si>
  <si>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</si>
  <si>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</si>
  <si>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</si>
  <si>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</si>
  <si>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</si>
  <si>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</si>
  <si>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</si>
  <si>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</si>
  <si>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Flat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</si>
  <si>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</si>
  <si>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</si>
  <si>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</si>
  <si>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</si>
  <si>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</si>
  <si>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</si>
  <si>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Thane</t>
  </si>
  <si>
    <t>M/s. Macrotech Developers Limited</t>
  </si>
  <si>
    <t>9820248856- Rajendra Giri</t>
  </si>
  <si>
    <t>Wing A, B &amp; C</t>
  </si>
  <si>
    <t>Survey No</t>
  </si>
  <si>
    <t>Bhiwandi</t>
  </si>
  <si>
    <t>Thane</t>
  </si>
  <si>
    <t>Surai Mankoli Bhiwandi</t>
  </si>
  <si>
    <t>Dombivali Link Road</t>
  </si>
  <si>
    <t>Dombivali</t>
  </si>
  <si>
    <t>Casa Tiara - Lodha Upper Thane</t>
  </si>
  <si>
    <t>Open Plot</t>
  </si>
  <si>
    <t>Upper Thane Sales Gallery by LODHA</t>
  </si>
  <si>
    <t>https://goo.gl/maps/Na6YxkonQDK24Zjm7</t>
  </si>
  <si>
    <t>MMRDA</t>
  </si>
  <si>
    <t>SROT/BSNA/2501/BP/Amended/ITP-Anjur Mankoli,Surai,Sarang &amp; Vehele/966/2022</t>
  </si>
  <si>
    <t>Wing A, B &amp; C = Gr + 1st to 23rd Floor</t>
  </si>
  <si>
    <t>As per RERA - 31/03/2026</t>
  </si>
  <si>
    <t>Ground Floor For Residential &amp; Meter Room</t>
  </si>
  <si>
    <t>2BHK</t>
  </si>
  <si>
    <t>1BHK</t>
  </si>
  <si>
    <t>1st &amp; 2nd Floor</t>
  </si>
  <si>
    <t>Refuge Area</t>
  </si>
  <si>
    <t>Wing A</t>
  </si>
  <si>
    <t>Wing B</t>
  </si>
  <si>
    <t>3BHK</t>
  </si>
  <si>
    <t>Wing C</t>
  </si>
  <si>
    <t>Wing E</t>
  </si>
  <si>
    <t>Wing D</t>
  </si>
  <si>
    <t>A Wing</t>
  </si>
  <si>
    <t>B Wing</t>
  </si>
  <si>
    <t>C Wing</t>
  </si>
  <si>
    <t>We considered Gross carpet area = Net carpet + Balcony.</t>
  </si>
  <si>
    <t>Approved Plans, CC.</t>
  </si>
  <si>
    <t>Surai (Pt), Mankoli(Pt)</t>
  </si>
  <si>
    <t>9.8KM from Kalva Railway Station</t>
  </si>
  <si>
    <t>55/12 A, 55/12B (P) &amp; 55/7 of Mankoli 27/1 (P), 28/14, 28/14B &amp; 28/15 of Surai</t>
  </si>
  <si>
    <t>Clustor No. 3.02(B)</t>
  </si>
  <si>
    <t>Clustor No. 3.02(C)</t>
  </si>
  <si>
    <t>3rd to 7th, 9th to 12th Floor for Residential</t>
  </si>
  <si>
    <t>14th to 17th Floor (15th to 18th Floor as per Builder)
19th to 23rd Floor (20th to 24th Floor as per Builder)</t>
  </si>
  <si>
    <t>8th Floor
13th Floor (14th Floor as per Builder)
18th Floor (19th Floor as per Builder)
(Part Refuge Area)</t>
  </si>
  <si>
    <t>1st to 7th, 9th to 12th Floor</t>
  </si>
  <si>
    <t>Wing D &amp; E Area is been drafted &amp; checked on dtd 02/08/2022</t>
  </si>
  <si>
    <t>Flats - 445</t>
  </si>
  <si>
    <t>Layout Plan:</t>
  </si>
  <si>
    <t>Upper Thane - Casa Eden</t>
  </si>
  <si>
    <t>Old Name of the Project</t>
  </si>
  <si>
    <t>Upper Thane - Casa Parkville</t>
  </si>
  <si>
    <t>New Name of the Project</t>
  </si>
  <si>
    <t>03 Buildings</t>
  </si>
  <si>
    <t>Casa Eden = P51700034837</t>
  </si>
  <si>
    <t xml:space="preserve">Commencement-CC No
Valid Up to: </t>
  </si>
  <si>
    <t>Utility &amp; Maintenance Charges</t>
  </si>
  <si>
    <t>On Site, we meet Mr. Lalit Joshi (9323076851)</t>
  </si>
  <si>
    <t>7200 to 7500</t>
  </si>
  <si>
    <t>Sanket</t>
  </si>
  <si>
    <t xml:space="preserve">Cost sheet </t>
  </si>
  <si>
    <t xml:space="preserve">1.Vitrified tiles flooring 2. Granite Kitchen Platform  3. Decorative Enternace  etc. 
</t>
  </si>
  <si>
    <t>Wing A = Gr + 1st to 23rd Floor</t>
  </si>
  <si>
    <t>Wing B = Gr + 1st to 23rd Floor</t>
  </si>
  <si>
    <t>Wing C = Gr + 1st to 23rd Floor</t>
  </si>
  <si>
    <t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</t>
  </si>
  <si>
    <t>Latitude,Longitude</t>
  </si>
  <si>
    <t>19.2344399,73.0498173</t>
  </si>
  <si>
    <t>Pranita Mhatre</t>
  </si>
  <si>
    <t>Mangesh</t>
  </si>
  <si>
    <t>Finishing work is in process at the time of Visit. (Internal photographs not allowed.)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</si>
</sst>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  <numFmt numFmtId="169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28" xfId="0" applyFont="1" applyFill="1" applyBorder="1"/>
    <xf numFmtId="0" fontId="25" fillId="0" borderId="29" xfId="0" applyFont="1" applyBorder="1"/>
    <xf numFmtId="0" fontId="25" fillId="0" borderId="1" xfId="0" applyFont="1" applyBorder="1"/>
    <xf numFmtId="0" fontId="25" fillId="0" borderId="5" xfId="0" applyFont="1" applyBorder="1"/>
    <xf numFmtId="0" fontId="8" fillId="0" borderId="1" xfId="1" applyFont="1" applyBorder="1" applyAlignment="1" applyProtection="1">
      <alignment vertical="top"/>
      <protection locked="0"/>
    </xf>
    <xf numFmtId="169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1" fontId="7" fillId="0" borderId="1" xfId="1" applyNumberFormat="1" applyFont="1" applyBorder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7" fillId="0" borderId="27" xfId="1" applyFont="1" applyBorder="1"/>
    <xf numFmtId="0" fontId="24" fillId="2" borderId="15" xfId="0" applyFont="1" applyFill="1" applyBorder="1"/>
    <xf numFmtId="0" fontId="25" fillId="0" borderId="9" xfId="0" applyFont="1" applyBorder="1"/>
    <xf numFmtId="0" fontId="24" fillId="0" borderId="1" xfId="0" applyFont="1" applyBorder="1"/>
    <xf numFmtId="0" fontId="24" fillId="0" borderId="5" xfId="0" applyFont="1" applyBorder="1"/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24" fillId="0" borderId="9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69" fontId="6" fillId="0" borderId="8" xfId="1" applyNumberFormat="1" applyFont="1" applyBorder="1" applyAlignment="1" applyProtection="1">
      <alignment horizontal="center" vertical="center" wrapText="1"/>
      <protection locked="0"/>
    </xf>
    <xf numFmtId="169" fontId="6" fillId="0" borderId="21" xfId="1" applyNumberFormat="1" applyFont="1" applyBorder="1" applyAlignment="1" applyProtection="1">
      <alignment horizontal="center" vertical="center" wrapText="1"/>
      <protection locked="0"/>
    </xf>
    <xf numFmtId="169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2" borderId="25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30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31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9" fontId="12" fillId="0" borderId="7" xfId="8" applyFont="1" applyFill="1" applyBorder="1" applyAlignment="1" applyProtection="1">
      <alignment horizontal="center" vertical="center" wrapText="1"/>
      <protection locked="0"/>
    </xf>
    <xf numFmtId="9" fontId="12" fillId="0" borderId="5" xfId="8" applyFont="1" applyFill="1" applyBorder="1" applyAlignment="1" applyProtection="1">
      <alignment horizontal="center" vertical="center" wrapText="1"/>
      <protection locked="0"/>
    </xf>
    <xf numFmtId="9" fontId="12" fillId="0" borderId="3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384</xdr:row>
      <xdr:rowOff>19050</xdr:rowOff>
    </xdr:from>
    <xdr:to>
      <xdr:col>7</xdr:col>
      <xdr:colOff>53445</xdr:colOff>
      <xdr:row>400</xdr:row>
      <xdr:rowOff>58650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1050" y="51777900"/>
          <a:ext cx="5387445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781051</xdr:colOff>
      <xdr:row>401</xdr:row>
      <xdr:rowOff>19768</xdr:rowOff>
    </xdr:from>
    <xdr:to>
      <xdr:col>7</xdr:col>
      <xdr:colOff>53445</xdr:colOff>
      <xdr:row>417</xdr:row>
      <xdr:rowOff>59368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1051" y="55179043"/>
          <a:ext cx="5387444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495300</xdr:colOff>
      <xdr:row>426</xdr:row>
      <xdr:rowOff>0</xdr:rowOff>
    </xdr:from>
    <xdr:to>
      <xdr:col>7</xdr:col>
      <xdr:colOff>449624</xdr:colOff>
      <xdr:row>462</xdr:row>
      <xdr:rowOff>2275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68989575"/>
          <a:ext cx="6069374" cy="72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542925</xdr:colOff>
      <xdr:row>442</xdr:row>
      <xdr:rowOff>104775</xdr:rowOff>
    </xdr:from>
    <xdr:to>
      <xdr:col>2</xdr:col>
      <xdr:colOff>552450</xdr:colOff>
      <xdr:row>445</xdr:row>
      <xdr:rowOff>104775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62075" y="70494525"/>
          <a:ext cx="866775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C00000"/>
              </a:solidFill>
            </a:rPr>
            <a:t>A</a:t>
          </a:r>
        </a:p>
      </xdr:txBody>
    </xdr:sp>
    <xdr:clientData/>
  </xdr:twoCellAnchor>
  <xdr:twoCellAnchor>
    <xdr:from>
      <xdr:col>3</xdr:col>
      <xdr:colOff>114300</xdr:colOff>
      <xdr:row>434</xdr:row>
      <xdr:rowOff>95250</xdr:rowOff>
    </xdr:from>
    <xdr:to>
      <xdr:col>3</xdr:col>
      <xdr:colOff>981075</xdr:colOff>
      <xdr:row>437</xdr:row>
      <xdr:rowOff>95250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705100" y="68884800"/>
          <a:ext cx="866775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C00000"/>
              </a:solidFill>
            </a:rPr>
            <a:t>B</a:t>
          </a:r>
        </a:p>
      </xdr:txBody>
    </xdr:sp>
    <xdr:clientData/>
  </xdr:twoCellAnchor>
  <xdr:twoCellAnchor>
    <xdr:from>
      <xdr:col>2</xdr:col>
      <xdr:colOff>847725</xdr:colOff>
      <xdr:row>444</xdr:row>
      <xdr:rowOff>190500</xdr:rowOff>
    </xdr:from>
    <xdr:to>
      <xdr:col>3</xdr:col>
      <xdr:colOff>800100</xdr:colOff>
      <xdr:row>447</xdr:row>
      <xdr:rowOff>190500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524125" y="70980300"/>
          <a:ext cx="866775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C00000"/>
              </a:solidFill>
            </a:rPr>
            <a:t>E</a:t>
          </a:r>
        </a:p>
      </xdr:txBody>
    </xdr:sp>
    <xdr:clientData/>
  </xdr:twoCellAnchor>
  <xdr:twoCellAnchor>
    <xdr:from>
      <xdr:col>4</xdr:col>
      <xdr:colOff>142875</xdr:colOff>
      <xdr:row>440</xdr:row>
      <xdr:rowOff>152400</xdr:rowOff>
    </xdr:from>
    <xdr:to>
      <xdr:col>5</xdr:col>
      <xdr:colOff>171450</xdr:colOff>
      <xdr:row>443</xdr:row>
      <xdr:rowOff>152400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743325" y="70142100"/>
          <a:ext cx="866775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C00000"/>
              </a:solidFill>
            </a:rPr>
            <a:t>C</a:t>
          </a:r>
        </a:p>
      </xdr:txBody>
    </xdr:sp>
    <xdr:clientData/>
  </xdr:twoCellAnchor>
  <xdr:twoCellAnchor>
    <xdr:from>
      <xdr:col>5</xdr:col>
      <xdr:colOff>590550</xdr:colOff>
      <xdr:row>446</xdr:row>
      <xdr:rowOff>152400</xdr:rowOff>
    </xdr:from>
    <xdr:to>
      <xdr:col>6</xdr:col>
      <xdr:colOff>619125</xdr:colOff>
      <xdr:row>449</xdr:row>
      <xdr:rowOff>152400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29200" y="71342250"/>
          <a:ext cx="866775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C00000"/>
              </a:solidFill>
            </a:rPr>
            <a:t>D</a:t>
          </a:r>
        </a:p>
      </xdr:txBody>
    </xdr:sp>
    <xdr:clientData/>
  </xdr:twoCellAnchor>
  <xdr:oneCellAnchor>
    <xdr:from>
      <xdr:col>9</xdr:col>
      <xdr:colOff>425450</xdr:colOff>
      <xdr:row>346</xdr:row>
      <xdr:rowOff>190500</xdr:rowOff>
    </xdr:from>
    <xdr:ext cx="590162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489950" y="56864250"/>
          <a:ext cx="5901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C Wing</a:t>
          </a:r>
        </a:p>
      </xdr:txBody>
    </xdr:sp>
    <xdr:clientData/>
  </xdr:oneCellAnchor>
  <xdr:twoCellAnchor>
    <xdr:from>
      <xdr:col>8</xdr:col>
      <xdr:colOff>817880</xdr:colOff>
      <xdr:row>338</xdr:row>
      <xdr:rowOff>60960</xdr:rowOff>
    </xdr:from>
    <xdr:to>
      <xdr:col>16</xdr:col>
      <xdr:colOff>518449</xdr:colOff>
      <xdr:row>378</xdr:row>
      <xdr:rowOff>78854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553960" y="55603140"/>
          <a:ext cx="6322349" cy="7935074"/>
          <a:chOff x="177800" y="55575200"/>
          <a:chExt cx="6415059" cy="7885544"/>
        </a:xfrm>
      </xdr:grpSpPr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8310" y="6130074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1" y="55575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2536" y="5843797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2536" y="55575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7271" y="55575200"/>
            <a:ext cx="2045588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0" y="5843797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2996" y="5843797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5506121" y="57302400"/>
            <a:ext cx="59016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</xdr:grpSp>
    <xdr:clientData/>
  </xdr:twoCellAnchor>
  <xdr:twoCellAnchor>
    <xdr:from>
      <xdr:col>0</xdr:col>
      <xdr:colOff>335280</xdr:colOff>
      <xdr:row>340</xdr:row>
      <xdr:rowOff>30480</xdr:rowOff>
    </xdr:from>
    <xdr:to>
      <xdr:col>7</xdr:col>
      <xdr:colOff>274319</xdr:colOff>
      <xdr:row>379</xdr:row>
      <xdr:rowOff>137160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EC998D81-F6EA-D889-B92C-30B5D4CAC01E}"/>
            </a:ext>
          </a:extLst>
        </xdr:cNvPr>
        <xdr:cNvGrpSpPr/>
      </xdr:nvGrpSpPr>
      <xdr:grpSpPr>
        <a:xfrm>
          <a:off x="335280" y="55968900"/>
          <a:ext cx="5821679" cy="7825740"/>
          <a:chOff x="424487" y="111210"/>
          <a:chExt cx="6433513" cy="8576516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83DF73EF-CC0E-27A3-453F-22AD430319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4487" y="111210"/>
            <a:ext cx="3111019" cy="415187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6C781D89-4CF8-5680-8465-F59182DDF2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3160" y="4431115"/>
            <a:ext cx="1610740" cy="214964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E3C484A4-A2BB-4E58-90AC-0F1C04FC75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46981" y="111210"/>
            <a:ext cx="3111019" cy="415187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B18D60F9-1D2B-0D03-06D2-0F0A8CF071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5387" y="6748793"/>
            <a:ext cx="1452853" cy="193893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A954A56D-8DD7-075A-91FB-A5167F3B36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52742" y="4436969"/>
            <a:ext cx="2863539" cy="214964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AB7C8CE3-11AF-4A4D-A3D3-FB8D7646F47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84934" y="6736436"/>
            <a:ext cx="1452853" cy="193893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a6YxkonQDK24Zjm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425"/>
  <sheetViews>
    <sheetView tabSelected="1" view="pageBreakPreview" topLeftCell="A320" zoomScaleNormal="100" zoomScaleSheetLayoutView="100" zoomScalePageLayoutView="84" workbookViewId="0">
      <selection activeCell="I326" sqref="I326"/>
    </sheetView>
  </sheetViews>
  <sheetFormatPr defaultColWidth="9.21875" defaultRowHeight="15.6" x14ac:dyDescent="0.3"/>
  <cols>
    <col min="1" max="1" width="11.44140625" style="39" customWidth="1"/>
    <col min="2" max="2" width="12" style="39" customWidth="1"/>
    <col min="3" max="3" width="12.77734375" style="39" customWidth="1"/>
    <col min="4" max="4" width="14.21875" style="39" customWidth="1"/>
    <col min="5" max="7" width="11.77734375" style="39" customWidth="1"/>
    <col min="8" max="8" width="12.44140625" style="39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1.21875" style="20" bestFit="1" customWidth="1"/>
    <col min="13" max="13" width="11.77734375" style="20" customWidth="1"/>
    <col min="14" max="14" width="12.5546875" style="20" customWidth="1"/>
    <col min="15" max="15" width="9.77734375" style="20" customWidth="1"/>
    <col min="16" max="16" width="11.77734375" style="20" customWidth="1"/>
    <col min="17" max="247" width="9.21875" style="20"/>
    <col min="248" max="248" width="8.77734375" style="20" customWidth="1"/>
    <col min="249" max="249" width="9.77734375" style="20" customWidth="1"/>
    <col min="250" max="250" width="14.44140625" style="20" customWidth="1"/>
    <col min="251" max="251" width="7.21875" style="20" customWidth="1"/>
    <col min="252" max="252" width="5.5546875" style="20" customWidth="1"/>
    <col min="253" max="253" width="9" style="20" customWidth="1"/>
    <col min="254" max="255" width="9.77734375" style="20" customWidth="1"/>
    <col min="256" max="256" width="11.21875" style="20" customWidth="1"/>
    <col min="257" max="257" width="2.77734375" style="20" customWidth="1"/>
    <col min="258" max="258" width="3.5546875" style="20" customWidth="1"/>
    <col min="259" max="503" width="9.21875" style="20"/>
    <col min="504" max="504" width="8.77734375" style="20" customWidth="1"/>
    <col min="505" max="505" width="9.77734375" style="20" customWidth="1"/>
    <col min="506" max="506" width="14.44140625" style="20" customWidth="1"/>
    <col min="507" max="507" width="7.21875" style="20" customWidth="1"/>
    <col min="508" max="508" width="5.5546875" style="20" customWidth="1"/>
    <col min="509" max="509" width="9" style="20" customWidth="1"/>
    <col min="510" max="511" width="9.77734375" style="20" customWidth="1"/>
    <col min="512" max="512" width="11.21875" style="20" customWidth="1"/>
    <col min="513" max="513" width="2.77734375" style="20" customWidth="1"/>
    <col min="514" max="514" width="3.5546875" style="20" customWidth="1"/>
    <col min="515" max="759" width="9.21875" style="20"/>
    <col min="760" max="760" width="8.77734375" style="20" customWidth="1"/>
    <col min="761" max="761" width="9.77734375" style="20" customWidth="1"/>
    <col min="762" max="762" width="14.44140625" style="20" customWidth="1"/>
    <col min="763" max="763" width="7.21875" style="20" customWidth="1"/>
    <col min="764" max="764" width="5.5546875" style="20" customWidth="1"/>
    <col min="765" max="765" width="9" style="20" customWidth="1"/>
    <col min="766" max="767" width="9.77734375" style="20" customWidth="1"/>
    <col min="768" max="768" width="11.21875" style="20" customWidth="1"/>
    <col min="769" max="769" width="2.77734375" style="20" customWidth="1"/>
    <col min="770" max="770" width="3.5546875" style="20" customWidth="1"/>
    <col min="771" max="1015" width="9.21875" style="20"/>
    <col min="1016" max="1016" width="8.77734375" style="20" customWidth="1"/>
    <col min="1017" max="1017" width="9.77734375" style="20" customWidth="1"/>
    <col min="1018" max="1018" width="14.44140625" style="20" customWidth="1"/>
    <col min="1019" max="1019" width="7.21875" style="20" customWidth="1"/>
    <col min="1020" max="1020" width="5.5546875" style="20" customWidth="1"/>
    <col min="1021" max="1021" width="9" style="20" customWidth="1"/>
    <col min="1022" max="1023" width="9.77734375" style="20" customWidth="1"/>
    <col min="1024" max="1024" width="11.21875" style="20" customWidth="1"/>
    <col min="1025" max="1025" width="2.77734375" style="20" customWidth="1"/>
    <col min="1026" max="1026" width="3.5546875" style="20" customWidth="1"/>
    <col min="1027" max="1271" width="9.21875" style="20"/>
    <col min="1272" max="1272" width="8.77734375" style="20" customWidth="1"/>
    <col min="1273" max="1273" width="9.77734375" style="20" customWidth="1"/>
    <col min="1274" max="1274" width="14.44140625" style="20" customWidth="1"/>
    <col min="1275" max="1275" width="7.21875" style="20" customWidth="1"/>
    <col min="1276" max="1276" width="5.5546875" style="20" customWidth="1"/>
    <col min="1277" max="1277" width="9" style="20" customWidth="1"/>
    <col min="1278" max="1279" width="9.77734375" style="20" customWidth="1"/>
    <col min="1280" max="1280" width="11.21875" style="20" customWidth="1"/>
    <col min="1281" max="1281" width="2.77734375" style="20" customWidth="1"/>
    <col min="1282" max="1282" width="3.5546875" style="20" customWidth="1"/>
    <col min="1283" max="1527" width="9.21875" style="20"/>
    <col min="1528" max="1528" width="8.77734375" style="20" customWidth="1"/>
    <col min="1529" max="1529" width="9.77734375" style="20" customWidth="1"/>
    <col min="1530" max="1530" width="14.44140625" style="20" customWidth="1"/>
    <col min="1531" max="1531" width="7.21875" style="20" customWidth="1"/>
    <col min="1532" max="1532" width="5.5546875" style="20" customWidth="1"/>
    <col min="1533" max="1533" width="9" style="20" customWidth="1"/>
    <col min="1534" max="1535" width="9.77734375" style="20" customWidth="1"/>
    <col min="1536" max="1536" width="11.21875" style="20" customWidth="1"/>
    <col min="1537" max="1537" width="2.77734375" style="20" customWidth="1"/>
    <col min="1538" max="1538" width="3.5546875" style="20" customWidth="1"/>
    <col min="1539" max="1783" width="9.21875" style="20"/>
    <col min="1784" max="1784" width="8.77734375" style="20" customWidth="1"/>
    <col min="1785" max="1785" width="9.77734375" style="20" customWidth="1"/>
    <col min="1786" max="1786" width="14.44140625" style="20" customWidth="1"/>
    <col min="1787" max="1787" width="7.21875" style="20" customWidth="1"/>
    <col min="1788" max="1788" width="5.5546875" style="20" customWidth="1"/>
    <col min="1789" max="1789" width="9" style="20" customWidth="1"/>
    <col min="1790" max="1791" width="9.77734375" style="20" customWidth="1"/>
    <col min="1792" max="1792" width="11.21875" style="20" customWidth="1"/>
    <col min="1793" max="1793" width="2.77734375" style="20" customWidth="1"/>
    <col min="1794" max="1794" width="3.5546875" style="20" customWidth="1"/>
    <col min="1795" max="2039" width="9.21875" style="20"/>
    <col min="2040" max="2040" width="8.77734375" style="20" customWidth="1"/>
    <col min="2041" max="2041" width="9.77734375" style="20" customWidth="1"/>
    <col min="2042" max="2042" width="14.44140625" style="20" customWidth="1"/>
    <col min="2043" max="2043" width="7.21875" style="20" customWidth="1"/>
    <col min="2044" max="2044" width="5.5546875" style="20" customWidth="1"/>
    <col min="2045" max="2045" width="9" style="20" customWidth="1"/>
    <col min="2046" max="2047" width="9.77734375" style="20" customWidth="1"/>
    <col min="2048" max="2048" width="11.21875" style="20" customWidth="1"/>
    <col min="2049" max="2049" width="2.77734375" style="20" customWidth="1"/>
    <col min="2050" max="2050" width="3.5546875" style="20" customWidth="1"/>
    <col min="2051" max="2295" width="9.21875" style="20"/>
    <col min="2296" max="2296" width="8.77734375" style="20" customWidth="1"/>
    <col min="2297" max="2297" width="9.77734375" style="20" customWidth="1"/>
    <col min="2298" max="2298" width="14.44140625" style="20" customWidth="1"/>
    <col min="2299" max="2299" width="7.21875" style="20" customWidth="1"/>
    <col min="2300" max="2300" width="5.5546875" style="20" customWidth="1"/>
    <col min="2301" max="2301" width="9" style="20" customWidth="1"/>
    <col min="2302" max="2303" width="9.77734375" style="20" customWidth="1"/>
    <col min="2304" max="2304" width="11.21875" style="20" customWidth="1"/>
    <col min="2305" max="2305" width="2.77734375" style="20" customWidth="1"/>
    <col min="2306" max="2306" width="3.5546875" style="20" customWidth="1"/>
    <col min="2307" max="2551" width="9.21875" style="20"/>
    <col min="2552" max="2552" width="8.77734375" style="20" customWidth="1"/>
    <col min="2553" max="2553" width="9.77734375" style="20" customWidth="1"/>
    <col min="2554" max="2554" width="14.44140625" style="20" customWidth="1"/>
    <col min="2555" max="2555" width="7.21875" style="20" customWidth="1"/>
    <col min="2556" max="2556" width="5.5546875" style="20" customWidth="1"/>
    <col min="2557" max="2557" width="9" style="20" customWidth="1"/>
    <col min="2558" max="2559" width="9.77734375" style="20" customWidth="1"/>
    <col min="2560" max="2560" width="11.21875" style="20" customWidth="1"/>
    <col min="2561" max="2561" width="2.77734375" style="20" customWidth="1"/>
    <col min="2562" max="2562" width="3.5546875" style="20" customWidth="1"/>
    <col min="2563" max="2807" width="9.21875" style="20"/>
    <col min="2808" max="2808" width="8.77734375" style="20" customWidth="1"/>
    <col min="2809" max="2809" width="9.77734375" style="20" customWidth="1"/>
    <col min="2810" max="2810" width="14.44140625" style="20" customWidth="1"/>
    <col min="2811" max="2811" width="7.21875" style="20" customWidth="1"/>
    <col min="2812" max="2812" width="5.5546875" style="20" customWidth="1"/>
    <col min="2813" max="2813" width="9" style="20" customWidth="1"/>
    <col min="2814" max="2815" width="9.77734375" style="20" customWidth="1"/>
    <col min="2816" max="2816" width="11.21875" style="20" customWidth="1"/>
    <col min="2817" max="2817" width="2.77734375" style="20" customWidth="1"/>
    <col min="2818" max="2818" width="3.5546875" style="20" customWidth="1"/>
    <col min="2819" max="3063" width="9.21875" style="20"/>
    <col min="3064" max="3064" width="8.77734375" style="20" customWidth="1"/>
    <col min="3065" max="3065" width="9.77734375" style="20" customWidth="1"/>
    <col min="3066" max="3066" width="14.44140625" style="20" customWidth="1"/>
    <col min="3067" max="3067" width="7.21875" style="20" customWidth="1"/>
    <col min="3068" max="3068" width="5.5546875" style="20" customWidth="1"/>
    <col min="3069" max="3069" width="9" style="20" customWidth="1"/>
    <col min="3070" max="3071" width="9.77734375" style="20" customWidth="1"/>
    <col min="3072" max="3072" width="11.21875" style="20" customWidth="1"/>
    <col min="3073" max="3073" width="2.77734375" style="20" customWidth="1"/>
    <col min="3074" max="3074" width="3.5546875" style="20" customWidth="1"/>
    <col min="3075" max="3319" width="9.21875" style="20"/>
    <col min="3320" max="3320" width="8.77734375" style="20" customWidth="1"/>
    <col min="3321" max="3321" width="9.77734375" style="20" customWidth="1"/>
    <col min="3322" max="3322" width="14.44140625" style="20" customWidth="1"/>
    <col min="3323" max="3323" width="7.21875" style="20" customWidth="1"/>
    <col min="3324" max="3324" width="5.5546875" style="20" customWidth="1"/>
    <col min="3325" max="3325" width="9" style="20" customWidth="1"/>
    <col min="3326" max="3327" width="9.77734375" style="20" customWidth="1"/>
    <col min="3328" max="3328" width="11.21875" style="20" customWidth="1"/>
    <col min="3329" max="3329" width="2.77734375" style="20" customWidth="1"/>
    <col min="3330" max="3330" width="3.5546875" style="20" customWidth="1"/>
    <col min="3331" max="3575" width="9.21875" style="20"/>
    <col min="3576" max="3576" width="8.77734375" style="20" customWidth="1"/>
    <col min="3577" max="3577" width="9.77734375" style="20" customWidth="1"/>
    <col min="3578" max="3578" width="14.44140625" style="20" customWidth="1"/>
    <col min="3579" max="3579" width="7.21875" style="20" customWidth="1"/>
    <col min="3580" max="3580" width="5.5546875" style="20" customWidth="1"/>
    <col min="3581" max="3581" width="9" style="20" customWidth="1"/>
    <col min="3582" max="3583" width="9.77734375" style="20" customWidth="1"/>
    <col min="3584" max="3584" width="11.21875" style="20" customWidth="1"/>
    <col min="3585" max="3585" width="2.77734375" style="20" customWidth="1"/>
    <col min="3586" max="3586" width="3.5546875" style="20" customWidth="1"/>
    <col min="3587" max="3831" width="9.21875" style="20"/>
    <col min="3832" max="3832" width="8.77734375" style="20" customWidth="1"/>
    <col min="3833" max="3833" width="9.77734375" style="20" customWidth="1"/>
    <col min="3834" max="3834" width="14.44140625" style="20" customWidth="1"/>
    <col min="3835" max="3835" width="7.21875" style="20" customWidth="1"/>
    <col min="3836" max="3836" width="5.5546875" style="20" customWidth="1"/>
    <col min="3837" max="3837" width="9" style="20" customWidth="1"/>
    <col min="3838" max="3839" width="9.77734375" style="20" customWidth="1"/>
    <col min="3840" max="3840" width="11.21875" style="20" customWidth="1"/>
    <col min="3841" max="3841" width="2.77734375" style="20" customWidth="1"/>
    <col min="3842" max="3842" width="3.5546875" style="20" customWidth="1"/>
    <col min="3843" max="4087" width="9.21875" style="20"/>
    <col min="4088" max="4088" width="8.77734375" style="20" customWidth="1"/>
    <col min="4089" max="4089" width="9.77734375" style="20" customWidth="1"/>
    <col min="4090" max="4090" width="14.44140625" style="20" customWidth="1"/>
    <col min="4091" max="4091" width="7.21875" style="20" customWidth="1"/>
    <col min="4092" max="4092" width="5.5546875" style="20" customWidth="1"/>
    <col min="4093" max="4093" width="9" style="20" customWidth="1"/>
    <col min="4094" max="4095" width="9.77734375" style="20" customWidth="1"/>
    <col min="4096" max="4096" width="11.21875" style="20" customWidth="1"/>
    <col min="4097" max="4097" width="2.77734375" style="20" customWidth="1"/>
    <col min="4098" max="4098" width="3.5546875" style="20" customWidth="1"/>
    <col min="4099" max="4343" width="9.21875" style="20"/>
    <col min="4344" max="4344" width="8.77734375" style="20" customWidth="1"/>
    <col min="4345" max="4345" width="9.77734375" style="20" customWidth="1"/>
    <col min="4346" max="4346" width="14.44140625" style="20" customWidth="1"/>
    <col min="4347" max="4347" width="7.21875" style="20" customWidth="1"/>
    <col min="4348" max="4348" width="5.5546875" style="20" customWidth="1"/>
    <col min="4349" max="4349" width="9" style="20" customWidth="1"/>
    <col min="4350" max="4351" width="9.77734375" style="20" customWidth="1"/>
    <col min="4352" max="4352" width="11.21875" style="20" customWidth="1"/>
    <col min="4353" max="4353" width="2.77734375" style="20" customWidth="1"/>
    <col min="4354" max="4354" width="3.5546875" style="20" customWidth="1"/>
    <col min="4355" max="4599" width="9.21875" style="20"/>
    <col min="4600" max="4600" width="8.77734375" style="20" customWidth="1"/>
    <col min="4601" max="4601" width="9.77734375" style="20" customWidth="1"/>
    <col min="4602" max="4602" width="14.44140625" style="20" customWidth="1"/>
    <col min="4603" max="4603" width="7.21875" style="20" customWidth="1"/>
    <col min="4604" max="4604" width="5.5546875" style="20" customWidth="1"/>
    <col min="4605" max="4605" width="9" style="20" customWidth="1"/>
    <col min="4606" max="4607" width="9.77734375" style="20" customWidth="1"/>
    <col min="4608" max="4608" width="11.21875" style="20" customWidth="1"/>
    <col min="4609" max="4609" width="2.77734375" style="20" customWidth="1"/>
    <col min="4610" max="4610" width="3.5546875" style="20" customWidth="1"/>
    <col min="4611" max="4855" width="9.21875" style="20"/>
    <col min="4856" max="4856" width="8.77734375" style="20" customWidth="1"/>
    <col min="4857" max="4857" width="9.77734375" style="20" customWidth="1"/>
    <col min="4858" max="4858" width="14.44140625" style="20" customWidth="1"/>
    <col min="4859" max="4859" width="7.21875" style="20" customWidth="1"/>
    <col min="4860" max="4860" width="5.5546875" style="20" customWidth="1"/>
    <col min="4861" max="4861" width="9" style="20" customWidth="1"/>
    <col min="4862" max="4863" width="9.77734375" style="20" customWidth="1"/>
    <col min="4864" max="4864" width="11.21875" style="20" customWidth="1"/>
    <col min="4865" max="4865" width="2.77734375" style="20" customWidth="1"/>
    <col min="4866" max="4866" width="3.5546875" style="20" customWidth="1"/>
    <col min="4867" max="5111" width="9.21875" style="20"/>
    <col min="5112" max="5112" width="8.77734375" style="20" customWidth="1"/>
    <col min="5113" max="5113" width="9.77734375" style="20" customWidth="1"/>
    <col min="5114" max="5114" width="14.44140625" style="20" customWidth="1"/>
    <col min="5115" max="5115" width="7.21875" style="20" customWidth="1"/>
    <col min="5116" max="5116" width="5.5546875" style="20" customWidth="1"/>
    <col min="5117" max="5117" width="9" style="20" customWidth="1"/>
    <col min="5118" max="5119" width="9.77734375" style="20" customWidth="1"/>
    <col min="5120" max="5120" width="11.21875" style="20" customWidth="1"/>
    <col min="5121" max="5121" width="2.77734375" style="20" customWidth="1"/>
    <col min="5122" max="5122" width="3.5546875" style="20" customWidth="1"/>
    <col min="5123" max="5367" width="9.21875" style="20"/>
    <col min="5368" max="5368" width="8.77734375" style="20" customWidth="1"/>
    <col min="5369" max="5369" width="9.77734375" style="20" customWidth="1"/>
    <col min="5370" max="5370" width="14.44140625" style="20" customWidth="1"/>
    <col min="5371" max="5371" width="7.21875" style="20" customWidth="1"/>
    <col min="5372" max="5372" width="5.5546875" style="20" customWidth="1"/>
    <col min="5373" max="5373" width="9" style="20" customWidth="1"/>
    <col min="5374" max="5375" width="9.77734375" style="20" customWidth="1"/>
    <col min="5376" max="5376" width="11.21875" style="20" customWidth="1"/>
    <col min="5377" max="5377" width="2.77734375" style="20" customWidth="1"/>
    <col min="5378" max="5378" width="3.5546875" style="20" customWidth="1"/>
    <col min="5379" max="5623" width="9.21875" style="20"/>
    <col min="5624" max="5624" width="8.77734375" style="20" customWidth="1"/>
    <col min="5625" max="5625" width="9.77734375" style="20" customWidth="1"/>
    <col min="5626" max="5626" width="14.44140625" style="20" customWidth="1"/>
    <col min="5627" max="5627" width="7.21875" style="20" customWidth="1"/>
    <col min="5628" max="5628" width="5.5546875" style="20" customWidth="1"/>
    <col min="5629" max="5629" width="9" style="20" customWidth="1"/>
    <col min="5630" max="5631" width="9.77734375" style="20" customWidth="1"/>
    <col min="5632" max="5632" width="11.21875" style="20" customWidth="1"/>
    <col min="5633" max="5633" width="2.77734375" style="20" customWidth="1"/>
    <col min="5634" max="5634" width="3.5546875" style="20" customWidth="1"/>
    <col min="5635" max="5879" width="9.21875" style="20"/>
    <col min="5880" max="5880" width="8.77734375" style="20" customWidth="1"/>
    <col min="5881" max="5881" width="9.77734375" style="20" customWidth="1"/>
    <col min="5882" max="5882" width="14.44140625" style="20" customWidth="1"/>
    <col min="5883" max="5883" width="7.21875" style="20" customWidth="1"/>
    <col min="5884" max="5884" width="5.5546875" style="20" customWidth="1"/>
    <col min="5885" max="5885" width="9" style="20" customWidth="1"/>
    <col min="5886" max="5887" width="9.77734375" style="20" customWidth="1"/>
    <col min="5888" max="5888" width="11.21875" style="20" customWidth="1"/>
    <col min="5889" max="5889" width="2.77734375" style="20" customWidth="1"/>
    <col min="5890" max="5890" width="3.5546875" style="20" customWidth="1"/>
    <col min="5891" max="6135" width="9.21875" style="20"/>
    <col min="6136" max="6136" width="8.77734375" style="20" customWidth="1"/>
    <col min="6137" max="6137" width="9.77734375" style="20" customWidth="1"/>
    <col min="6138" max="6138" width="14.44140625" style="20" customWidth="1"/>
    <col min="6139" max="6139" width="7.21875" style="20" customWidth="1"/>
    <col min="6140" max="6140" width="5.5546875" style="20" customWidth="1"/>
    <col min="6141" max="6141" width="9" style="20" customWidth="1"/>
    <col min="6142" max="6143" width="9.77734375" style="20" customWidth="1"/>
    <col min="6144" max="6144" width="11.21875" style="20" customWidth="1"/>
    <col min="6145" max="6145" width="2.77734375" style="20" customWidth="1"/>
    <col min="6146" max="6146" width="3.5546875" style="20" customWidth="1"/>
    <col min="6147" max="6391" width="9.21875" style="20"/>
    <col min="6392" max="6392" width="8.77734375" style="20" customWidth="1"/>
    <col min="6393" max="6393" width="9.77734375" style="20" customWidth="1"/>
    <col min="6394" max="6394" width="14.44140625" style="20" customWidth="1"/>
    <col min="6395" max="6395" width="7.21875" style="20" customWidth="1"/>
    <col min="6396" max="6396" width="5.5546875" style="20" customWidth="1"/>
    <col min="6397" max="6397" width="9" style="20" customWidth="1"/>
    <col min="6398" max="6399" width="9.77734375" style="20" customWidth="1"/>
    <col min="6400" max="6400" width="11.21875" style="20" customWidth="1"/>
    <col min="6401" max="6401" width="2.77734375" style="20" customWidth="1"/>
    <col min="6402" max="6402" width="3.5546875" style="20" customWidth="1"/>
    <col min="6403" max="6647" width="9.21875" style="20"/>
    <col min="6648" max="6648" width="8.77734375" style="20" customWidth="1"/>
    <col min="6649" max="6649" width="9.77734375" style="20" customWidth="1"/>
    <col min="6650" max="6650" width="14.44140625" style="20" customWidth="1"/>
    <col min="6651" max="6651" width="7.21875" style="20" customWidth="1"/>
    <col min="6652" max="6652" width="5.5546875" style="20" customWidth="1"/>
    <col min="6653" max="6653" width="9" style="20" customWidth="1"/>
    <col min="6654" max="6655" width="9.77734375" style="20" customWidth="1"/>
    <col min="6656" max="6656" width="11.21875" style="20" customWidth="1"/>
    <col min="6657" max="6657" width="2.77734375" style="20" customWidth="1"/>
    <col min="6658" max="6658" width="3.5546875" style="20" customWidth="1"/>
    <col min="6659" max="6903" width="9.21875" style="20"/>
    <col min="6904" max="6904" width="8.77734375" style="20" customWidth="1"/>
    <col min="6905" max="6905" width="9.77734375" style="20" customWidth="1"/>
    <col min="6906" max="6906" width="14.44140625" style="20" customWidth="1"/>
    <col min="6907" max="6907" width="7.21875" style="20" customWidth="1"/>
    <col min="6908" max="6908" width="5.5546875" style="20" customWidth="1"/>
    <col min="6909" max="6909" width="9" style="20" customWidth="1"/>
    <col min="6910" max="6911" width="9.77734375" style="20" customWidth="1"/>
    <col min="6912" max="6912" width="11.21875" style="20" customWidth="1"/>
    <col min="6913" max="6913" width="2.77734375" style="20" customWidth="1"/>
    <col min="6914" max="6914" width="3.5546875" style="20" customWidth="1"/>
    <col min="6915" max="7159" width="9.21875" style="20"/>
    <col min="7160" max="7160" width="8.77734375" style="20" customWidth="1"/>
    <col min="7161" max="7161" width="9.77734375" style="20" customWidth="1"/>
    <col min="7162" max="7162" width="14.44140625" style="20" customWidth="1"/>
    <col min="7163" max="7163" width="7.21875" style="20" customWidth="1"/>
    <col min="7164" max="7164" width="5.5546875" style="20" customWidth="1"/>
    <col min="7165" max="7165" width="9" style="20" customWidth="1"/>
    <col min="7166" max="7167" width="9.77734375" style="20" customWidth="1"/>
    <col min="7168" max="7168" width="11.21875" style="20" customWidth="1"/>
    <col min="7169" max="7169" width="2.77734375" style="20" customWidth="1"/>
    <col min="7170" max="7170" width="3.5546875" style="20" customWidth="1"/>
    <col min="7171" max="7415" width="9.21875" style="20"/>
    <col min="7416" max="7416" width="8.77734375" style="20" customWidth="1"/>
    <col min="7417" max="7417" width="9.77734375" style="20" customWidth="1"/>
    <col min="7418" max="7418" width="14.44140625" style="20" customWidth="1"/>
    <col min="7419" max="7419" width="7.21875" style="20" customWidth="1"/>
    <col min="7420" max="7420" width="5.5546875" style="20" customWidth="1"/>
    <col min="7421" max="7421" width="9" style="20" customWidth="1"/>
    <col min="7422" max="7423" width="9.77734375" style="20" customWidth="1"/>
    <col min="7424" max="7424" width="11.21875" style="20" customWidth="1"/>
    <col min="7425" max="7425" width="2.77734375" style="20" customWidth="1"/>
    <col min="7426" max="7426" width="3.5546875" style="20" customWidth="1"/>
    <col min="7427" max="7671" width="9.21875" style="20"/>
    <col min="7672" max="7672" width="8.77734375" style="20" customWidth="1"/>
    <col min="7673" max="7673" width="9.77734375" style="20" customWidth="1"/>
    <col min="7674" max="7674" width="14.44140625" style="20" customWidth="1"/>
    <col min="7675" max="7675" width="7.21875" style="20" customWidth="1"/>
    <col min="7676" max="7676" width="5.5546875" style="20" customWidth="1"/>
    <col min="7677" max="7677" width="9" style="20" customWidth="1"/>
    <col min="7678" max="7679" width="9.77734375" style="20" customWidth="1"/>
    <col min="7680" max="7680" width="11.21875" style="20" customWidth="1"/>
    <col min="7681" max="7681" width="2.77734375" style="20" customWidth="1"/>
    <col min="7682" max="7682" width="3.5546875" style="20" customWidth="1"/>
    <col min="7683" max="7927" width="9.21875" style="20"/>
    <col min="7928" max="7928" width="8.77734375" style="20" customWidth="1"/>
    <col min="7929" max="7929" width="9.77734375" style="20" customWidth="1"/>
    <col min="7930" max="7930" width="14.44140625" style="20" customWidth="1"/>
    <col min="7931" max="7931" width="7.21875" style="20" customWidth="1"/>
    <col min="7932" max="7932" width="5.5546875" style="20" customWidth="1"/>
    <col min="7933" max="7933" width="9" style="20" customWidth="1"/>
    <col min="7934" max="7935" width="9.77734375" style="20" customWidth="1"/>
    <col min="7936" max="7936" width="11.21875" style="20" customWidth="1"/>
    <col min="7937" max="7937" width="2.77734375" style="20" customWidth="1"/>
    <col min="7938" max="7938" width="3.5546875" style="20" customWidth="1"/>
    <col min="7939" max="8183" width="9.21875" style="20"/>
    <col min="8184" max="8184" width="8.77734375" style="20" customWidth="1"/>
    <col min="8185" max="8185" width="9.77734375" style="20" customWidth="1"/>
    <col min="8186" max="8186" width="14.44140625" style="20" customWidth="1"/>
    <col min="8187" max="8187" width="7.21875" style="20" customWidth="1"/>
    <col min="8188" max="8188" width="5.5546875" style="20" customWidth="1"/>
    <col min="8189" max="8189" width="9" style="20" customWidth="1"/>
    <col min="8190" max="8191" width="9.77734375" style="20" customWidth="1"/>
    <col min="8192" max="8192" width="11.21875" style="20" customWidth="1"/>
    <col min="8193" max="8193" width="2.77734375" style="20" customWidth="1"/>
    <col min="8194" max="8194" width="3.5546875" style="20" customWidth="1"/>
    <col min="8195" max="8439" width="9.21875" style="20"/>
    <col min="8440" max="8440" width="8.77734375" style="20" customWidth="1"/>
    <col min="8441" max="8441" width="9.77734375" style="20" customWidth="1"/>
    <col min="8442" max="8442" width="14.44140625" style="20" customWidth="1"/>
    <col min="8443" max="8443" width="7.21875" style="20" customWidth="1"/>
    <col min="8444" max="8444" width="5.5546875" style="20" customWidth="1"/>
    <col min="8445" max="8445" width="9" style="20" customWidth="1"/>
    <col min="8446" max="8447" width="9.77734375" style="20" customWidth="1"/>
    <col min="8448" max="8448" width="11.21875" style="20" customWidth="1"/>
    <col min="8449" max="8449" width="2.77734375" style="20" customWidth="1"/>
    <col min="8450" max="8450" width="3.5546875" style="20" customWidth="1"/>
    <col min="8451" max="8695" width="9.21875" style="20"/>
    <col min="8696" max="8696" width="8.77734375" style="20" customWidth="1"/>
    <col min="8697" max="8697" width="9.77734375" style="20" customWidth="1"/>
    <col min="8698" max="8698" width="14.44140625" style="20" customWidth="1"/>
    <col min="8699" max="8699" width="7.21875" style="20" customWidth="1"/>
    <col min="8700" max="8700" width="5.5546875" style="20" customWidth="1"/>
    <col min="8701" max="8701" width="9" style="20" customWidth="1"/>
    <col min="8702" max="8703" width="9.77734375" style="20" customWidth="1"/>
    <col min="8704" max="8704" width="11.21875" style="20" customWidth="1"/>
    <col min="8705" max="8705" width="2.77734375" style="20" customWidth="1"/>
    <col min="8706" max="8706" width="3.5546875" style="20" customWidth="1"/>
    <col min="8707" max="8951" width="9.21875" style="20"/>
    <col min="8952" max="8952" width="8.77734375" style="20" customWidth="1"/>
    <col min="8953" max="8953" width="9.77734375" style="20" customWidth="1"/>
    <col min="8954" max="8954" width="14.44140625" style="20" customWidth="1"/>
    <col min="8955" max="8955" width="7.21875" style="20" customWidth="1"/>
    <col min="8956" max="8956" width="5.5546875" style="20" customWidth="1"/>
    <col min="8957" max="8957" width="9" style="20" customWidth="1"/>
    <col min="8958" max="8959" width="9.77734375" style="20" customWidth="1"/>
    <col min="8960" max="8960" width="11.21875" style="20" customWidth="1"/>
    <col min="8961" max="8961" width="2.77734375" style="20" customWidth="1"/>
    <col min="8962" max="8962" width="3.5546875" style="20" customWidth="1"/>
    <col min="8963" max="9207" width="9.21875" style="20"/>
    <col min="9208" max="9208" width="8.77734375" style="20" customWidth="1"/>
    <col min="9209" max="9209" width="9.77734375" style="20" customWidth="1"/>
    <col min="9210" max="9210" width="14.44140625" style="20" customWidth="1"/>
    <col min="9211" max="9211" width="7.21875" style="20" customWidth="1"/>
    <col min="9212" max="9212" width="5.5546875" style="20" customWidth="1"/>
    <col min="9213" max="9213" width="9" style="20" customWidth="1"/>
    <col min="9214" max="9215" width="9.77734375" style="20" customWidth="1"/>
    <col min="9216" max="9216" width="11.21875" style="20" customWidth="1"/>
    <col min="9217" max="9217" width="2.77734375" style="20" customWidth="1"/>
    <col min="9218" max="9218" width="3.5546875" style="20" customWidth="1"/>
    <col min="9219" max="9463" width="9.21875" style="20"/>
    <col min="9464" max="9464" width="8.77734375" style="20" customWidth="1"/>
    <col min="9465" max="9465" width="9.77734375" style="20" customWidth="1"/>
    <col min="9466" max="9466" width="14.44140625" style="20" customWidth="1"/>
    <col min="9467" max="9467" width="7.21875" style="20" customWidth="1"/>
    <col min="9468" max="9468" width="5.5546875" style="20" customWidth="1"/>
    <col min="9469" max="9469" width="9" style="20" customWidth="1"/>
    <col min="9470" max="9471" width="9.77734375" style="20" customWidth="1"/>
    <col min="9472" max="9472" width="11.21875" style="20" customWidth="1"/>
    <col min="9473" max="9473" width="2.77734375" style="20" customWidth="1"/>
    <col min="9474" max="9474" width="3.5546875" style="20" customWidth="1"/>
    <col min="9475" max="9719" width="9.21875" style="20"/>
    <col min="9720" max="9720" width="8.77734375" style="20" customWidth="1"/>
    <col min="9721" max="9721" width="9.77734375" style="20" customWidth="1"/>
    <col min="9722" max="9722" width="14.44140625" style="20" customWidth="1"/>
    <col min="9723" max="9723" width="7.21875" style="20" customWidth="1"/>
    <col min="9724" max="9724" width="5.5546875" style="20" customWidth="1"/>
    <col min="9725" max="9725" width="9" style="20" customWidth="1"/>
    <col min="9726" max="9727" width="9.77734375" style="20" customWidth="1"/>
    <col min="9728" max="9728" width="11.21875" style="20" customWidth="1"/>
    <col min="9729" max="9729" width="2.77734375" style="20" customWidth="1"/>
    <col min="9730" max="9730" width="3.5546875" style="20" customWidth="1"/>
    <col min="9731" max="9975" width="9.21875" style="20"/>
    <col min="9976" max="9976" width="8.77734375" style="20" customWidth="1"/>
    <col min="9977" max="9977" width="9.77734375" style="20" customWidth="1"/>
    <col min="9978" max="9978" width="14.44140625" style="20" customWidth="1"/>
    <col min="9979" max="9979" width="7.21875" style="20" customWidth="1"/>
    <col min="9980" max="9980" width="5.5546875" style="20" customWidth="1"/>
    <col min="9981" max="9981" width="9" style="20" customWidth="1"/>
    <col min="9982" max="9983" width="9.77734375" style="20" customWidth="1"/>
    <col min="9984" max="9984" width="11.21875" style="20" customWidth="1"/>
    <col min="9985" max="9985" width="2.77734375" style="20" customWidth="1"/>
    <col min="9986" max="9986" width="3.5546875" style="20" customWidth="1"/>
    <col min="9987" max="10231" width="9.21875" style="20"/>
    <col min="10232" max="10232" width="8.77734375" style="20" customWidth="1"/>
    <col min="10233" max="10233" width="9.77734375" style="20" customWidth="1"/>
    <col min="10234" max="10234" width="14.44140625" style="20" customWidth="1"/>
    <col min="10235" max="10235" width="7.21875" style="20" customWidth="1"/>
    <col min="10236" max="10236" width="5.5546875" style="20" customWidth="1"/>
    <col min="10237" max="10237" width="9" style="20" customWidth="1"/>
    <col min="10238" max="10239" width="9.77734375" style="20" customWidth="1"/>
    <col min="10240" max="10240" width="11.21875" style="20" customWidth="1"/>
    <col min="10241" max="10241" width="2.77734375" style="20" customWidth="1"/>
    <col min="10242" max="10242" width="3.5546875" style="20" customWidth="1"/>
    <col min="10243" max="10487" width="9.21875" style="20"/>
    <col min="10488" max="10488" width="8.77734375" style="20" customWidth="1"/>
    <col min="10489" max="10489" width="9.77734375" style="20" customWidth="1"/>
    <col min="10490" max="10490" width="14.44140625" style="20" customWidth="1"/>
    <col min="10491" max="10491" width="7.21875" style="20" customWidth="1"/>
    <col min="10492" max="10492" width="5.5546875" style="20" customWidth="1"/>
    <col min="10493" max="10493" width="9" style="20" customWidth="1"/>
    <col min="10494" max="10495" width="9.77734375" style="20" customWidth="1"/>
    <col min="10496" max="10496" width="11.21875" style="20" customWidth="1"/>
    <col min="10497" max="10497" width="2.77734375" style="20" customWidth="1"/>
    <col min="10498" max="10498" width="3.5546875" style="20" customWidth="1"/>
    <col min="10499" max="10743" width="9.21875" style="20"/>
    <col min="10744" max="10744" width="8.77734375" style="20" customWidth="1"/>
    <col min="10745" max="10745" width="9.77734375" style="20" customWidth="1"/>
    <col min="10746" max="10746" width="14.44140625" style="20" customWidth="1"/>
    <col min="10747" max="10747" width="7.21875" style="20" customWidth="1"/>
    <col min="10748" max="10748" width="5.5546875" style="20" customWidth="1"/>
    <col min="10749" max="10749" width="9" style="20" customWidth="1"/>
    <col min="10750" max="10751" width="9.77734375" style="20" customWidth="1"/>
    <col min="10752" max="10752" width="11.21875" style="20" customWidth="1"/>
    <col min="10753" max="10753" width="2.77734375" style="20" customWidth="1"/>
    <col min="10754" max="10754" width="3.5546875" style="20" customWidth="1"/>
    <col min="10755" max="10999" width="9.21875" style="20"/>
    <col min="11000" max="11000" width="8.77734375" style="20" customWidth="1"/>
    <col min="11001" max="11001" width="9.77734375" style="20" customWidth="1"/>
    <col min="11002" max="11002" width="14.44140625" style="20" customWidth="1"/>
    <col min="11003" max="11003" width="7.21875" style="20" customWidth="1"/>
    <col min="11004" max="11004" width="5.5546875" style="20" customWidth="1"/>
    <col min="11005" max="11005" width="9" style="20" customWidth="1"/>
    <col min="11006" max="11007" width="9.77734375" style="20" customWidth="1"/>
    <col min="11008" max="11008" width="11.21875" style="20" customWidth="1"/>
    <col min="11009" max="11009" width="2.77734375" style="20" customWidth="1"/>
    <col min="11010" max="11010" width="3.5546875" style="20" customWidth="1"/>
    <col min="11011" max="11255" width="9.21875" style="20"/>
    <col min="11256" max="11256" width="8.77734375" style="20" customWidth="1"/>
    <col min="11257" max="11257" width="9.77734375" style="20" customWidth="1"/>
    <col min="11258" max="11258" width="14.44140625" style="20" customWidth="1"/>
    <col min="11259" max="11259" width="7.21875" style="20" customWidth="1"/>
    <col min="11260" max="11260" width="5.5546875" style="20" customWidth="1"/>
    <col min="11261" max="11261" width="9" style="20" customWidth="1"/>
    <col min="11262" max="11263" width="9.77734375" style="20" customWidth="1"/>
    <col min="11264" max="11264" width="11.21875" style="20" customWidth="1"/>
    <col min="11265" max="11265" width="2.77734375" style="20" customWidth="1"/>
    <col min="11266" max="11266" width="3.5546875" style="20" customWidth="1"/>
    <col min="11267" max="11511" width="9.21875" style="20"/>
    <col min="11512" max="11512" width="8.77734375" style="20" customWidth="1"/>
    <col min="11513" max="11513" width="9.77734375" style="20" customWidth="1"/>
    <col min="11514" max="11514" width="14.44140625" style="20" customWidth="1"/>
    <col min="11515" max="11515" width="7.21875" style="20" customWidth="1"/>
    <col min="11516" max="11516" width="5.5546875" style="20" customWidth="1"/>
    <col min="11517" max="11517" width="9" style="20" customWidth="1"/>
    <col min="11518" max="11519" width="9.77734375" style="20" customWidth="1"/>
    <col min="11520" max="11520" width="11.21875" style="20" customWidth="1"/>
    <col min="11521" max="11521" width="2.77734375" style="20" customWidth="1"/>
    <col min="11522" max="11522" width="3.5546875" style="20" customWidth="1"/>
    <col min="11523" max="11767" width="9.21875" style="20"/>
    <col min="11768" max="11768" width="8.77734375" style="20" customWidth="1"/>
    <col min="11769" max="11769" width="9.77734375" style="20" customWidth="1"/>
    <col min="11770" max="11770" width="14.44140625" style="20" customWidth="1"/>
    <col min="11771" max="11771" width="7.21875" style="20" customWidth="1"/>
    <col min="11772" max="11772" width="5.5546875" style="20" customWidth="1"/>
    <col min="11773" max="11773" width="9" style="20" customWidth="1"/>
    <col min="11774" max="11775" width="9.77734375" style="20" customWidth="1"/>
    <col min="11776" max="11776" width="11.21875" style="20" customWidth="1"/>
    <col min="11777" max="11777" width="2.77734375" style="20" customWidth="1"/>
    <col min="11778" max="11778" width="3.5546875" style="20" customWidth="1"/>
    <col min="11779" max="12023" width="9.21875" style="20"/>
    <col min="12024" max="12024" width="8.77734375" style="20" customWidth="1"/>
    <col min="12025" max="12025" width="9.77734375" style="20" customWidth="1"/>
    <col min="12026" max="12026" width="14.44140625" style="20" customWidth="1"/>
    <col min="12027" max="12027" width="7.21875" style="20" customWidth="1"/>
    <col min="12028" max="12028" width="5.5546875" style="20" customWidth="1"/>
    <col min="12029" max="12029" width="9" style="20" customWidth="1"/>
    <col min="12030" max="12031" width="9.77734375" style="20" customWidth="1"/>
    <col min="12032" max="12032" width="11.21875" style="20" customWidth="1"/>
    <col min="12033" max="12033" width="2.77734375" style="20" customWidth="1"/>
    <col min="12034" max="12034" width="3.5546875" style="20" customWidth="1"/>
    <col min="12035" max="12279" width="9.21875" style="20"/>
    <col min="12280" max="12280" width="8.77734375" style="20" customWidth="1"/>
    <col min="12281" max="12281" width="9.77734375" style="20" customWidth="1"/>
    <col min="12282" max="12282" width="14.44140625" style="20" customWidth="1"/>
    <col min="12283" max="12283" width="7.21875" style="20" customWidth="1"/>
    <col min="12284" max="12284" width="5.5546875" style="20" customWidth="1"/>
    <col min="12285" max="12285" width="9" style="20" customWidth="1"/>
    <col min="12286" max="12287" width="9.77734375" style="20" customWidth="1"/>
    <col min="12288" max="12288" width="11.21875" style="20" customWidth="1"/>
    <col min="12289" max="12289" width="2.77734375" style="20" customWidth="1"/>
    <col min="12290" max="12290" width="3.5546875" style="20" customWidth="1"/>
    <col min="12291" max="12535" width="9.21875" style="20"/>
    <col min="12536" max="12536" width="8.77734375" style="20" customWidth="1"/>
    <col min="12537" max="12537" width="9.77734375" style="20" customWidth="1"/>
    <col min="12538" max="12538" width="14.44140625" style="20" customWidth="1"/>
    <col min="12539" max="12539" width="7.21875" style="20" customWidth="1"/>
    <col min="12540" max="12540" width="5.5546875" style="20" customWidth="1"/>
    <col min="12541" max="12541" width="9" style="20" customWidth="1"/>
    <col min="12542" max="12543" width="9.77734375" style="20" customWidth="1"/>
    <col min="12544" max="12544" width="11.21875" style="20" customWidth="1"/>
    <col min="12545" max="12545" width="2.77734375" style="20" customWidth="1"/>
    <col min="12546" max="12546" width="3.5546875" style="20" customWidth="1"/>
    <col min="12547" max="12791" width="9.21875" style="20"/>
    <col min="12792" max="12792" width="8.77734375" style="20" customWidth="1"/>
    <col min="12793" max="12793" width="9.77734375" style="20" customWidth="1"/>
    <col min="12794" max="12794" width="14.44140625" style="20" customWidth="1"/>
    <col min="12795" max="12795" width="7.21875" style="20" customWidth="1"/>
    <col min="12796" max="12796" width="5.5546875" style="20" customWidth="1"/>
    <col min="12797" max="12797" width="9" style="20" customWidth="1"/>
    <col min="12798" max="12799" width="9.77734375" style="20" customWidth="1"/>
    <col min="12800" max="12800" width="11.21875" style="20" customWidth="1"/>
    <col min="12801" max="12801" width="2.77734375" style="20" customWidth="1"/>
    <col min="12802" max="12802" width="3.5546875" style="20" customWidth="1"/>
    <col min="12803" max="13047" width="9.21875" style="20"/>
    <col min="13048" max="13048" width="8.77734375" style="20" customWidth="1"/>
    <col min="13049" max="13049" width="9.77734375" style="20" customWidth="1"/>
    <col min="13050" max="13050" width="14.44140625" style="20" customWidth="1"/>
    <col min="13051" max="13051" width="7.21875" style="20" customWidth="1"/>
    <col min="13052" max="13052" width="5.5546875" style="20" customWidth="1"/>
    <col min="13053" max="13053" width="9" style="20" customWidth="1"/>
    <col min="13054" max="13055" width="9.77734375" style="20" customWidth="1"/>
    <col min="13056" max="13056" width="11.21875" style="20" customWidth="1"/>
    <col min="13057" max="13057" width="2.77734375" style="20" customWidth="1"/>
    <col min="13058" max="13058" width="3.5546875" style="20" customWidth="1"/>
    <col min="13059" max="13303" width="9.21875" style="20"/>
    <col min="13304" max="13304" width="8.77734375" style="20" customWidth="1"/>
    <col min="13305" max="13305" width="9.77734375" style="20" customWidth="1"/>
    <col min="13306" max="13306" width="14.44140625" style="20" customWidth="1"/>
    <col min="13307" max="13307" width="7.21875" style="20" customWidth="1"/>
    <col min="13308" max="13308" width="5.5546875" style="20" customWidth="1"/>
    <col min="13309" max="13309" width="9" style="20" customWidth="1"/>
    <col min="13310" max="13311" width="9.77734375" style="20" customWidth="1"/>
    <col min="13312" max="13312" width="11.21875" style="20" customWidth="1"/>
    <col min="13313" max="13313" width="2.77734375" style="20" customWidth="1"/>
    <col min="13314" max="13314" width="3.5546875" style="20" customWidth="1"/>
    <col min="13315" max="13559" width="9.21875" style="20"/>
    <col min="13560" max="13560" width="8.77734375" style="20" customWidth="1"/>
    <col min="13561" max="13561" width="9.77734375" style="20" customWidth="1"/>
    <col min="13562" max="13562" width="14.44140625" style="20" customWidth="1"/>
    <col min="13563" max="13563" width="7.21875" style="20" customWidth="1"/>
    <col min="13564" max="13564" width="5.5546875" style="20" customWidth="1"/>
    <col min="13565" max="13565" width="9" style="20" customWidth="1"/>
    <col min="13566" max="13567" width="9.77734375" style="20" customWidth="1"/>
    <col min="13568" max="13568" width="11.21875" style="20" customWidth="1"/>
    <col min="13569" max="13569" width="2.77734375" style="20" customWidth="1"/>
    <col min="13570" max="13570" width="3.5546875" style="20" customWidth="1"/>
    <col min="13571" max="13815" width="9.21875" style="20"/>
    <col min="13816" max="13816" width="8.77734375" style="20" customWidth="1"/>
    <col min="13817" max="13817" width="9.77734375" style="20" customWidth="1"/>
    <col min="13818" max="13818" width="14.44140625" style="20" customWidth="1"/>
    <col min="13819" max="13819" width="7.21875" style="20" customWidth="1"/>
    <col min="13820" max="13820" width="5.5546875" style="20" customWidth="1"/>
    <col min="13821" max="13821" width="9" style="20" customWidth="1"/>
    <col min="13822" max="13823" width="9.77734375" style="20" customWidth="1"/>
    <col min="13824" max="13824" width="11.21875" style="20" customWidth="1"/>
    <col min="13825" max="13825" width="2.77734375" style="20" customWidth="1"/>
    <col min="13826" max="13826" width="3.5546875" style="20" customWidth="1"/>
    <col min="13827" max="14071" width="9.21875" style="20"/>
    <col min="14072" max="14072" width="8.77734375" style="20" customWidth="1"/>
    <col min="14073" max="14073" width="9.77734375" style="20" customWidth="1"/>
    <col min="14074" max="14074" width="14.44140625" style="20" customWidth="1"/>
    <col min="14075" max="14075" width="7.21875" style="20" customWidth="1"/>
    <col min="14076" max="14076" width="5.5546875" style="20" customWidth="1"/>
    <col min="14077" max="14077" width="9" style="20" customWidth="1"/>
    <col min="14078" max="14079" width="9.77734375" style="20" customWidth="1"/>
    <col min="14080" max="14080" width="11.21875" style="20" customWidth="1"/>
    <col min="14081" max="14081" width="2.77734375" style="20" customWidth="1"/>
    <col min="14082" max="14082" width="3.5546875" style="20" customWidth="1"/>
    <col min="14083" max="14327" width="9.21875" style="20"/>
    <col min="14328" max="14328" width="8.77734375" style="20" customWidth="1"/>
    <col min="14329" max="14329" width="9.77734375" style="20" customWidth="1"/>
    <col min="14330" max="14330" width="14.44140625" style="20" customWidth="1"/>
    <col min="14331" max="14331" width="7.21875" style="20" customWidth="1"/>
    <col min="14332" max="14332" width="5.5546875" style="20" customWidth="1"/>
    <col min="14333" max="14333" width="9" style="20" customWidth="1"/>
    <col min="14334" max="14335" width="9.77734375" style="20" customWidth="1"/>
    <col min="14336" max="14336" width="11.21875" style="20" customWidth="1"/>
    <col min="14337" max="14337" width="2.77734375" style="20" customWidth="1"/>
    <col min="14338" max="14338" width="3.5546875" style="20" customWidth="1"/>
    <col min="14339" max="14583" width="9.21875" style="20"/>
    <col min="14584" max="14584" width="8.77734375" style="20" customWidth="1"/>
    <col min="14585" max="14585" width="9.77734375" style="20" customWidth="1"/>
    <col min="14586" max="14586" width="14.44140625" style="20" customWidth="1"/>
    <col min="14587" max="14587" width="7.21875" style="20" customWidth="1"/>
    <col min="14588" max="14588" width="5.5546875" style="20" customWidth="1"/>
    <col min="14589" max="14589" width="9" style="20" customWidth="1"/>
    <col min="14590" max="14591" width="9.77734375" style="20" customWidth="1"/>
    <col min="14592" max="14592" width="11.21875" style="20" customWidth="1"/>
    <col min="14593" max="14593" width="2.77734375" style="20" customWidth="1"/>
    <col min="14594" max="14594" width="3.5546875" style="20" customWidth="1"/>
    <col min="14595" max="14839" width="9.21875" style="20"/>
    <col min="14840" max="14840" width="8.77734375" style="20" customWidth="1"/>
    <col min="14841" max="14841" width="9.77734375" style="20" customWidth="1"/>
    <col min="14842" max="14842" width="14.44140625" style="20" customWidth="1"/>
    <col min="14843" max="14843" width="7.21875" style="20" customWidth="1"/>
    <col min="14844" max="14844" width="5.5546875" style="20" customWidth="1"/>
    <col min="14845" max="14845" width="9" style="20" customWidth="1"/>
    <col min="14846" max="14847" width="9.77734375" style="20" customWidth="1"/>
    <col min="14848" max="14848" width="11.21875" style="20" customWidth="1"/>
    <col min="14849" max="14849" width="2.77734375" style="20" customWidth="1"/>
    <col min="14850" max="14850" width="3.5546875" style="20" customWidth="1"/>
    <col min="14851" max="15095" width="9.21875" style="20"/>
    <col min="15096" max="15096" width="8.77734375" style="20" customWidth="1"/>
    <col min="15097" max="15097" width="9.77734375" style="20" customWidth="1"/>
    <col min="15098" max="15098" width="14.44140625" style="20" customWidth="1"/>
    <col min="15099" max="15099" width="7.21875" style="20" customWidth="1"/>
    <col min="15100" max="15100" width="5.5546875" style="20" customWidth="1"/>
    <col min="15101" max="15101" width="9" style="20" customWidth="1"/>
    <col min="15102" max="15103" width="9.77734375" style="20" customWidth="1"/>
    <col min="15104" max="15104" width="11.21875" style="20" customWidth="1"/>
    <col min="15105" max="15105" width="2.77734375" style="20" customWidth="1"/>
    <col min="15106" max="15106" width="3.5546875" style="20" customWidth="1"/>
    <col min="15107" max="15351" width="9.21875" style="20"/>
    <col min="15352" max="15352" width="8.77734375" style="20" customWidth="1"/>
    <col min="15353" max="15353" width="9.77734375" style="20" customWidth="1"/>
    <col min="15354" max="15354" width="14.44140625" style="20" customWidth="1"/>
    <col min="15355" max="15355" width="7.21875" style="20" customWidth="1"/>
    <col min="15356" max="15356" width="5.5546875" style="20" customWidth="1"/>
    <col min="15357" max="15357" width="9" style="20" customWidth="1"/>
    <col min="15358" max="15359" width="9.77734375" style="20" customWidth="1"/>
    <col min="15360" max="15360" width="11.21875" style="20" customWidth="1"/>
    <col min="15361" max="15361" width="2.77734375" style="20" customWidth="1"/>
    <col min="15362" max="15362" width="3.5546875" style="20" customWidth="1"/>
    <col min="15363" max="15607" width="9.21875" style="20"/>
    <col min="15608" max="15608" width="8.77734375" style="20" customWidth="1"/>
    <col min="15609" max="15609" width="9.77734375" style="20" customWidth="1"/>
    <col min="15610" max="15610" width="14.44140625" style="20" customWidth="1"/>
    <col min="15611" max="15611" width="7.21875" style="20" customWidth="1"/>
    <col min="15612" max="15612" width="5.5546875" style="20" customWidth="1"/>
    <col min="15613" max="15613" width="9" style="20" customWidth="1"/>
    <col min="15614" max="15615" width="9.77734375" style="20" customWidth="1"/>
    <col min="15616" max="15616" width="11.21875" style="20" customWidth="1"/>
    <col min="15617" max="15617" width="2.77734375" style="20" customWidth="1"/>
    <col min="15618" max="15618" width="3.5546875" style="20" customWidth="1"/>
    <col min="15619" max="15863" width="9.21875" style="20"/>
    <col min="15864" max="15864" width="8.77734375" style="20" customWidth="1"/>
    <col min="15865" max="15865" width="9.77734375" style="20" customWidth="1"/>
    <col min="15866" max="15866" width="14.44140625" style="20" customWidth="1"/>
    <col min="15867" max="15867" width="7.21875" style="20" customWidth="1"/>
    <col min="15868" max="15868" width="5.5546875" style="20" customWidth="1"/>
    <col min="15869" max="15869" width="9" style="20" customWidth="1"/>
    <col min="15870" max="15871" width="9.77734375" style="20" customWidth="1"/>
    <col min="15872" max="15872" width="11.21875" style="20" customWidth="1"/>
    <col min="15873" max="15873" width="2.77734375" style="20" customWidth="1"/>
    <col min="15874" max="15874" width="3.5546875" style="20" customWidth="1"/>
    <col min="15875" max="16119" width="9.21875" style="20"/>
    <col min="16120" max="16120" width="8.77734375" style="20" customWidth="1"/>
    <col min="16121" max="16121" width="9.77734375" style="20" customWidth="1"/>
    <col min="16122" max="16122" width="14.44140625" style="20" customWidth="1"/>
    <col min="16123" max="16123" width="7.21875" style="20" customWidth="1"/>
    <col min="16124" max="16124" width="5.5546875" style="20" customWidth="1"/>
    <col min="16125" max="16125" width="9" style="20" customWidth="1"/>
    <col min="16126" max="16127" width="9.77734375" style="20" customWidth="1"/>
    <col min="16128" max="16128" width="11.21875" style="20" customWidth="1"/>
    <col min="16129" max="16129" width="2.77734375" style="20" customWidth="1"/>
    <col min="16130" max="16130" width="3.5546875" style="20" customWidth="1"/>
    <col min="16131" max="16384" width="9.21875" style="20"/>
  </cols>
  <sheetData>
    <row r="1" spans="1:8" ht="46.5" customHeight="1" x14ac:dyDescent="0.3">
      <c r="A1" s="151" t="s">
        <v>230</v>
      </c>
      <c r="B1" s="151"/>
      <c r="C1" s="151"/>
      <c r="D1" s="151"/>
      <c r="E1" s="151"/>
      <c r="F1" s="151"/>
      <c r="G1" s="151"/>
      <c r="H1" s="151"/>
    </row>
    <row r="2" spans="1:8" ht="16.5" customHeight="1" x14ac:dyDescent="0.3">
      <c r="A2" s="140" t="s">
        <v>0</v>
      </c>
      <c r="B2" s="140"/>
      <c r="C2" s="140"/>
      <c r="D2" s="140"/>
      <c r="E2" s="140"/>
      <c r="F2" s="140"/>
      <c r="G2" s="140"/>
      <c r="H2" s="140"/>
    </row>
    <row r="3" spans="1:8" x14ac:dyDescent="0.3">
      <c r="A3" s="106" t="s">
        <v>1</v>
      </c>
      <c r="B3" s="106"/>
      <c r="C3" s="106"/>
      <c r="D3" s="106"/>
      <c r="E3" s="106" t="str">
        <f ca="1">TEXT(TODAY(),"DD/MM/YYYY")</f>
        <v>13/08/2025</v>
      </c>
      <c r="F3" s="106"/>
      <c r="G3" s="106"/>
      <c r="H3" s="106"/>
    </row>
    <row r="4" spans="1:8" ht="15" customHeight="1" x14ac:dyDescent="0.3">
      <c r="A4" s="106" t="s">
        <v>2</v>
      </c>
      <c r="B4" s="106"/>
      <c r="C4" s="106"/>
      <c r="D4" s="106"/>
      <c r="E4" s="106" t="s">
        <v>168</v>
      </c>
      <c r="F4" s="106"/>
      <c r="G4" s="106"/>
      <c r="H4" s="106"/>
    </row>
    <row r="5" spans="1:8" x14ac:dyDescent="0.3">
      <c r="A5" s="106" t="s">
        <v>3</v>
      </c>
      <c r="B5" s="106"/>
      <c r="C5" s="106"/>
      <c r="D5" s="106"/>
      <c r="E5" s="153">
        <v>45881</v>
      </c>
      <c r="F5" s="106"/>
      <c r="G5" s="106"/>
      <c r="H5" s="106"/>
    </row>
    <row r="6" spans="1:8" ht="16.5" customHeight="1" x14ac:dyDescent="0.3">
      <c r="A6" s="106" t="s">
        <v>4</v>
      </c>
      <c r="B6" s="106"/>
      <c r="C6" s="106"/>
      <c r="D6" s="106"/>
      <c r="E6" s="106" t="s">
        <v>169</v>
      </c>
      <c r="F6" s="106"/>
      <c r="G6" s="106"/>
      <c r="H6" s="106"/>
    </row>
    <row r="7" spans="1:8" ht="15" customHeight="1" x14ac:dyDescent="0.3">
      <c r="A7" s="106" t="s">
        <v>5</v>
      </c>
      <c r="B7" s="106"/>
      <c r="C7" s="106"/>
      <c r="D7" s="106"/>
      <c r="E7" s="106" t="str">
        <f>E6</f>
        <v>M/s. Macrotech Developers Limited</v>
      </c>
      <c r="F7" s="106"/>
      <c r="G7" s="106"/>
      <c r="H7" s="106"/>
    </row>
    <row r="8" spans="1:8" x14ac:dyDescent="0.3">
      <c r="A8" s="106" t="s">
        <v>215</v>
      </c>
      <c r="B8" s="106"/>
      <c r="C8" s="106"/>
      <c r="D8" s="106"/>
      <c r="E8" s="106" t="s">
        <v>216</v>
      </c>
      <c r="F8" s="106"/>
      <c r="G8" s="106"/>
      <c r="H8" s="106"/>
    </row>
    <row r="9" spans="1:8" x14ac:dyDescent="0.3">
      <c r="A9" s="106" t="s">
        <v>217</v>
      </c>
      <c r="B9" s="106"/>
      <c r="C9" s="106"/>
      <c r="D9" s="106"/>
      <c r="E9" s="152" t="s">
        <v>214</v>
      </c>
      <c r="F9" s="152"/>
      <c r="G9" s="152"/>
      <c r="H9" s="152"/>
    </row>
    <row r="10" spans="1:8" x14ac:dyDescent="0.3">
      <c r="A10" s="106" t="s">
        <v>122</v>
      </c>
      <c r="B10" s="106"/>
      <c r="C10" s="106"/>
      <c r="D10" s="106"/>
      <c r="E10" s="106" t="s">
        <v>170</v>
      </c>
      <c r="F10" s="106"/>
      <c r="G10" s="106"/>
      <c r="H10" s="106"/>
    </row>
    <row r="11" spans="1:8" x14ac:dyDescent="0.3">
      <c r="A11" s="106" t="s">
        <v>6</v>
      </c>
      <c r="B11" s="106"/>
      <c r="C11" s="106"/>
      <c r="D11" s="106"/>
      <c r="E11" s="106" t="s">
        <v>171</v>
      </c>
      <c r="F11" s="106"/>
      <c r="G11" s="106"/>
      <c r="H11" s="106"/>
    </row>
    <row r="12" spans="1:8" x14ac:dyDescent="0.3">
      <c r="A12" s="86" t="s">
        <v>7</v>
      </c>
      <c r="B12" s="86"/>
      <c r="C12" s="86"/>
      <c r="D12" s="86"/>
      <c r="E12" s="113" t="s">
        <v>201</v>
      </c>
      <c r="F12" s="113"/>
      <c r="G12" s="113"/>
      <c r="H12" s="113"/>
    </row>
    <row r="13" spans="1:8" x14ac:dyDescent="0.3">
      <c r="A13" s="86" t="s">
        <v>8</v>
      </c>
      <c r="B13" s="86"/>
      <c r="C13" s="86"/>
      <c r="D13" s="86"/>
      <c r="E13" s="113" t="s">
        <v>219</v>
      </c>
      <c r="F13" s="106"/>
      <c r="G13" s="106"/>
      <c r="H13" s="106"/>
    </row>
    <row r="14" spans="1:8" ht="61.5" customHeight="1" x14ac:dyDescent="0.3">
      <c r="A14" s="113" t="s">
        <v>9</v>
      </c>
      <c r="B14" s="113"/>
      <c r="C14" s="113" t="str">
        <f>CONCATENATE((IF(OR(E9="",E9="NA"),"",E9)),",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Upper Thane - Casa Eden, Survey No.55/12 A, 55/12B (P) &amp; 55/7 of Mankoli 27/1 (P), 28/14, 28/14B &amp; 28/15 of Surai, near Casa Tiara - Lodha Upper Thane, Dombivali Link Road, Surai Mankoli Bhiwandi, Surai (Pt), Mankoli(Pt), Dombivali, Bhiwandi, Thane - 421302.</v>
      </c>
      <c r="D14" s="113"/>
      <c r="E14" s="113"/>
      <c r="F14" s="113"/>
      <c r="G14" s="113"/>
      <c r="H14" s="113"/>
    </row>
    <row r="15" spans="1:8" x14ac:dyDescent="0.3">
      <c r="A15" s="113" t="s">
        <v>172</v>
      </c>
      <c r="B15" s="113"/>
      <c r="C15" s="113" t="s">
        <v>204</v>
      </c>
      <c r="D15" s="113"/>
      <c r="E15" s="113"/>
      <c r="F15" s="113"/>
      <c r="G15" s="113"/>
      <c r="H15" s="113"/>
    </row>
    <row r="16" spans="1:8" ht="15.75" customHeight="1" x14ac:dyDescent="0.3">
      <c r="A16" s="97" t="s">
        <v>165</v>
      </c>
      <c r="B16" s="99"/>
      <c r="C16" s="97" t="s">
        <v>175</v>
      </c>
      <c r="D16" s="98"/>
      <c r="E16" s="98"/>
      <c r="F16" s="98"/>
      <c r="G16" s="98"/>
      <c r="H16" s="99"/>
    </row>
    <row r="17" spans="1:8" ht="15.75" customHeight="1" x14ac:dyDescent="0.3">
      <c r="A17" s="113" t="s">
        <v>10</v>
      </c>
      <c r="B17" s="113"/>
      <c r="C17" s="106" t="s">
        <v>176</v>
      </c>
      <c r="D17" s="106"/>
      <c r="E17" s="113" t="s">
        <v>166</v>
      </c>
      <c r="F17" s="113"/>
      <c r="G17" s="113" t="s">
        <v>202</v>
      </c>
      <c r="H17" s="113"/>
    </row>
    <row r="18" spans="1:8" x14ac:dyDescent="0.3">
      <c r="A18" s="106" t="s">
        <v>12</v>
      </c>
      <c r="B18" s="106"/>
      <c r="C18" s="113" t="s">
        <v>177</v>
      </c>
      <c r="D18" s="113"/>
      <c r="E18" s="113" t="s">
        <v>11</v>
      </c>
      <c r="F18" s="113"/>
      <c r="G18" s="154" t="s">
        <v>174</v>
      </c>
      <c r="H18" s="154"/>
    </row>
    <row r="19" spans="1:8" x14ac:dyDescent="0.3">
      <c r="A19" s="106" t="s">
        <v>73</v>
      </c>
      <c r="B19" s="106"/>
      <c r="C19" s="113" t="s">
        <v>173</v>
      </c>
      <c r="D19" s="113"/>
      <c r="E19" s="113" t="s">
        <v>13</v>
      </c>
      <c r="F19" s="113"/>
      <c r="G19" s="113">
        <v>421302</v>
      </c>
      <c r="H19" s="113"/>
    </row>
    <row r="20" spans="1:8" ht="32.25" customHeight="1" x14ac:dyDescent="0.3">
      <c r="A20" s="106" t="s">
        <v>123</v>
      </c>
      <c r="B20" s="106"/>
      <c r="C20" s="113" t="s">
        <v>178</v>
      </c>
      <c r="D20" s="113"/>
      <c r="E20" s="113" t="s">
        <v>14</v>
      </c>
      <c r="F20" s="113"/>
      <c r="G20" s="113" t="s">
        <v>203</v>
      </c>
      <c r="H20" s="113"/>
    </row>
    <row r="21" spans="1:8" ht="15" customHeight="1" x14ac:dyDescent="0.3">
      <c r="A21" s="112" t="s">
        <v>76</v>
      </c>
      <c r="B21" s="112"/>
      <c r="C21" s="112"/>
      <c r="D21" s="112"/>
      <c r="E21" s="106" t="s">
        <v>15</v>
      </c>
      <c r="F21" s="106"/>
      <c r="G21" s="106"/>
      <c r="H21" s="106"/>
    </row>
    <row r="22" spans="1:8" ht="18.75" customHeight="1" x14ac:dyDescent="0.3">
      <c r="A22" s="112"/>
      <c r="B22" s="112"/>
      <c r="C22" s="112"/>
      <c r="D22" s="112"/>
      <c r="E22" s="106"/>
      <c r="F22" s="106"/>
      <c r="G22" s="106"/>
      <c r="H22" s="106"/>
    </row>
    <row r="23" spans="1:8" ht="15" customHeight="1" x14ac:dyDescent="0.3">
      <c r="A23" s="112" t="s">
        <v>16</v>
      </c>
      <c r="B23" s="112"/>
      <c r="C23" s="112"/>
      <c r="D23" s="112"/>
      <c r="E23" s="113" t="s">
        <v>17</v>
      </c>
      <c r="F23" s="113"/>
      <c r="G23" s="113"/>
      <c r="H23" s="113"/>
    </row>
    <row r="24" spans="1:8" ht="15" customHeight="1" x14ac:dyDescent="0.3">
      <c r="A24" s="86" t="s">
        <v>18</v>
      </c>
      <c r="B24" s="86"/>
      <c r="C24" s="86"/>
      <c r="D24" s="86"/>
      <c r="E24" s="113" t="str">
        <f>IF(AND(G18="Mumbai"),"Upper Class","Middle Class")</f>
        <v>Middle Class</v>
      </c>
      <c r="F24" s="113"/>
      <c r="G24" s="113"/>
      <c r="H24" s="113"/>
    </row>
    <row r="25" spans="1:8" x14ac:dyDescent="0.3">
      <c r="A25" s="86" t="s">
        <v>19</v>
      </c>
      <c r="B25" s="86"/>
      <c r="C25" s="86"/>
      <c r="D25" s="86"/>
      <c r="E25" s="113" t="s">
        <v>20</v>
      </c>
      <c r="F25" s="113"/>
      <c r="G25" s="113"/>
      <c r="H25" s="113"/>
    </row>
    <row r="26" spans="1:8" ht="15.75" customHeight="1" x14ac:dyDescent="0.3">
      <c r="A26" s="86" t="s">
        <v>21</v>
      </c>
      <c r="B26" s="86"/>
      <c r="C26" s="86"/>
      <c r="D26" s="86"/>
      <c r="E26" s="113" t="str">
        <f>IF(AND(G18="Mumbai"),"Developed","Developing")</f>
        <v>Developing</v>
      </c>
      <c r="F26" s="113"/>
      <c r="G26" s="113"/>
      <c r="H26" s="113"/>
    </row>
    <row r="27" spans="1:8" x14ac:dyDescent="0.3">
      <c r="A27" s="86" t="s">
        <v>22</v>
      </c>
      <c r="B27" s="86"/>
      <c r="C27" s="86"/>
      <c r="D27" s="86"/>
      <c r="E27" s="113" t="s">
        <v>23</v>
      </c>
      <c r="F27" s="113"/>
      <c r="G27" s="113"/>
      <c r="H27" s="113"/>
    </row>
    <row r="28" spans="1:8" ht="15.75" customHeight="1" x14ac:dyDescent="0.3">
      <c r="A28" s="86" t="s">
        <v>81</v>
      </c>
      <c r="B28" s="86"/>
      <c r="C28" s="86"/>
      <c r="D28" s="86"/>
      <c r="E28" s="113" t="s">
        <v>82</v>
      </c>
      <c r="F28" s="113"/>
      <c r="G28" s="113"/>
      <c r="H28" s="113"/>
    </row>
    <row r="29" spans="1:8" ht="15" customHeight="1" x14ac:dyDescent="0.3">
      <c r="A29" s="86" t="s">
        <v>32</v>
      </c>
      <c r="B29" s="86"/>
      <c r="C29" s="86"/>
      <c r="D29" s="86"/>
      <c r="E29" s="11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29" s="113"/>
      <c r="G29" s="113"/>
      <c r="H29" s="113"/>
    </row>
    <row r="30" spans="1:8" ht="15.75" customHeight="1" x14ac:dyDescent="0.3">
      <c r="A30" s="86" t="s">
        <v>93</v>
      </c>
      <c r="B30" s="86"/>
      <c r="C30" s="86"/>
      <c r="D30" s="86"/>
      <c r="E30" s="113" t="s">
        <v>33</v>
      </c>
      <c r="F30" s="113"/>
      <c r="G30" s="113"/>
      <c r="H30" s="113"/>
    </row>
    <row r="31" spans="1:8" s="21" customFormat="1" x14ac:dyDescent="0.3">
      <c r="A31" s="158" t="s">
        <v>94</v>
      </c>
      <c r="B31" s="158"/>
      <c r="C31" s="155" t="s">
        <v>28</v>
      </c>
      <c r="D31" s="155"/>
      <c r="E31" s="155"/>
      <c r="F31" s="155" t="s">
        <v>30</v>
      </c>
      <c r="G31" s="155"/>
      <c r="H31" s="155"/>
    </row>
    <row r="32" spans="1:8" s="21" customFormat="1" x14ac:dyDescent="0.3">
      <c r="A32" s="157" t="s">
        <v>24</v>
      </c>
      <c r="B32" s="157" t="s">
        <v>29</v>
      </c>
      <c r="C32" s="156" t="s">
        <v>29</v>
      </c>
      <c r="D32" s="156"/>
      <c r="E32" s="156"/>
      <c r="F32" s="156" t="s">
        <v>179</v>
      </c>
      <c r="G32" s="156"/>
      <c r="H32" s="156"/>
    </row>
    <row r="33" spans="1:8" x14ac:dyDescent="0.3">
      <c r="A33" s="157" t="s">
        <v>25</v>
      </c>
      <c r="B33" s="157" t="s">
        <v>29</v>
      </c>
      <c r="C33" s="156" t="s">
        <v>29</v>
      </c>
      <c r="D33" s="156"/>
      <c r="E33" s="156"/>
      <c r="F33" s="156" t="s">
        <v>178</v>
      </c>
      <c r="G33" s="156"/>
      <c r="H33" s="156"/>
    </row>
    <row r="34" spans="1:8" s="21" customFormat="1" x14ac:dyDescent="0.3">
      <c r="A34" s="157" t="s">
        <v>27</v>
      </c>
      <c r="B34" s="157" t="s">
        <v>29</v>
      </c>
      <c r="C34" s="156" t="s">
        <v>29</v>
      </c>
      <c r="D34" s="156"/>
      <c r="E34" s="156"/>
      <c r="F34" s="156" t="s">
        <v>180</v>
      </c>
      <c r="G34" s="156"/>
      <c r="H34" s="156"/>
    </row>
    <row r="35" spans="1:8" x14ac:dyDescent="0.3">
      <c r="A35" s="157" t="s">
        <v>26</v>
      </c>
      <c r="B35" s="157" t="s">
        <v>29</v>
      </c>
      <c r="C35" s="156" t="s">
        <v>29</v>
      </c>
      <c r="D35" s="156"/>
      <c r="E35" s="156"/>
      <c r="F35" s="156" t="s">
        <v>179</v>
      </c>
      <c r="G35" s="156"/>
      <c r="H35" s="156"/>
    </row>
    <row r="36" spans="1:8" x14ac:dyDescent="0.3">
      <c r="A36" s="86" t="s">
        <v>31</v>
      </c>
      <c r="B36" s="86"/>
      <c r="C36" s="86"/>
      <c r="D36" s="86"/>
      <c r="E36" s="86"/>
      <c r="F36" s="86"/>
      <c r="G36" s="86"/>
      <c r="H36" s="86"/>
    </row>
    <row r="37" spans="1:8" ht="15.75" customHeight="1" x14ac:dyDescent="0.3">
      <c r="A37" s="86" t="s">
        <v>231</v>
      </c>
      <c r="B37" s="86"/>
      <c r="C37" s="199" t="s">
        <v>232</v>
      </c>
      <c r="D37" s="199"/>
      <c r="E37" s="199"/>
      <c r="F37" s="199"/>
      <c r="G37" s="199"/>
      <c r="H37" s="199"/>
    </row>
    <row r="38" spans="1:8" x14ac:dyDescent="0.3">
      <c r="A38" s="86" t="s">
        <v>164</v>
      </c>
      <c r="B38" s="86"/>
      <c r="C38" s="195" t="s">
        <v>181</v>
      </c>
      <c r="D38" s="113"/>
      <c r="E38" s="113"/>
      <c r="F38" s="113"/>
      <c r="G38" s="113"/>
      <c r="H38" s="113"/>
    </row>
    <row r="39" spans="1:8" x14ac:dyDescent="0.3">
      <c r="A39" s="144" t="s">
        <v>34</v>
      </c>
      <c r="B39" s="144"/>
      <c r="C39" s="144"/>
      <c r="D39" s="144"/>
      <c r="E39" s="144"/>
      <c r="F39" s="144"/>
      <c r="G39" s="144"/>
      <c r="H39" s="144"/>
    </row>
    <row r="40" spans="1:8" x14ac:dyDescent="0.3">
      <c r="A40" s="86" t="s">
        <v>35</v>
      </c>
      <c r="B40" s="86"/>
      <c r="C40" s="86"/>
      <c r="D40" s="86"/>
      <c r="E40" s="159">
        <v>506642.89</v>
      </c>
      <c r="F40" s="159"/>
      <c r="G40" s="159"/>
      <c r="H40" s="159"/>
    </row>
    <row r="41" spans="1:8" x14ac:dyDescent="0.3">
      <c r="A41" s="86" t="s">
        <v>36</v>
      </c>
      <c r="B41" s="86"/>
      <c r="C41" s="86"/>
      <c r="D41" s="86"/>
      <c r="E41" s="164">
        <v>1.7</v>
      </c>
      <c r="F41" s="164"/>
      <c r="G41" s="164"/>
      <c r="H41" s="164"/>
    </row>
    <row r="42" spans="1:8" x14ac:dyDescent="0.3">
      <c r="A42" s="86" t="s">
        <v>37</v>
      </c>
      <c r="B42" s="86"/>
      <c r="C42" s="86"/>
      <c r="D42" s="86"/>
      <c r="E42" s="164">
        <f>E44/E40-E41</f>
        <v>0.13798712738276064</v>
      </c>
      <c r="F42" s="164"/>
      <c r="G42" s="164"/>
      <c r="H42" s="164"/>
    </row>
    <row r="43" spans="1:8" x14ac:dyDescent="0.3">
      <c r="A43" s="86" t="s">
        <v>38</v>
      </c>
      <c r="B43" s="86"/>
      <c r="C43" s="86"/>
      <c r="D43" s="86"/>
      <c r="E43" s="164">
        <f>E41+E42</f>
        <v>1.8379871273827606</v>
      </c>
      <c r="F43" s="164"/>
      <c r="G43" s="164"/>
      <c r="H43" s="164"/>
    </row>
    <row r="44" spans="1:8" x14ac:dyDescent="0.3">
      <c r="A44" s="86" t="s">
        <v>92</v>
      </c>
      <c r="B44" s="86"/>
      <c r="C44" s="86"/>
      <c r="D44" s="86"/>
      <c r="E44" s="172">
        <v>931203.11</v>
      </c>
      <c r="F44" s="172"/>
      <c r="G44" s="172"/>
      <c r="H44" s="172"/>
    </row>
    <row r="45" spans="1:8" x14ac:dyDescent="0.3">
      <c r="A45" s="106" t="s">
        <v>39</v>
      </c>
      <c r="B45" s="106"/>
      <c r="C45" s="106"/>
      <c r="D45" s="106"/>
      <c r="E45" s="106" t="s">
        <v>218</v>
      </c>
      <c r="F45" s="106"/>
      <c r="G45" s="106"/>
      <c r="H45" s="106"/>
    </row>
    <row r="46" spans="1:8" x14ac:dyDescent="0.3">
      <c r="A46" s="144" t="s">
        <v>40</v>
      </c>
      <c r="B46" s="144"/>
      <c r="C46" s="144"/>
      <c r="D46" s="144"/>
      <c r="E46" s="144"/>
      <c r="F46" s="144"/>
      <c r="G46" s="144"/>
      <c r="H46" s="144"/>
    </row>
    <row r="47" spans="1:8" ht="33.75" customHeight="1" x14ac:dyDescent="0.3">
      <c r="A47" s="94" t="s">
        <v>154</v>
      </c>
      <c r="B47" s="95"/>
      <c r="C47" s="196" t="s">
        <v>182</v>
      </c>
      <c r="D47" s="197"/>
      <c r="E47" s="197"/>
      <c r="F47" s="197"/>
      <c r="G47" s="197"/>
      <c r="H47" s="198"/>
    </row>
    <row r="48" spans="1:8" ht="31.5" customHeight="1" x14ac:dyDescent="0.3">
      <c r="A48" s="94" t="s">
        <v>41</v>
      </c>
      <c r="B48" s="95"/>
      <c r="C48" s="94" t="s">
        <v>183</v>
      </c>
      <c r="D48" s="96"/>
      <c r="E48" s="95"/>
      <c r="F48" s="18" t="s">
        <v>42</v>
      </c>
      <c r="G48" s="161">
        <v>44756</v>
      </c>
      <c r="H48" s="95"/>
    </row>
    <row r="49" spans="1:14" ht="33" customHeight="1" x14ac:dyDescent="0.3">
      <c r="A49" s="94" t="s">
        <v>43</v>
      </c>
      <c r="B49" s="95"/>
      <c r="C49" s="94" t="str">
        <f>C48</f>
        <v>SROT/BSNA/2501/BP/Amended/ITP-Anjur Mankoli,Surai,Sarang &amp; Vehele/966/2022</v>
      </c>
      <c r="D49" s="96"/>
      <c r="E49" s="95"/>
      <c r="F49" s="18" t="s">
        <v>42</v>
      </c>
      <c r="G49" s="161">
        <v>44756</v>
      </c>
      <c r="H49" s="95"/>
    </row>
    <row r="50" spans="1:14" s="22" customFormat="1" ht="31.5" customHeight="1" x14ac:dyDescent="0.3">
      <c r="A50" s="100" t="s">
        <v>220</v>
      </c>
      <c r="B50" s="160"/>
      <c r="C50" s="97" t="str">
        <f>C49</f>
        <v>SROT/BSNA/2501/BP/Amended/ITP-Anjur Mankoli,Surai,Sarang &amp; Vehele/966/2022</v>
      </c>
      <c r="D50" s="98"/>
      <c r="E50" s="99"/>
      <c r="F50" s="58" t="s">
        <v>42</v>
      </c>
      <c r="G50" s="163">
        <v>44756</v>
      </c>
      <c r="H50" s="99"/>
    </row>
    <row r="51" spans="1:14" s="22" customFormat="1" x14ac:dyDescent="0.3">
      <c r="A51" s="104"/>
      <c r="B51" s="162"/>
      <c r="C51" s="97" t="s">
        <v>184</v>
      </c>
      <c r="D51" s="98"/>
      <c r="E51" s="98"/>
      <c r="F51" s="98"/>
      <c r="G51" s="98"/>
      <c r="H51" s="99"/>
    </row>
    <row r="52" spans="1:14" x14ac:dyDescent="0.3">
      <c r="A52" s="116" t="s">
        <v>167</v>
      </c>
      <c r="B52" s="117"/>
      <c r="C52" s="108" t="s">
        <v>29</v>
      </c>
      <c r="D52" s="109"/>
      <c r="E52" s="110"/>
      <c r="F52" s="50" t="s">
        <v>42</v>
      </c>
      <c r="G52" s="114" t="s">
        <v>29</v>
      </c>
      <c r="H52" s="115"/>
    </row>
    <row r="53" spans="1:14" x14ac:dyDescent="0.3">
      <c r="A53" s="89"/>
      <c r="B53" s="88"/>
      <c r="C53" s="108" t="s">
        <v>29</v>
      </c>
      <c r="D53" s="109"/>
      <c r="E53" s="109"/>
      <c r="F53" s="109"/>
      <c r="G53" s="109"/>
      <c r="H53" s="110"/>
    </row>
    <row r="54" spans="1:14" x14ac:dyDescent="0.3">
      <c r="A54" s="111" t="s">
        <v>45</v>
      </c>
      <c r="B54" s="111"/>
      <c r="C54" s="111"/>
      <c r="D54" s="111"/>
      <c r="E54" s="111"/>
      <c r="F54" s="111"/>
      <c r="G54" s="111"/>
      <c r="H54" s="111"/>
    </row>
    <row r="55" spans="1:14" x14ac:dyDescent="0.3">
      <c r="A55" s="112" t="s">
        <v>91</v>
      </c>
      <c r="B55" s="112"/>
      <c r="C55" s="112"/>
      <c r="D55" s="86">
        <v>53530.42</v>
      </c>
      <c r="E55" s="86"/>
      <c r="F55" s="86"/>
      <c r="G55" s="86"/>
      <c r="H55" s="86"/>
    </row>
    <row r="56" spans="1:14" x14ac:dyDescent="0.3">
      <c r="A56" s="113" t="s">
        <v>46</v>
      </c>
      <c r="B56" s="106"/>
      <c r="C56" s="106"/>
      <c r="D56" s="106" t="s">
        <v>212</v>
      </c>
      <c r="E56" s="106"/>
      <c r="F56" s="106"/>
      <c r="G56" s="106"/>
      <c r="H56" s="106"/>
      <c r="I56" s="23"/>
    </row>
    <row r="57" spans="1:14" x14ac:dyDescent="0.3">
      <c r="A57" s="100" t="s">
        <v>47</v>
      </c>
      <c r="B57" s="101"/>
      <c r="C57" s="160"/>
      <c r="D57" s="113" t="s">
        <v>184</v>
      </c>
      <c r="E57" s="106"/>
      <c r="F57" s="106"/>
      <c r="G57" s="106"/>
      <c r="H57" s="106"/>
    </row>
    <row r="58" spans="1:14" ht="15.75" customHeight="1" x14ac:dyDescent="0.3">
      <c r="A58" s="100" t="s">
        <v>89</v>
      </c>
      <c r="B58" s="101"/>
      <c r="C58" s="101"/>
      <c r="D58" s="106" t="s">
        <v>184</v>
      </c>
      <c r="E58" s="106"/>
      <c r="F58" s="106"/>
      <c r="G58" s="106"/>
      <c r="H58" s="106"/>
    </row>
    <row r="59" spans="1:14" ht="15.75" hidden="1" customHeight="1" x14ac:dyDescent="0.3">
      <c r="A59" s="102"/>
      <c r="B59" s="103"/>
      <c r="C59" s="103"/>
      <c r="D59" s="107" t="s">
        <v>149</v>
      </c>
      <c r="E59" s="107"/>
      <c r="F59" s="107"/>
      <c r="G59" s="107"/>
      <c r="H59" s="107"/>
    </row>
    <row r="60" spans="1:14" ht="15.75" hidden="1" customHeight="1" x14ac:dyDescent="0.3">
      <c r="A60" s="104"/>
      <c r="B60" s="105"/>
      <c r="C60" s="105"/>
      <c r="D60" s="107" t="s">
        <v>150</v>
      </c>
      <c r="E60" s="107"/>
      <c r="F60" s="107"/>
      <c r="G60" s="107"/>
      <c r="H60" s="107"/>
    </row>
    <row r="61" spans="1:14" ht="15.75" customHeight="1" thickBot="1" x14ac:dyDescent="0.35">
      <c r="A61" s="86" t="s">
        <v>44</v>
      </c>
      <c r="B61" s="86"/>
      <c r="C61" s="86"/>
      <c r="D61" s="112" t="s">
        <v>185</v>
      </c>
      <c r="E61" s="112"/>
      <c r="F61" s="112"/>
      <c r="G61" s="112"/>
      <c r="H61" s="112"/>
      <c r="I61" s="59"/>
      <c r="J61" s="24"/>
      <c r="K61" s="23"/>
      <c r="N61" s="23"/>
    </row>
    <row r="62" spans="1:14" ht="15.75" customHeight="1" x14ac:dyDescent="0.3">
      <c r="A62" s="86" t="s">
        <v>87</v>
      </c>
      <c r="B62" s="86"/>
      <c r="C62" s="86"/>
      <c r="D62" s="171" t="str">
        <f>(IF(G52="NA","60 Years After Completion",IF(G52&lt;&gt;"NA",""&amp;60-ROUNDDOWN((E3-G52)/360,0)&amp;" Years"," ")))</f>
        <v>60 Years After Completion</v>
      </c>
      <c r="E62" s="171"/>
      <c r="F62" s="171"/>
      <c r="G62" s="171"/>
      <c r="H62" s="171"/>
      <c r="N62" s="23"/>
    </row>
    <row r="63" spans="1:14" ht="15.75" customHeight="1" x14ac:dyDescent="0.3">
      <c r="A63" s="86" t="s">
        <v>88</v>
      </c>
      <c r="B63" s="86"/>
      <c r="C63" s="86"/>
      <c r="D63" s="112" t="s">
        <v>23</v>
      </c>
      <c r="E63" s="112"/>
      <c r="F63" s="112"/>
      <c r="G63" s="112"/>
      <c r="H63" s="112"/>
      <c r="J63" s="25"/>
      <c r="K63" s="25"/>
    </row>
    <row r="64" spans="1:14" ht="30.75" customHeight="1" x14ac:dyDescent="0.3">
      <c r="A64" s="86" t="s">
        <v>74</v>
      </c>
      <c r="B64" s="86"/>
      <c r="C64" s="86"/>
      <c r="D64" s="113" t="s">
        <v>226</v>
      </c>
      <c r="E64" s="112"/>
      <c r="F64" s="112"/>
      <c r="G64" s="112"/>
      <c r="H64" s="112"/>
    </row>
    <row r="65" spans="1:14" x14ac:dyDescent="0.3">
      <c r="A65" s="112" t="s">
        <v>151</v>
      </c>
      <c r="B65" s="112"/>
      <c r="C65" s="112"/>
      <c r="D65" s="112" t="s">
        <v>29</v>
      </c>
      <c r="E65" s="112"/>
      <c r="F65" s="112"/>
      <c r="G65" s="112"/>
      <c r="H65" s="112"/>
      <c r="I65" s="26"/>
      <c r="J65" s="26"/>
      <c r="K65" s="26"/>
      <c r="L65" s="26"/>
      <c r="M65" s="26"/>
      <c r="N65" s="26"/>
    </row>
    <row r="66" spans="1:14" ht="15.75" customHeight="1" x14ac:dyDescent="0.3">
      <c r="A66" s="148" t="s">
        <v>86</v>
      </c>
      <c r="B66" s="148"/>
      <c r="C66" s="148"/>
      <c r="D66" s="149" t="str">
        <f ca="1">(IF(G72&gt;95%,"Nothing",IF(G72&gt;0%,"Cement, Aggregate, Steel, etc",IF(G72=0%,"Work not yet Started"))))</f>
        <v>Cement, Aggregate, Steel, etc</v>
      </c>
      <c r="E66" s="149"/>
      <c r="F66" s="149"/>
      <c r="G66" s="149"/>
      <c r="H66" s="149"/>
      <c r="J66" s="25"/>
    </row>
    <row r="67" spans="1:14" ht="33.75" customHeight="1" thickBot="1" x14ac:dyDescent="0.35">
      <c r="A67" s="146" t="s">
        <v>117</v>
      </c>
      <c r="B67" s="146"/>
      <c r="C67" s="146"/>
      <c r="D67" s="147" t="str">
        <f ca="1">(IF(D66="Nothing","Yes",IF(D66="Cement, Aggregate, Steel, etc","Under Construction",IF(D66="Work not yet Started","Work not yet Started"))))</f>
        <v>Under Construction</v>
      </c>
      <c r="E67" s="147"/>
      <c r="F67" s="147" t="str">
        <f ca="1">(IF(D66="Nothing","Yes",IF(D66="Cement, Aggregate, Steel, etc","Under Construction",IF(D66="Work not yet Started","Work not yet Started"))))</f>
        <v>Under Construction</v>
      </c>
      <c r="G67" s="147"/>
      <c r="H67" s="147"/>
    </row>
    <row r="68" spans="1:14" ht="15.75" customHeight="1" x14ac:dyDescent="0.3">
      <c r="A68" s="174" t="s">
        <v>141</v>
      </c>
      <c r="B68" s="175"/>
      <c r="C68" s="176" t="s">
        <v>227</v>
      </c>
      <c r="D68" s="177"/>
      <c r="E68" s="177"/>
      <c r="F68" s="177"/>
      <c r="G68" s="177"/>
      <c r="H68" s="178"/>
      <c r="I68" s="60" t="str">
        <f ca="1">IF(D81=100%,"All work Completed. Possession granted to the Building.",IF(D80=100%,"All work Completed, Waiting for OC",I69&amp;""&amp;I70&amp;""&amp;J69&amp;""&amp;J68&amp;" "&amp;J70))</f>
        <v>Excavation, Plinth, RCC Slab, Brickwork, Internal Plaster, External Plaster Completed, Flooring upto 22 Floor, Painting upto 20 Floor, Finishing upto 8 Floor Completed</v>
      </c>
      <c r="J68" s="47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Flooring upto 22 Floor, Painting upto 20 Floor, Finishing upto 8 Floor</v>
      </c>
    </row>
    <row r="69" spans="1:14" x14ac:dyDescent="0.3">
      <c r="A69" s="16" t="s">
        <v>143</v>
      </c>
      <c r="B69" s="45">
        <v>0</v>
      </c>
      <c r="C69" s="45" t="s">
        <v>72</v>
      </c>
      <c r="D69" s="45">
        <v>1</v>
      </c>
      <c r="E69" s="45" t="s">
        <v>71</v>
      </c>
      <c r="F69" s="45">
        <v>0</v>
      </c>
      <c r="G69" s="45" t="s">
        <v>80</v>
      </c>
      <c r="H69" s="17">
        <f ca="1">--TRIM(RIGHT(SUBSTITUTE(LEFT(C68,_xlfn.AGGREGATE(16,6,FIND({0,1,2,3,4,5,6,7,8,9},C68,ROW(INDIRECT("1:"&amp;LEN(C68)))),1))," ",REPT(" ",LEN(C68))),LEN(C68)))</f>
        <v>23</v>
      </c>
      <c r="I69" s="61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</v>
      </c>
      <c r="J69" s="49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48.75" customHeight="1" x14ac:dyDescent="0.3">
      <c r="A70" s="173" t="s">
        <v>90</v>
      </c>
      <c r="B70" s="152"/>
      <c r="C70" s="179" t="str">
        <f ca="1">(IF($C$53=C68,"All work Completed. OC Received.",I68))</f>
        <v>Excavation, Plinth, RCC Slab, Brickwork, Internal Plaster, External Plaster Completed, Flooring upto 22 Floor, Painting upto 20 Floor, Finishing upto 8 Floor Completed</v>
      </c>
      <c r="D70" s="179"/>
      <c r="E70" s="179"/>
      <c r="F70" s="179"/>
      <c r="G70" s="179"/>
      <c r="H70" s="180"/>
      <c r="I70" s="61" t="str">
        <f ca="1">IF(I69&lt;&gt;""," Completed","")</f>
        <v xml:space="preserve"> Completed</v>
      </c>
      <c r="J70" s="49" t="str">
        <f ca="1">IF(J68&lt;&gt;"","Completed","")</f>
        <v>Completed</v>
      </c>
    </row>
    <row r="71" spans="1:14" ht="15.75" customHeight="1" x14ac:dyDescent="0.3">
      <c r="A71" s="92" t="s">
        <v>48</v>
      </c>
      <c r="B71" s="93"/>
      <c r="C71" s="56" t="s">
        <v>140</v>
      </c>
      <c r="D71" s="56" t="s">
        <v>83</v>
      </c>
      <c r="E71" s="93" t="s">
        <v>85</v>
      </c>
      <c r="F71" s="93"/>
      <c r="G71" s="93" t="s">
        <v>84</v>
      </c>
      <c r="H71" s="150"/>
      <c r="I71" s="14" t="s">
        <v>142</v>
      </c>
      <c r="J71" s="27">
        <f ca="1">H69*25%</f>
        <v>5.75</v>
      </c>
    </row>
    <row r="72" spans="1:14" x14ac:dyDescent="0.3">
      <c r="A72" s="92" t="s">
        <v>129</v>
      </c>
      <c r="B72" s="93"/>
      <c r="C72" s="56">
        <f ca="1">J73</f>
        <v>23</v>
      </c>
      <c r="D72" s="54">
        <f ca="1">((100/H69)*C72)/100</f>
        <v>1</v>
      </c>
      <c r="E72" s="165">
        <f ca="1">(((C73/H69*10)+(40/(D69+F69+H69)*C74)+(7.5/(H69)*C75)+(7.5/(H69)*C76)+(10/H69*C77)+(10/H69*C78)+(5/H69*C79)+(5/H69*C80)+(5/H69*C81))/100)</f>
        <v>0.90652173913043466</v>
      </c>
      <c r="F72" s="165"/>
      <c r="G72" s="165">
        <f ca="1">((((C72/H69)*20)+((C73/H69)*25)+(30/(H69+F69+D69)*C74)+(5/H69*C75)+(5/H69*C76)+(5/H69*C77)+(5/H69*C78)+(0/H69*C79)+(0/H69*C80)+(5/H69*C81))/100)</f>
        <v>0.94782608695652171</v>
      </c>
      <c r="H72" s="167"/>
      <c r="I72" s="14" t="s">
        <v>100</v>
      </c>
      <c r="J72" s="28">
        <f ca="1">H69*50%</f>
        <v>11.5</v>
      </c>
    </row>
    <row r="73" spans="1:14" x14ac:dyDescent="0.3">
      <c r="A73" s="92" t="s">
        <v>49</v>
      </c>
      <c r="B73" s="93"/>
      <c r="C73" s="56">
        <v>23</v>
      </c>
      <c r="D73" s="54">
        <f ca="1">((100/H69)*C73)/100</f>
        <v>1</v>
      </c>
      <c r="E73" s="165"/>
      <c r="F73" s="165"/>
      <c r="G73" s="165"/>
      <c r="H73" s="167"/>
      <c r="I73" s="14" t="s">
        <v>101</v>
      </c>
      <c r="J73" s="28">
        <f ca="1">H69</f>
        <v>23</v>
      </c>
    </row>
    <row r="74" spans="1:14" ht="15.75" customHeight="1" x14ac:dyDescent="0.3">
      <c r="A74" s="92" t="s">
        <v>130</v>
      </c>
      <c r="B74" s="93"/>
      <c r="C74" s="56">
        <v>24</v>
      </c>
      <c r="D74" s="54">
        <f ca="1">((100/(D69+F69+H69))*C74)/100</f>
        <v>1</v>
      </c>
      <c r="E74" s="165"/>
      <c r="F74" s="165"/>
      <c r="G74" s="165"/>
      <c r="H74" s="167"/>
      <c r="I74" s="14" t="s">
        <v>102</v>
      </c>
      <c r="J74" s="29">
        <f ca="1">(IF(B69&gt;1,(H69/(B69+2)),H69/4))</f>
        <v>5.75</v>
      </c>
    </row>
    <row r="75" spans="1:14" ht="15.75" customHeight="1" x14ac:dyDescent="0.3">
      <c r="A75" s="92" t="s">
        <v>137</v>
      </c>
      <c r="B75" s="93" t="s">
        <v>131</v>
      </c>
      <c r="C75" s="56">
        <f>C74-1</f>
        <v>23</v>
      </c>
      <c r="D75" s="54">
        <f ca="1">((100/H69)*C75)/100</f>
        <v>1</v>
      </c>
      <c r="E75" s="165"/>
      <c r="F75" s="165"/>
      <c r="G75" s="165"/>
      <c r="H75" s="167"/>
      <c r="I75" s="14" t="s">
        <v>103</v>
      </c>
      <c r="J75" s="29">
        <f ca="1">(IF(B69&gt;1,(H69/(B69+2)+J74),H69/4+J74))</f>
        <v>11.5</v>
      </c>
    </row>
    <row r="76" spans="1:14" ht="15.75" customHeight="1" x14ac:dyDescent="0.3">
      <c r="A76" s="92" t="s">
        <v>138</v>
      </c>
      <c r="B76" s="93" t="s">
        <v>131</v>
      </c>
      <c r="C76" s="64">
        <v>23</v>
      </c>
      <c r="D76" s="54">
        <f ca="1">((100/H69)*C76)/100</f>
        <v>1</v>
      </c>
      <c r="E76" s="165"/>
      <c r="F76" s="165"/>
      <c r="G76" s="165"/>
      <c r="H76" s="167"/>
      <c r="I76" s="14" t="s">
        <v>147</v>
      </c>
      <c r="J76" s="29">
        <f>(IF(B69&gt;1,(H69/(B69+2)+J75),0))</f>
        <v>0</v>
      </c>
    </row>
    <row r="77" spans="1:14" ht="15" customHeight="1" x14ac:dyDescent="0.3">
      <c r="A77" s="92" t="s">
        <v>136</v>
      </c>
      <c r="B77" s="93" t="s">
        <v>133</v>
      </c>
      <c r="C77" s="64">
        <v>23</v>
      </c>
      <c r="D77" s="54">
        <f ca="1">((100/(H69))*C77)/100</f>
        <v>1</v>
      </c>
      <c r="E77" s="165"/>
      <c r="F77" s="165"/>
      <c r="G77" s="165"/>
      <c r="H77" s="167"/>
      <c r="I77" s="14" t="s">
        <v>144</v>
      </c>
      <c r="J77" s="29">
        <f>(IF(B69&gt;2,(H69/(B69+2)+J76),0))</f>
        <v>0</v>
      </c>
    </row>
    <row r="78" spans="1:14" ht="15.75" customHeight="1" x14ac:dyDescent="0.3">
      <c r="A78" s="92" t="s">
        <v>132</v>
      </c>
      <c r="B78" s="93" t="s">
        <v>132</v>
      </c>
      <c r="C78" s="56">
        <v>22</v>
      </c>
      <c r="D78" s="54">
        <f ca="1">((100/H69)*C78)/100</f>
        <v>0.9565217391304347</v>
      </c>
      <c r="E78" s="165"/>
      <c r="F78" s="165"/>
      <c r="G78" s="165"/>
      <c r="H78" s="167"/>
      <c r="I78" s="14" t="s">
        <v>145</v>
      </c>
      <c r="J78" s="30">
        <f>(IF(B69&gt;3,(H69/(B69+2)+J77),0))</f>
        <v>0</v>
      </c>
    </row>
    <row r="79" spans="1:14" ht="15.75" customHeight="1" x14ac:dyDescent="0.3">
      <c r="A79" s="92" t="s">
        <v>139</v>
      </c>
      <c r="B79" s="93"/>
      <c r="C79" s="56">
        <v>20</v>
      </c>
      <c r="D79" s="54">
        <f ca="1">((100/H69)*C79)/100</f>
        <v>0.86956521739130432</v>
      </c>
      <c r="E79" s="165"/>
      <c r="F79" s="165"/>
      <c r="G79" s="165"/>
      <c r="H79" s="167"/>
      <c r="I79" s="14" t="s">
        <v>146</v>
      </c>
      <c r="J79" s="29">
        <f>(IF(B69&gt;4,(H69/(B69+2)+J78),0))</f>
        <v>0</v>
      </c>
    </row>
    <row r="80" spans="1:14" ht="15.75" customHeight="1" x14ac:dyDescent="0.3">
      <c r="A80" s="92" t="s">
        <v>134</v>
      </c>
      <c r="B80" s="93" t="s">
        <v>134</v>
      </c>
      <c r="C80" s="56">
        <v>8</v>
      </c>
      <c r="D80" s="54">
        <f ca="1">((100/(H69))*C80)/100</f>
        <v>0.34782608695652173</v>
      </c>
      <c r="E80" s="165"/>
      <c r="F80" s="165"/>
      <c r="G80" s="165"/>
      <c r="H80" s="167"/>
      <c r="I80" s="14" t="s">
        <v>148</v>
      </c>
      <c r="J80" s="29">
        <f ca="1">(IF(B69=1,(H69/(B69+3)+J75),IF(B69=0,(H69/4+J75),IF(B69&gt;1,0))))</f>
        <v>17.25</v>
      </c>
    </row>
    <row r="81" spans="1:10" ht="16.2" thickBot="1" x14ac:dyDescent="0.35">
      <c r="A81" s="169" t="s">
        <v>135</v>
      </c>
      <c r="B81" s="170"/>
      <c r="C81" s="57">
        <v>0</v>
      </c>
      <c r="D81" s="55">
        <f ca="1">((100/(H69))*C81)/100</f>
        <v>0</v>
      </c>
      <c r="E81" s="166"/>
      <c r="F81" s="166"/>
      <c r="G81" s="166"/>
      <c r="H81" s="168"/>
      <c r="I81" s="15" t="s">
        <v>104</v>
      </c>
      <c r="J81" s="31">
        <f ca="1">(IF(B69&gt;1.5,(H69/(B69+2)+J75+MAX(0,J76-J75)+MAX(0,J77-J76)+MAX(0,J78-J77)+MAX(0,J79-J78)+MAX(0,J80-J79)),IF(B69=1,(H69/(B69+3)+J80),IF(B69=0,H69/4+J80))))</f>
        <v>23</v>
      </c>
    </row>
    <row r="82" spans="1:10" ht="15.75" customHeight="1" x14ac:dyDescent="0.3">
      <c r="A82" s="87" t="s">
        <v>141</v>
      </c>
      <c r="B82" s="88"/>
      <c r="C82" s="89" t="s">
        <v>228</v>
      </c>
      <c r="D82" s="90"/>
      <c r="E82" s="90"/>
      <c r="F82" s="90"/>
      <c r="G82" s="90"/>
      <c r="H82" s="91"/>
      <c r="I82" s="46" t="str">
        <f ca="1">IF(D95=100%,"All work Completed. Possession granted to the Building.",IF(D94=100%,"All work Completed, Waiting for OC",I83&amp;""&amp;I84&amp;""&amp;J83&amp;""&amp;J82&amp;" "&amp;J84))</f>
        <v>Excavation, Plinth, RCC Slab, Brickwork, Internal Plaster, External Plaster Completed, Flooring upto 22 Floor, Painting upto 20 Floor, Finishing upto 8 Floor Completed</v>
      </c>
      <c r="J82" s="47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Flooring upto 22 Floor, Painting upto 20 Floor, Finishing upto 8 Floor</v>
      </c>
    </row>
    <row r="83" spans="1:10" s="22" customFormat="1" x14ac:dyDescent="0.3">
      <c r="A83" s="16" t="s">
        <v>143</v>
      </c>
      <c r="B83" s="45">
        <v>0</v>
      </c>
      <c r="C83" s="45" t="s">
        <v>72</v>
      </c>
      <c r="D83" s="45">
        <v>1</v>
      </c>
      <c r="E83" s="45" t="s">
        <v>71</v>
      </c>
      <c r="F83" s="45">
        <v>0</v>
      </c>
      <c r="G83" s="45" t="s">
        <v>80</v>
      </c>
      <c r="H83" s="17">
        <f ca="1">--TRIM(RIGHT(SUBSTITUTE(LEFT(C82,_xlfn.AGGREGATE(16,6,FIND({0,1,2,3,4,5,6,7,8,9},C82,ROW(INDIRECT("1:"&amp;LEN(C82)))),1))," ",REPT(" ",LEN(C82))),LEN(C82)))</f>
        <v>23</v>
      </c>
      <c r="I83" s="62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Brickwork, Internal Plaster, External Plaster</v>
      </c>
      <c r="J83" s="63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49.05" customHeight="1" x14ac:dyDescent="0.3">
      <c r="A84" s="173" t="s">
        <v>90</v>
      </c>
      <c r="B84" s="152"/>
      <c r="C84" s="179" t="str">
        <f ca="1">(IF($C$53=C82,"All work Completed. OC Received.",I82))</f>
        <v>Excavation, Plinth, RCC Slab, Brickwork, Internal Plaster, External Plaster Completed, Flooring upto 22 Floor, Painting upto 20 Floor, Finishing upto 8 Floor Completed</v>
      </c>
      <c r="D84" s="179"/>
      <c r="E84" s="179"/>
      <c r="F84" s="179"/>
      <c r="G84" s="179"/>
      <c r="H84" s="180"/>
      <c r="I84" s="48" t="str">
        <f ca="1">IF(I83&lt;&gt;""," Completed","")</f>
        <v xml:space="preserve"> Completed</v>
      </c>
      <c r="J84" s="49" t="str">
        <f ca="1">IF(J82&lt;&gt;"","Completed","")</f>
        <v>Completed</v>
      </c>
    </row>
    <row r="85" spans="1:10" ht="15.75" customHeight="1" x14ac:dyDescent="0.3">
      <c r="A85" s="192" t="s">
        <v>48</v>
      </c>
      <c r="B85" s="128"/>
      <c r="C85" s="43" t="s">
        <v>140</v>
      </c>
      <c r="D85" s="43" t="s">
        <v>83</v>
      </c>
      <c r="E85" s="128" t="s">
        <v>85</v>
      </c>
      <c r="F85" s="128"/>
      <c r="G85" s="128" t="s">
        <v>84</v>
      </c>
      <c r="H85" s="193"/>
      <c r="I85" s="14" t="s">
        <v>142</v>
      </c>
      <c r="J85" s="27">
        <f ca="1">H83*25%</f>
        <v>5.75</v>
      </c>
    </row>
    <row r="86" spans="1:10" x14ac:dyDescent="0.3">
      <c r="A86" s="128" t="s">
        <v>129</v>
      </c>
      <c r="B86" s="128"/>
      <c r="C86" s="43">
        <f ca="1">J87</f>
        <v>23</v>
      </c>
      <c r="D86" s="19">
        <f ca="1">((100/H83)*C86)/100</f>
        <v>1</v>
      </c>
      <c r="E86" s="184">
        <f ca="1">(((C87/H83*10)+(40/(D83+F83+H83)*C88)+(7.5/(H83)*C89)+(7.5/(H83)*C90)+(10/H83*C91)+(10/H83*C92)+(5/H83*C93)+(5/H83*C94)+(5/H83*C95))/100)</f>
        <v>0.90652173913043466</v>
      </c>
      <c r="F86" s="184"/>
      <c r="G86" s="184">
        <f ca="1">((((C86/H83)*20)+((C87/H83)*25)+(30/(H83+F83+D83)*C88)+(5/H83*C89)+(5/H83*C90)+(5/H83*C91)+(5/H83*C92)+(0/H83*C93)+(0/H83*C94)+(5/H83*C95))/100)</f>
        <v>0.94782608695652171</v>
      </c>
      <c r="H86" s="184"/>
      <c r="I86" s="14" t="s">
        <v>100</v>
      </c>
      <c r="J86" s="28">
        <f ca="1">H83*50%</f>
        <v>11.5</v>
      </c>
    </row>
    <row r="87" spans="1:10" x14ac:dyDescent="0.3">
      <c r="A87" s="128" t="s">
        <v>49</v>
      </c>
      <c r="B87" s="128"/>
      <c r="C87" s="43">
        <f ca="1">J95</f>
        <v>23</v>
      </c>
      <c r="D87" s="19">
        <f ca="1">((100/H83)*C87)/100</f>
        <v>1</v>
      </c>
      <c r="E87" s="184"/>
      <c r="F87" s="184"/>
      <c r="G87" s="184"/>
      <c r="H87" s="184"/>
      <c r="I87" s="14" t="s">
        <v>101</v>
      </c>
      <c r="J87" s="28">
        <f ca="1">H83</f>
        <v>23</v>
      </c>
    </row>
    <row r="88" spans="1:10" ht="15.75" customHeight="1" x14ac:dyDescent="0.3">
      <c r="A88" s="128" t="s">
        <v>130</v>
      </c>
      <c r="B88" s="128"/>
      <c r="C88" s="43">
        <v>24</v>
      </c>
      <c r="D88" s="19">
        <f ca="1">((100/(D83+F83+H83))*C88)/100</f>
        <v>1</v>
      </c>
      <c r="E88" s="184"/>
      <c r="F88" s="184"/>
      <c r="G88" s="184"/>
      <c r="H88" s="184"/>
      <c r="I88" s="14" t="s">
        <v>102</v>
      </c>
      <c r="J88" s="29">
        <f ca="1">(IF(B83&gt;1,(H83/(B83+2)),H83/4))</f>
        <v>5.75</v>
      </c>
    </row>
    <row r="89" spans="1:10" ht="15.75" customHeight="1" x14ac:dyDescent="0.3">
      <c r="A89" s="128" t="s">
        <v>137</v>
      </c>
      <c r="B89" s="128" t="s">
        <v>131</v>
      </c>
      <c r="C89" s="43">
        <f>C88-1</f>
        <v>23</v>
      </c>
      <c r="D89" s="19">
        <f ca="1">((100/H83)*C89)/100</f>
        <v>1</v>
      </c>
      <c r="E89" s="184"/>
      <c r="F89" s="184"/>
      <c r="G89" s="184"/>
      <c r="H89" s="184"/>
      <c r="I89" s="14" t="s">
        <v>103</v>
      </c>
      <c r="J89" s="29">
        <f ca="1">(IF(B83&gt;1,(H83/(B83+2)+J88),H83/4+J88))</f>
        <v>11.5</v>
      </c>
    </row>
    <row r="90" spans="1:10" ht="15.75" customHeight="1" x14ac:dyDescent="0.3">
      <c r="A90" s="128" t="s">
        <v>138</v>
      </c>
      <c r="B90" s="128" t="s">
        <v>131</v>
      </c>
      <c r="C90" s="65">
        <v>23</v>
      </c>
      <c r="D90" s="19">
        <f ca="1">((100/H83)*C90)/100</f>
        <v>1</v>
      </c>
      <c r="E90" s="184"/>
      <c r="F90" s="184"/>
      <c r="G90" s="184"/>
      <c r="H90" s="184"/>
      <c r="I90" s="14" t="s">
        <v>147</v>
      </c>
      <c r="J90" s="29">
        <f>(IF(B83&gt;1,(H83/(B83+2)+J89),0))</f>
        <v>0</v>
      </c>
    </row>
    <row r="91" spans="1:10" ht="15" customHeight="1" x14ac:dyDescent="0.3">
      <c r="A91" s="128" t="s">
        <v>136</v>
      </c>
      <c r="B91" s="128" t="s">
        <v>133</v>
      </c>
      <c r="C91" s="65">
        <v>23</v>
      </c>
      <c r="D91" s="19">
        <f ca="1">((100/(H83))*C91)/100</f>
        <v>1</v>
      </c>
      <c r="E91" s="184"/>
      <c r="F91" s="184"/>
      <c r="G91" s="184"/>
      <c r="H91" s="184"/>
      <c r="I91" s="14" t="s">
        <v>144</v>
      </c>
      <c r="J91" s="29">
        <f>(IF(B83&gt;2,(H83/(B83+2)+J90),0))</f>
        <v>0</v>
      </c>
    </row>
    <row r="92" spans="1:10" ht="15.75" customHeight="1" x14ac:dyDescent="0.3">
      <c r="A92" s="128" t="s">
        <v>132</v>
      </c>
      <c r="B92" s="128" t="s">
        <v>132</v>
      </c>
      <c r="C92" s="43">
        <v>22</v>
      </c>
      <c r="D92" s="19">
        <f ca="1">((100/H83)*C92)/100</f>
        <v>0.9565217391304347</v>
      </c>
      <c r="E92" s="184"/>
      <c r="F92" s="184"/>
      <c r="G92" s="184"/>
      <c r="H92" s="184"/>
      <c r="I92" s="14" t="s">
        <v>145</v>
      </c>
      <c r="J92" s="30">
        <f>(IF(B83&gt;3,(H83/(B83+2)+J91),0))</f>
        <v>0</v>
      </c>
    </row>
    <row r="93" spans="1:10" ht="15.75" customHeight="1" x14ac:dyDescent="0.3">
      <c r="A93" s="128" t="s">
        <v>139</v>
      </c>
      <c r="B93" s="128"/>
      <c r="C93" s="43">
        <v>20</v>
      </c>
      <c r="D93" s="19">
        <f ca="1">((100/H83)*C93)/100</f>
        <v>0.86956521739130432</v>
      </c>
      <c r="E93" s="184"/>
      <c r="F93" s="184"/>
      <c r="G93" s="184"/>
      <c r="H93" s="184"/>
      <c r="I93" s="14" t="s">
        <v>146</v>
      </c>
      <c r="J93" s="29">
        <f>(IF(B83&gt;4,(H83/(B83+2)+J92),0))</f>
        <v>0</v>
      </c>
    </row>
    <row r="94" spans="1:10" ht="15.75" customHeight="1" x14ac:dyDescent="0.3">
      <c r="A94" s="128" t="s">
        <v>134</v>
      </c>
      <c r="B94" s="128" t="s">
        <v>134</v>
      </c>
      <c r="C94" s="43">
        <v>8</v>
      </c>
      <c r="D94" s="19">
        <f ca="1">((100/(H83))*C94)/100</f>
        <v>0.34782608695652173</v>
      </c>
      <c r="E94" s="184"/>
      <c r="F94" s="184"/>
      <c r="G94" s="184"/>
      <c r="H94" s="184"/>
      <c r="I94" s="14" t="s">
        <v>148</v>
      </c>
      <c r="J94" s="29">
        <f ca="1">(IF(B83=1,(H83/(B83+3)+J89),IF(B83=0,(H83/4+J89),IF(B83&gt;1,0))))</f>
        <v>17.25</v>
      </c>
    </row>
    <row r="95" spans="1:10" ht="16.2" thickBot="1" x14ac:dyDescent="0.35">
      <c r="A95" s="128" t="s">
        <v>135</v>
      </c>
      <c r="B95" s="128"/>
      <c r="C95" s="43">
        <v>0</v>
      </c>
      <c r="D95" s="19">
        <f ca="1">((100/(H83))*C95)/100</f>
        <v>0</v>
      </c>
      <c r="E95" s="184"/>
      <c r="F95" s="184"/>
      <c r="G95" s="184"/>
      <c r="H95" s="184"/>
      <c r="I95" s="15" t="s">
        <v>104</v>
      </c>
      <c r="J95" s="31">
        <f ca="1">(IF(B83&gt;1.5,(H83/(B83+2)+J89+MAX(0,J90-J89)+MAX(0,J91-J90)+MAX(0,J92-J91)+MAX(0,J93-J92)+MAX(0,J94-J93)),IF(B83=1,(H83/(B83+3)+J94),IF(B83=0,H83/4+J94))))</f>
        <v>23</v>
      </c>
    </row>
    <row r="96" spans="1:10" ht="15.75" customHeight="1" x14ac:dyDescent="0.3">
      <c r="A96" s="183" t="s">
        <v>141</v>
      </c>
      <c r="B96" s="183"/>
      <c r="C96" s="183" t="s">
        <v>229</v>
      </c>
      <c r="D96" s="183"/>
      <c r="E96" s="183"/>
      <c r="F96" s="183"/>
      <c r="G96" s="183"/>
      <c r="H96" s="183"/>
      <c r="I96" s="60" t="str">
        <f ca="1">IF(D109=100%,"All work Completed. Possession granted to the Building.",IF(D108=100%,"All work Completed, Waiting for OC",I97&amp;""&amp;I98&amp;""&amp;J97&amp;""&amp;J96&amp;" "&amp;J98))</f>
        <v>Excavation, Plinth, RCC Slab, Brickwork, Internal Plaster, External Plaster Completed, Flooring upto 20 Floor, Painting upto 18 Floor, Finishing upto 5 Floor Completed</v>
      </c>
      <c r="J96" s="47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Flooring upto 20 Floor, Painting upto 18 Floor, Finishing upto 5 Floor</v>
      </c>
    </row>
    <row r="97" spans="1:12" s="22" customFormat="1" x14ac:dyDescent="0.3">
      <c r="A97" s="45" t="s">
        <v>143</v>
      </c>
      <c r="B97" s="45">
        <v>0</v>
      </c>
      <c r="C97" s="45" t="s">
        <v>72</v>
      </c>
      <c r="D97" s="45">
        <v>1</v>
      </c>
      <c r="E97" s="45" t="s">
        <v>71</v>
      </c>
      <c r="F97" s="45">
        <v>0</v>
      </c>
      <c r="G97" s="45" t="s">
        <v>80</v>
      </c>
      <c r="H97" s="45">
        <f ca="1">--TRIM(RIGHT(SUBSTITUTE(LEFT(C96,_xlfn.AGGREGATE(16,6,FIND({0,1,2,3,4,5,6,7,8,9},C96,ROW(INDIRECT("1:"&amp;LEN(C96)))),1))," ",REPT(" ",LEN(C96))),LEN(C96)))</f>
        <v>23</v>
      </c>
      <c r="I97" s="66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Slab, Brickwork, Internal Plaster, External Plaster</v>
      </c>
      <c r="J97" s="63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2" ht="51" customHeight="1" x14ac:dyDescent="0.3">
      <c r="A98" s="152" t="s">
        <v>90</v>
      </c>
      <c r="B98" s="152"/>
      <c r="C98" s="179" t="str">
        <f ca="1">(IF($C$53=C96,"All work Completed. OC Received.",I96))</f>
        <v>Excavation, Plinth, RCC Slab, Brickwork, Internal Plaster, External Plaster Completed, Flooring upto 20 Floor, Painting upto 18 Floor, Finishing upto 5 Floor Completed</v>
      </c>
      <c r="D98" s="179"/>
      <c r="E98" s="179"/>
      <c r="F98" s="179"/>
      <c r="G98" s="179"/>
      <c r="H98" s="179"/>
      <c r="I98" s="61" t="str">
        <f ca="1">IF(I97&lt;&gt;""," Completed","")</f>
        <v xml:space="preserve"> Completed</v>
      </c>
      <c r="J98" s="49" t="str">
        <f ca="1">IF(J96&lt;&gt;"","Completed","")</f>
        <v>Completed</v>
      </c>
    </row>
    <row r="99" spans="1:12" ht="15.75" customHeight="1" x14ac:dyDescent="0.3">
      <c r="A99" s="128" t="s">
        <v>48</v>
      </c>
      <c r="B99" s="128"/>
      <c r="C99" s="43" t="s">
        <v>140</v>
      </c>
      <c r="D99" s="43" t="s">
        <v>83</v>
      </c>
      <c r="E99" s="128" t="s">
        <v>85</v>
      </c>
      <c r="F99" s="128"/>
      <c r="G99" s="128" t="s">
        <v>84</v>
      </c>
      <c r="H99" s="128"/>
      <c r="I99" s="14" t="s">
        <v>142</v>
      </c>
      <c r="J99" s="27">
        <f ca="1">H97*25%</f>
        <v>5.75</v>
      </c>
    </row>
    <row r="100" spans="1:12" x14ac:dyDescent="0.3">
      <c r="A100" s="128" t="s">
        <v>129</v>
      </c>
      <c r="B100" s="128"/>
      <c r="C100" s="43">
        <f ca="1">J101</f>
        <v>23</v>
      </c>
      <c r="D100" s="19">
        <f ca="1">((100/H97)*C100)/100</f>
        <v>1</v>
      </c>
      <c r="E100" s="184">
        <f ca="1">(((C101/H97*10)+(40/(D97+F97+H97)*C102)+(7.5/(H97)*C103)+(7.5/(H97)*C104)+(10/H97*C105)+(10/H97*C106)+(5/H97*C107)+(5/H97*C108)+(5/H97*C109))/100)</f>
        <v>0.88695652173913042</v>
      </c>
      <c r="F100" s="184"/>
      <c r="G100" s="184">
        <f ca="1">((((C100/H97)*20)+((C101/H97)*25)+(30/(H97+F97+D97)*C102)+(5/H97*C103)+(5/H97*C104)+(5/H97*C105)+(5/H97*C106)+(0/H97*C107)+(0/H97*C108)+(5/H97*C109))/100)</f>
        <v>0.94347826086956521</v>
      </c>
      <c r="H100" s="184"/>
      <c r="I100" s="14" t="s">
        <v>100</v>
      </c>
      <c r="J100" s="28">
        <f ca="1">H97*50%</f>
        <v>11.5</v>
      </c>
    </row>
    <row r="101" spans="1:12" x14ac:dyDescent="0.3">
      <c r="A101" s="128" t="s">
        <v>49</v>
      </c>
      <c r="B101" s="128"/>
      <c r="C101" s="43">
        <f ca="1">J109</f>
        <v>23</v>
      </c>
      <c r="D101" s="19">
        <f ca="1">((100/H97)*C101)/100</f>
        <v>1</v>
      </c>
      <c r="E101" s="184"/>
      <c r="F101" s="184"/>
      <c r="G101" s="184"/>
      <c r="H101" s="184"/>
      <c r="I101" s="14" t="s">
        <v>101</v>
      </c>
      <c r="J101" s="28">
        <f ca="1">H97</f>
        <v>23</v>
      </c>
    </row>
    <row r="102" spans="1:12" ht="15.75" customHeight="1" x14ac:dyDescent="0.3">
      <c r="A102" s="128" t="s">
        <v>130</v>
      </c>
      <c r="B102" s="128"/>
      <c r="C102" s="43">
        <v>24</v>
      </c>
      <c r="D102" s="19">
        <f ca="1">((100/(D97+F97+H97))*C102)/100</f>
        <v>1</v>
      </c>
      <c r="E102" s="184"/>
      <c r="F102" s="184"/>
      <c r="G102" s="184"/>
      <c r="H102" s="184"/>
      <c r="I102" s="14" t="s">
        <v>102</v>
      </c>
      <c r="J102" s="29">
        <f ca="1">(IF(B97&gt;1,(H97/(B97+2)),H97/4))</f>
        <v>5.75</v>
      </c>
    </row>
    <row r="103" spans="1:12" ht="15.75" customHeight="1" x14ac:dyDescent="0.3">
      <c r="A103" s="128" t="s">
        <v>137</v>
      </c>
      <c r="B103" s="128" t="s">
        <v>131</v>
      </c>
      <c r="C103" s="43">
        <f>C102-1</f>
        <v>23</v>
      </c>
      <c r="D103" s="19">
        <f ca="1">((100/H97)*C103)/100</f>
        <v>1</v>
      </c>
      <c r="E103" s="184"/>
      <c r="F103" s="184"/>
      <c r="G103" s="184"/>
      <c r="H103" s="184"/>
      <c r="I103" s="14" t="s">
        <v>103</v>
      </c>
      <c r="J103" s="29">
        <f ca="1">(IF(B97&gt;1,(H97/(B97+2)+J102),H97/4+J102))</f>
        <v>11.5</v>
      </c>
    </row>
    <row r="104" spans="1:12" ht="15.75" customHeight="1" x14ac:dyDescent="0.3">
      <c r="A104" s="128" t="s">
        <v>138</v>
      </c>
      <c r="B104" s="128" t="s">
        <v>131</v>
      </c>
      <c r="C104" s="65">
        <v>23</v>
      </c>
      <c r="D104" s="19">
        <f ca="1">((100/H97)*C104)/100</f>
        <v>1</v>
      </c>
      <c r="E104" s="184"/>
      <c r="F104" s="184"/>
      <c r="G104" s="184"/>
      <c r="H104" s="184"/>
      <c r="I104" s="14" t="s">
        <v>147</v>
      </c>
      <c r="J104" s="29">
        <f>(IF(B97&gt;1,(H97/(B97+2)+J103),0))</f>
        <v>0</v>
      </c>
    </row>
    <row r="105" spans="1:12" ht="15" customHeight="1" x14ac:dyDescent="0.3">
      <c r="A105" s="128" t="s">
        <v>136</v>
      </c>
      <c r="B105" s="128" t="s">
        <v>133</v>
      </c>
      <c r="C105" s="65">
        <v>23</v>
      </c>
      <c r="D105" s="19">
        <f ca="1">((100/(H97))*C105)/100</f>
        <v>1</v>
      </c>
      <c r="E105" s="184"/>
      <c r="F105" s="184"/>
      <c r="G105" s="184"/>
      <c r="H105" s="184"/>
      <c r="I105" s="14" t="s">
        <v>144</v>
      </c>
      <c r="J105" s="29">
        <f>(IF(B97&gt;2,(H97/(B97+2)+J104),0))</f>
        <v>0</v>
      </c>
    </row>
    <row r="106" spans="1:12" ht="15.75" customHeight="1" x14ac:dyDescent="0.3">
      <c r="A106" s="128" t="s">
        <v>132</v>
      </c>
      <c r="B106" s="128" t="s">
        <v>132</v>
      </c>
      <c r="C106" s="43">
        <v>20</v>
      </c>
      <c r="D106" s="19">
        <f ca="1">((100/H97)*C106)/100</f>
        <v>0.86956521739130432</v>
      </c>
      <c r="E106" s="184"/>
      <c r="F106" s="184"/>
      <c r="G106" s="184"/>
      <c r="H106" s="184"/>
      <c r="I106" s="14" t="s">
        <v>145</v>
      </c>
      <c r="J106" s="30">
        <f>(IF(B97&gt;3,(H97/(B97+2)+J105),0))</f>
        <v>0</v>
      </c>
    </row>
    <row r="107" spans="1:12" ht="15.75" customHeight="1" x14ac:dyDescent="0.3">
      <c r="A107" s="128" t="s">
        <v>139</v>
      </c>
      <c r="B107" s="128"/>
      <c r="C107" s="43">
        <v>18</v>
      </c>
      <c r="D107" s="19">
        <f ca="1">((100/H97)*C107)/100</f>
        <v>0.78260869565217395</v>
      </c>
      <c r="E107" s="184"/>
      <c r="F107" s="184"/>
      <c r="G107" s="184"/>
      <c r="H107" s="184"/>
      <c r="I107" s="14" t="s">
        <v>146</v>
      </c>
      <c r="J107" s="29">
        <f>(IF(B97&gt;4,(H97/(B97+2)+J106),0))</f>
        <v>0</v>
      </c>
    </row>
    <row r="108" spans="1:12" ht="15.75" customHeight="1" x14ac:dyDescent="0.3">
      <c r="A108" s="128" t="s">
        <v>134</v>
      </c>
      <c r="B108" s="128" t="s">
        <v>134</v>
      </c>
      <c r="C108" s="43">
        <v>5</v>
      </c>
      <c r="D108" s="19">
        <f ca="1">((100/(H97))*C108)/100</f>
        <v>0.21739130434782608</v>
      </c>
      <c r="E108" s="184"/>
      <c r="F108" s="184"/>
      <c r="G108" s="184"/>
      <c r="H108" s="184"/>
      <c r="I108" s="14" t="s">
        <v>148</v>
      </c>
      <c r="J108" s="29">
        <f ca="1">(IF(B97=1,(H97/(B97+3)+J103),IF(B97=0,(H97/4+J103),IF(B97&gt;1,0))))</f>
        <v>17.25</v>
      </c>
    </row>
    <row r="109" spans="1:12" ht="16.2" thickBot="1" x14ac:dyDescent="0.35">
      <c r="A109" s="128" t="s">
        <v>135</v>
      </c>
      <c r="B109" s="128"/>
      <c r="C109" s="43">
        <v>0</v>
      </c>
      <c r="D109" s="19">
        <f ca="1">((100/(H97))*C109)/100</f>
        <v>0</v>
      </c>
      <c r="E109" s="184"/>
      <c r="F109" s="184"/>
      <c r="G109" s="184"/>
      <c r="H109" s="184"/>
      <c r="I109" s="15" t="s">
        <v>104</v>
      </c>
      <c r="J109" s="31">
        <f ca="1">(IF(B97&gt;1.5,(H97/(B97+2)+J103+MAX(0,J104-J103)+MAX(0,J105-J104)+MAX(0,J106-J105)+MAX(0,J107-J106)+MAX(0,J108-J107)),IF(B97=1,(H97/(B97+3)+J108),IF(B97=0,H97/4+J108))))</f>
        <v>23</v>
      </c>
    </row>
    <row r="110" spans="1:12" x14ac:dyDescent="0.3">
      <c r="A110" s="194" t="s">
        <v>159</v>
      </c>
      <c r="B110" s="194"/>
      <c r="C110" s="194"/>
      <c r="D110" s="194"/>
      <c r="E110" s="194"/>
      <c r="F110" s="185" t="s">
        <v>162</v>
      </c>
      <c r="G110" s="185"/>
      <c r="H110" s="185"/>
    </row>
    <row r="111" spans="1:12" x14ac:dyDescent="0.3">
      <c r="A111" s="86" t="s">
        <v>161</v>
      </c>
      <c r="B111" s="86"/>
      <c r="C111" s="86"/>
      <c r="D111" s="86"/>
      <c r="E111" s="86"/>
      <c r="F111" s="129">
        <v>7500</v>
      </c>
      <c r="G111" s="129"/>
      <c r="H111" s="129"/>
      <c r="I111" s="20" t="s">
        <v>223</v>
      </c>
      <c r="J111" s="20" t="s">
        <v>224</v>
      </c>
      <c r="K111" s="20" t="s">
        <v>225</v>
      </c>
      <c r="L111" s="24">
        <v>44868</v>
      </c>
    </row>
    <row r="112" spans="1:12" s="32" customFormat="1" hidden="1" x14ac:dyDescent="0.25">
      <c r="A112" s="86" t="s">
        <v>160</v>
      </c>
      <c r="B112" s="86"/>
      <c r="C112" s="86"/>
      <c r="D112" s="86"/>
      <c r="E112" s="86"/>
      <c r="F112" s="131"/>
      <c r="G112" s="131"/>
      <c r="H112" s="131"/>
    </row>
    <row r="113" spans="1:8" s="32" customFormat="1" hidden="1" x14ac:dyDescent="0.25">
      <c r="A113" s="86" t="s">
        <v>95</v>
      </c>
      <c r="B113" s="86"/>
      <c r="C113" s="86"/>
      <c r="D113" s="86"/>
      <c r="E113" s="86"/>
      <c r="F113" s="131"/>
      <c r="G113" s="131"/>
      <c r="H113" s="131"/>
    </row>
    <row r="114" spans="1:8" s="32" customFormat="1" hidden="1" x14ac:dyDescent="0.25">
      <c r="A114" s="86" t="s">
        <v>96</v>
      </c>
      <c r="B114" s="86"/>
      <c r="C114" s="86"/>
      <c r="D114" s="86"/>
      <c r="E114" s="86"/>
      <c r="F114" s="131"/>
      <c r="G114" s="131"/>
      <c r="H114" s="131"/>
    </row>
    <row r="115" spans="1:8" s="32" customFormat="1" hidden="1" x14ac:dyDescent="0.25">
      <c r="A115" s="86" t="s">
        <v>163</v>
      </c>
      <c r="B115" s="86"/>
      <c r="C115" s="86"/>
      <c r="D115" s="86"/>
      <c r="E115" s="86"/>
      <c r="F115" s="131"/>
      <c r="G115" s="131"/>
      <c r="H115" s="131"/>
    </row>
    <row r="116" spans="1:8" s="32" customFormat="1" hidden="1" x14ac:dyDescent="0.25">
      <c r="A116" s="86" t="s">
        <v>97</v>
      </c>
      <c r="B116" s="86"/>
      <c r="C116" s="86"/>
      <c r="D116" s="86"/>
      <c r="E116" s="86"/>
      <c r="F116" s="131"/>
      <c r="G116" s="131"/>
      <c r="H116" s="131"/>
    </row>
    <row r="117" spans="1:8" s="32" customFormat="1" hidden="1" x14ac:dyDescent="0.25">
      <c r="A117" s="86" t="s">
        <v>98</v>
      </c>
      <c r="B117" s="86"/>
      <c r="C117" s="86"/>
      <c r="D117" s="86"/>
      <c r="E117" s="86"/>
      <c r="F117" s="131"/>
      <c r="G117" s="131"/>
      <c r="H117" s="131"/>
    </row>
    <row r="118" spans="1:8" s="32" customFormat="1" hidden="1" x14ac:dyDescent="0.25">
      <c r="A118" s="86" t="s">
        <v>99</v>
      </c>
      <c r="B118" s="86"/>
      <c r="C118" s="86"/>
      <c r="D118" s="86"/>
      <c r="E118" s="86"/>
      <c r="F118" s="131"/>
      <c r="G118" s="131"/>
      <c r="H118" s="131"/>
    </row>
    <row r="119" spans="1:8" s="32" customFormat="1" x14ac:dyDescent="0.25">
      <c r="A119" s="86" t="s">
        <v>221</v>
      </c>
      <c r="B119" s="86"/>
      <c r="C119" s="86"/>
      <c r="D119" s="86"/>
      <c r="E119" s="86"/>
      <c r="F119" s="131">
        <v>110000</v>
      </c>
      <c r="G119" s="131"/>
      <c r="H119" s="131"/>
    </row>
    <row r="120" spans="1:8" x14ac:dyDescent="0.3">
      <c r="A120" s="86" t="s">
        <v>50</v>
      </c>
      <c r="B120" s="86"/>
      <c r="C120" s="86"/>
      <c r="D120" s="86"/>
      <c r="E120" s="86"/>
      <c r="F120" s="131">
        <v>400000</v>
      </c>
      <c r="G120" s="131"/>
      <c r="H120" s="131"/>
    </row>
    <row r="121" spans="1:8" s="33" customFormat="1" x14ac:dyDescent="0.3">
      <c r="A121" s="144" t="s">
        <v>51</v>
      </c>
      <c r="B121" s="144"/>
      <c r="C121" s="144"/>
      <c r="D121" s="144"/>
      <c r="E121" s="144"/>
      <c r="F121" s="131">
        <f>F111*0.8</f>
        <v>6000</v>
      </c>
      <c r="G121" s="131"/>
      <c r="H121" s="131"/>
    </row>
    <row r="122" spans="1:8" s="34" customFormat="1" ht="15.75" hidden="1" customHeight="1" x14ac:dyDescent="0.3">
      <c r="A122" s="143" t="s">
        <v>75</v>
      </c>
      <c r="B122" s="143"/>
      <c r="C122" s="143"/>
      <c r="D122" s="143"/>
      <c r="E122" s="143"/>
      <c r="F122" s="143"/>
      <c r="G122" s="143"/>
      <c r="H122" s="143"/>
    </row>
    <row r="123" spans="1:8" s="34" customFormat="1" ht="15.75" hidden="1" customHeight="1" x14ac:dyDescent="0.3">
      <c r="A123" s="119" t="s">
        <v>52</v>
      </c>
      <c r="B123" s="119"/>
      <c r="C123" s="133" t="s">
        <v>78</v>
      </c>
      <c r="D123" s="133"/>
      <c r="E123" s="132" t="s">
        <v>53</v>
      </c>
      <c r="F123" s="132"/>
      <c r="G123" s="119" t="s">
        <v>54</v>
      </c>
      <c r="H123" s="119"/>
    </row>
    <row r="124" spans="1:8" s="34" customFormat="1" hidden="1" x14ac:dyDescent="0.3">
      <c r="A124" s="145"/>
      <c r="B124" s="145"/>
      <c r="C124" s="187"/>
      <c r="D124" s="187"/>
      <c r="E124" s="188"/>
      <c r="F124" s="188"/>
      <c r="G124" s="130"/>
      <c r="H124" s="130"/>
    </row>
    <row r="125" spans="1:8" s="34" customFormat="1" hidden="1" x14ac:dyDescent="0.3">
      <c r="A125" s="145"/>
      <c r="B125" s="145"/>
      <c r="C125" s="187"/>
      <c r="D125" s="187"/>
      <c r="E125" s="188"/>
      <c r="F125" s="188"/>
      <c r="G125" s="130"/>
      <c r="H125" s="130"/>
    </row>
    <row r="126" spans="1:8" s="34" customFormat="1" hidden="1" x14ac:dyDescent="0.3">
      <c r="A126" s="143" t="s">
        <v>153</v>
      </c>
      <c r="B126" s="143"/>
      <c r="C126" s="133"/>
      <c r="D126" s="133"/>
      <c r="E126" s="132"/>
      <c r="F126" s="132"/>
      <c r="G126" s="119"/>
      <c r="H126" s="119"/>
    </row>
    <row r="127" spans="1:8" s="34" customFormat="1" x14ac:dyDescent="0.3">
      <c r="A127" s="143" t="s">
        <v>70</v>
      </c>
      <c r="B127" s="143"/>
      <c r="C127" s="143"/>
      <c r="D127" s="143"/>
      <c r="E127" s="143"/>
      <c r="F127" s="143"/>
      <c r="G127" s="143"/>
      <c r="H127" s="143"/>
    </row>
    <row r="128" spans="1:8" s="34" customFormat="1" ht="15.75" customHeight="1" x14ac:dyDescent="0.3">
      <c r="A128" s="119" t="s">
        <v>52</v>
      </c>
      <c r="B128" s="119"/>
      <c r="C128" s="133" t="s">
        <v>78</v>
      </c>
      <c r="D128" s="133"/>
      <c r="E128" s="132" t="s">
        <v>53</v>
      </c>
      <c r="F128" s="132"/>
      <c r="G128" s="119" t="s">
        <v>54</v>
      </c>
      <c r="H128" s="119"/>
    </row>
    <row r="129" spans="1:14" s="34" customFormat="1" x14ac:dyDescent="0.3">
      <c r="A129" s="145" t="s">
        <v>197</v>
      </c>
      <c r="B129" s="145"/>
      <c r="C129" s="181">
        <f>COUNT(D156:D160)+COUNT(D162:D167)*2+COUNT(D183:D185,D187:D188)*3+COUNT(D169:D174)*18</f>
        <v>140</v>
      </c>
      <c r="D129" s="181"/>
      <c r="E129" s="182">
        <f>SUM(D156:D160)+SUM(D162:D167)*2+SUM(D183:D185,D187:D188)*3+SUM(D169:D174)*18</f>
        <v>80302.453919999985</v>
      </c>
      <c r="F129" s="182"/>
      <c r="G129" s="182">
        <f>SUM(F156:F160)+SUM(F162:F167)*2+SUM(F183:F185,F187:F188)*3+SUM(F169:F174)*18</f>
        <v>120453.68087999997</v>
      </c>
      <c r="H129" s="182"/>
    </row>
    <row r="130" spans="1:14" s="34" customFormat="1" x14ac:dyDescent="0.3">
      <c r="A130" s="145" t="s">
        <v>198</v>
      </c>
      <c r="B130" s="145"/>
      <c r="C130" s="181">
        <f>COUNT(D192:D197)+COUNT(D199:D204)*20+COUNT(D213:D215,D217:D218)*3</f>
        <v>141</v>
      </c>
      <c r="D130" s="181"/>
      <c r="E130" s="182">
        <f>SUM(D192:D197)+SUM(D199:D204)*20+SUM(D213:D215,D217:D218)*3</f>
        <v>107383.17095999999</v>
      </c>
      <c r="F130" s="182"/>
      <c r="G130" s="182">
        <f>SUM(F192:F197)+SUM(F199:F204)*20+SUM(F213:F215,F217:F218)*3</f>
        <v>161074.75644</v>
      </c>
      <c r="H130" s="182"/>
    </row>
    <row r="131" spans="1:14" s="34" customFormat="1" x14ac:dyDescent="0.3">
      <c r="A131" s="145" t="s">
        <v>199</v>
      </c>
      <c r="B131" s="145"/>
      <c r="C131" s="181">
        <f>COUNT(D222:D227)+COUNT(D229:D235)*20+COUNT(D245:D248,D250:D251)*3</f>
        <v>164</v>
      </c>
      <c r="D131" s="181"/>
      <c r="E131" s="182">
        <f>SUM(D222:D227)+SUM(D229:D235)*20+SUM(D245:D248,D250:D251)*3</f>
        <v>108470.22731999999</v>
      </c>
      <c r="F131" s="182"/>
      <c r="G131" s="182">
        <f>SUM(F222:F227)+SUM(F229:F235)*20+SUM(F245:F248,F250:F251)*3</f>
        <v>162705.34098000001</v>
      </c>
      <c r="H131" s="182"/>
    </row>
    <row r="132" spans="1:14" s="34" customFormat="1" x14ac:dyDescent="0.3">
      <c r="A132" s="143" t="s">
        <v>153</v>
      </c>
      <c r="B132" s="143"/>
      <c r="C132" s="189">
        <f>SUM(C129:C131)</f>
        <v>445</v>
      </c>
      <c r="D132" s="133"/>
      <c r="E132" s="190">
        <f>SUM(E129:E131)</f>
        <v>296155.85219999996</v>
      </c>
      <c r="F132" s="132"/>
      <c r="G132" s="119">
        <f>SUM(G129:G131)</f>
        <v>444233.77830000001</v>
      </c>
      <c r="H132" s="119"/>
    </row>
    <row r="133" spans="1:14" s="33" customFormat="1" x14ac:dyDescent="0.3">
      <c r="A133" s="140" t="s">
        <v>55</v>
      </c>
      <c r="B133" s="140"/>
      <c r="C133" s="140"/>
      <c r="D133" s="140"/>
      <c r="E133" s="140"/>
      <c r="F133" s="140"/>
      <c r="G133" s="140"/>
      <c r="H133" s="140"/>
    </row>
    <row r="134" spans="1:14" x14ac:dyDescent="0.3">
      <c r="A134" s="140" t="s">
        <v>56</v>
      </c>
      <c r="B134" s="140"/>
      <c r="C134" s="140"/>
      <c r="D134" s="140"/>
      <c r="E134" s="140"/>
      <c r="F134" s="140"/>
      <c r="G134" s="140"/>
      <c r="H134" s="140"/>
    </row>
    <row r="135" spans="1:14" ht="47.25" hidden="1" customHeight="1" x14ac:dyDescent="0.3">
      <c r="A135" s="120" t="s">
        <v>119</v>
      </c>
      <c r="B135" s="120" t="s">
        <v>118</v>
      </c>
      <c r="C135" s="120" t="s">
        <v>57</v>
      </c>
      <c r="D135" s="120" t="s">
        <v>58</v>
      </c>
      <c r="E135" s="122" t="s">
        <v>158</v>
      </c>
      <c r="F135" s="42" t="s">
        <v>152</v>
      </c>
      <c r="G135" s="124" t="s">
        <v>60</v>
      </c>
      <c r="H135" s="125"/>
    </row>
    <row r="136" spans="1:14" s="36" customFormat="1" hidden="1" x14ac:dyDescent="0.3">
      <c r="A136" s="121"/>
      <c r="B136" s="121"/>
      <c r="C136" s="121"/>
      <c r="D136" s="121"/>
      <c r="E136" s="123"/>
      <c r="F136" s="13">
        <v>0.6</v>
      </c>
      <c r="G136" s="126"/>
      <c r="H136" s="127"/>
    </row>
    <row r="137" spans="1:14" s="36" customFormat="1" hidden="1" x14ac:dyDescent="0.3">
      <c r="A137" s="74" t="s">
        <v>186</v>
      </c>
      <c r="B137" s="75"/>
      <c r="C137" s="75"/>
      <c r="D137" s="75"/>
      <c r="E137" s="75"/>
      <c r="F137" s="75"/>
      <c r="G137" s="75"/>
      <c r="H137" s="76"/>
      <c r="J137" s="35"/>
    </row>
    <row r="138" spans="1:14" s="36" customFormat="1" hidden="1" x14ac:dyDescent="0.3">
      <c r="A138" s="77">
        <v>1</v>
      </c>
      <c r="B138" s="78"/>
      <c r="C138" s="41"/>
      <c r="D138" s="41"/>
      <c r="E138" s="41">
        <v>0</v>
      </c>
      <c r="F138" s="41">
        <f t="shared" ref="F138:F149" si="0">(D138+E138)*(($F$136)+1)</f>
        <v>0</v>
      </c>
      <c r="G138" s="77" t="str">
        <f>A137</f>
        <v>Ground Floor For Residential &amp; Meter Room</v>
      </c>
      <c r="H138" s="78"/>
      <c r="I138" s="35"/>
      <c r="L138" s="85"/>
      <c r="M138" s="85"/>
      <c r="N138" s="35"/>
    </row>
    <row r="139" spans="1:14" s="36" customFormat="1" hidden="1" x14ac:dyDescent="0.3">
      <c r="A139" s="77">
        <f t="shared" ref="A139:A149" si="1">A138+1</f>
        <v>2</v>
      </c>
      <c r="B139" s="78"/>
      <c r="C139" s="41"/>
      <c r="D139" s="41"/>
      <c r="E139" s="41">
        <v>0</v>
      </c>
      <c r="F139" s="41">
        <f t="shared" si="0"/>
        <v>0</v>
      </c>
      <c r="G139" s="77" t="str">
        <f t="shared" ref="G139:G149" si="2">G138</f>
        <v>Ground Floor For Residential &amp; Meter Room</v>
      </c>
      <c r="H139" s="78"/>
      <c r="I139" s="35"/>
      <c r="L139" s="85"/>
      <c r="M139" s="85"/>
      <c r="N139" s="35"/>
    </row>
    <row r="140" spans="1:14" s="36" customFormat="1" hidden="1" x14ac:dyDescent="0.3">
      <c r="A140" s="77">
        <f t="shared" si="1"/>
        <v>3</v>
      </c>
      <c r="B140" s="78"/>
      <c r="C140" s="41"/>
      <c r="D140" s="41"/>
      <c r="E140" s="41">
        <v>0</v>
      </c>
      <c r="F140" s="41">
        <f t="shared" si="0"/>
        <v>0</v>
      </c>
      <c r="G140" s="77" t="str">
        <f t="shared" si="2"/>
        <v>Ground Floor For Residential &amp; Meter Room</v>
      </c>
      <c r="H140" s="78"/>
      <c r="I140" s="35"/>
      <c r="L140" s="85"/>
      <c r="M140" s="85"/>
      <c r="N140" s="35"/>
    </row>
    <row r="141" spans="1:14" s="36" customFormat="1" hidden="1" x14ac:dyDescent="0.3">
      <c r="A141" s="77">
        <f t="shared" si="1"/>
        <v>4</v>
      </c>
      <c r="B141" s="78"/>
      <c r="C141" s="41"/>
      <c r="D141" s="41"/>
      <c r="E141" s="41">
        <v>0</v>
      </c>
      <c r="F141" s="41">
        <f t="shared" si="0"/>
        <v>0</v>
      </c>
      <c r="G141" s="77" t="str">
        <f t="shared" si="2"/>
        <v>Ground Floor For Residential &amp; Meter Room</v>
      </c>
      <c r="H141" s="78"/>
      <c r="I141" s="35"/>
      <c r="L141" s="85"/>
      <c r="M141" s="85"/>
      <c r="N141" s="35"/>
    </row>
    <row r="142" spans="1:14" s="36" customFormat="1" hidden="1" x14ac:dyDescent="0.3">
      <c r="A142" s="77">
        <f t="shared" si="1"/>
        <v>5</v>
      </c>
      <c r="B142" s="78"/>
      <c r="C142" s="41"/>
      <c r="D142" s="41"/>
      <c r="E142" s="41">
        <v>0</v>
      </c>
      <c r="F142" s="41">
        <f t="shared" si="0"/>
        <v>0</v>
      </c>
      <c r="G142" s="77" t="str">
        <f t="shared" si="2"/>
        <v>Ground Floor For Residential &amp; Meter Room</v>
      </c>
      <c r="H142" s="78"/>
      <c r="I142" s="35"/>
      <c r="L142" s="85"/>
      <c r="M142" s="85"/>
      <c r="N142" s="35"/>
    </row>
    <row r="143" spans="1:14" s="36" customFormat="1" hidden="1" x14ac:dyDescent="0.3">
      <c r="A143" s="77">
        <f t="shared" si="1"/>
        <v>6</v>
      </c>
      <c r="B143" s="78"/>
      <c r="C143" s="41"/>
      <c r="D143" s="41"/>
      <c r="E143" s="41">
        <v>0</v>
      </c>
      <c r="F143" s="41">
        <f t="shared" si="0"/>
        <v>0</v>
      </c>
      <c r="G143" s="77" t="str">
        <f t="shared" si="2"/>
        <v>Ground Floor For Residential &amp; Meter Room</v>
      </c>
      <c r="H143" s="78"/>
      <c r="I143" s="35"/>
      <c r="L143" s="85"/>
      <c r="M143" s="85"/>
      <c r="N143" s="35"/>
    </row>
    <row r="144" spans="1:14" s="36" customFormat="1" hidden="1" x14ac:dyDescent="0.3">
      <c r="A144" s="77">
        <f t="shared" si="1"/>
        <v>7</v>
      </c>
      <c r="B144" s="78"/>
      <c r="C144" s="41"/>
      <c r="D144" s="41"/>
      <c r="E144" s="41">
        <v>0</v>
      </c>
      <c r="F144" s="41">
        <f t="shared" si="0"/>
        <v>0</v>
      </c>
      <c r="G144" s="77" t="str">
        <f t="shared" si="2"/>
        <v>Ground Floor For Residential &amp; Meter Room</v>
      </c>
      <c r="H144" s="78"/>
      <c r="I144" s="35"/>
      <c r="L144" s="85"/>
      <c r="M144" s="85"/>
      <c r="N144" s="35"/>
    </row>
    <row r="145" spans="1:14" s="36" customFormat="1" hidden="1" x14ac:dyDescent="0.3">
      <c r="A145" s="77">
        <f t="shared" si="1"/>
        <v>8</v>
      </c>
      <c r="B145" s="78"/>
      <c r="C145" s="41"/>
      <c r="D145" s="41"/>
      <c r="E145" s="41">
        <v>0</v>
      </c>
      <c r="F145" s="41">
        <f t="shared" si="0"/>
        <v>0</v>
      </c>
      <c r="G145" s="77" t="str">
        <f t="shared" si="2"/>
        <v>Ground Floor For Residential &amp; Meter Room</v>
      </c>
      <c r="H145" s="78"/>
      <c r="I145" s="35"/>
      <c r="L145" s="85"/>
      <c r="M145" s="85"/>
      <c r="N145" s="35"/>
    </row>
    <row r="146" spans="1:14" s="36" customFormat="1" hidden="1" x14ac:dyDescent="0.3">
      <c r="A146" s="77">
        <f t="shared" si="1"/>
        <v>9</v>
      </c>
      <c r="B146" s="78"/>
      <c r="C146" s="41"/>
      <c r="D146" s="41"/>
      <c r="E146" s="41">
        <v>0</v>
      </c>
      <c r="F146" s="41">
        <f t="shared" si="0"/>
        <v>0</v>
      </c>
      <c r="G146" s="77" t="str">
        <f t="shared" si="2"/>
        <v>Ground Floor For Residential &amp; Meter Room</v>
      </c>
      <c r="H146" s="78"/>
      <c r="I146" s="35"/>
      <c r="L146" s="85"/>
      <c r="M146" s="85"/>
      <c r="N146" s="35"/>
    </row>
    <row r="147" spans="1:14" s="36" customFormat="1" hidden="1" x14ac:dyDescent="0.3">
      <c r="A147" s="77">
        <f t="shared" si="1"/>
        <v>10</v>
      </c>
      <c r="B147" s="78"/>
      <c r="C147" s="41"/>
      <c r="D147" s="41"/>
      <c r="E147" s="41">
        <v>0</v>
      </c>
      <c r="F147" s="41">
        <f t="shared" si="0"/>
        <v>0</v>
      </c>
      <c r="G147" s="77" t="str">
        <f t="shared" si="2"/>
        <v>Ground Floor For Residential &amp; Meter Room</v>
      </c>
      <c r="H147" s="78"/>
      <c r="I147" s="35"/>
      <c r="L147" s="85"/>
      <c r="M147" s="85"/>
      <c r="N147" s="35"/>
    </row>
    <row r="148" spans="1:14" s="36" customFormat="1" hidden="1" x14ac:dyDescent="0.3">
      <c r="A148" s="77">
        <f t="shared" si="1"/>
        <v>11</v>
      </c>
      <c r="B148" s="78"/>
      <c r="C148" s="41"/>
      <c r="D148" s="41"/>
      <c r="E148" s="41">
        <v>0</v>
      </c>
      <c r="F148" s="41">
        <f t="shared" si="0"/>
        <v>0</v>
      </c>
      <c r="G148" s="77" t="str">
        <f t="shared" si="2"/>
        <v>Ground Floor For Residential &amp; Meter Room</v>
      </c>
      <c r="H148" s="78"/>
      <c r="I148" s="35"/>
      <c r="L148" s="85"/>
      <c r="M148" s="85"/>
      <c r="N148" s="35"/>
    </row>
    <row r="149" spans="1:14" s="36" customFormat="1" hidden="1" x14ac:dyDescent="0.3">
      <c r="A149" s="77">
        <f t="shared" si="1"/>
        <v>12</v>
      </c>
      <c r="B149" s="78"/>
      <c r="C149" s="41"/>
      <c r="D149" s="41"/>
      <c r="E149" s="41">
        <v>0</v>
      </c>
      <c r="F149" s="41">
        <f t="shared" si="0"/>
        <v>0</v>
      </c>
      <c r="G149" s="77" t="str">
        <f t="shared" si="2"/>
        <v>Ground Floor For Residential &amp; Meter Room</v>
      </c>
      <c r="H149" s="78"/>
      <c r="I149" s="35"/>
      <c r="L149" s="85"/>
      <c r="M149" s="85"/>
      <c r="N149" s="35"/>
    </row>
    <row r="150" spans="1:14" s="36" customFormat="1" hidden="1" x14ac:dyDescent="0.3">
      <c r="A150" s="77"/>
      <c r="B150" s="186"/>
      <c r="C150" s="186"/>
      <c r="D150" s="186"/>
      <c r="E150" s="186"/>
      <c r="F150" s="186"/>
      <c r="G150" s="186"/>
      <c r="H150" s="78"/>
      <c r="I150" s="35"/>
      <c r="N150" s="35"/>
    </row>
    <row r="151" spans="1:14" ht="47.25" customHeight="1" x14ac:dyDescent="0.3">
      <c r="A151" s="124" t="s">
        <v>120</v>
      </c>
      <c r="B151" s="124" t="s">
        <v>121</v>
      </c>
      <c r="C151" s="120" t="s">
        <v>57</v>
      </c>
      <c r="D151" s="120" t="s">
        <v>58</v>
      </c>
      <c r="E151" s="122" t="s">
        <v>59</v>
      </c>
      <c r="F151" s="42" t="s">
        <v>152</v>
      </c>
      <c r="G151" s="124" t="s">
        <v>60</v>
      </c>
      <c r="H151" s="125"/>
      <c r="I151" s="35"/>
    </row>
    <row r="152" spans="1:14" s="36" customFormat="1" x14ac:dyDescent="0.3">
      <c r="A152" s="126"/>
      <c r="B152" s="126"/>
      <c r="C152" s="121"/>
      <c r="D152" s="121"/>
      <c r="E152" s="123"/>
      <c r="F152" s="13">
        <v>0.5</v>
      </c>
      <c r="G152" s="126"/>
      <c r="H152" s="127"/>
      <c r="I152" s="35"/>
    </row>
    <row r="153" spans="1:14" s="36" customFormat="1" ht="15.75" customHeight="1" x14ac:dyDescent="0.3">
      <c r="A153" s="74" t="s">
        <v>205</v>
      </c>
      <c r="B153" s="75"/>
      <c r="C153" s="75"/>
      <c r="D153" s="75"/>
      <c r="E153" s="75"/>
      <c r="F153" s="75"/>
      <c r="G153" s="75"/>
      <c r="H153" s="76"/>
      <c r="I153" s="83" t="s">
        <v>211</v>
      </c>
      <c r="J153" s="84"/>
      <c r="K153" s="84"/>
      <c r="L153" s="84"/>
      <c r="M153" s="84"/>
    </row>
    <row r="154" spans="1:14" s="36" customFormat="1" ht="15.75" customHeight="1" x14ac:dyDescent="0.3">
      <c r="A154" s="74" t="s">
        <v>191</v>
      </c>
      <c r="B154" s="75"/>
      <c r="C154" s="75"/>
      <c r="D154" s="75"/>
      <c r="E154" s="75"/>
      <c r="F154" s="75"/>
      <c r="G154" s="75"/>
      <c r="H154" s="76"/>
    </row>
    <row r="155" spans="1:14" s="36" customFormat="1" ht="15.75" customHeight="1" x14ac:dyDescent="0.3">
      <c r="A155" s="74" t="s">
        <v>186</v>
      </c>
      <c r="B155" s="75"/>
      <c r="C155" s="75"/>
      <c r="D155" s="75"/>
      <c r="E155" s="75"/>
      <c r="F155" s="75"/>
      <c r="G155" s="75"/>
      <c r="H155" s="76"/>
      <c r="J155" s="53">
        <v>10.763999999999999</v>
      </c>
    </row>
    <row r="156" spans="1:14" s="36" customFormat="1" ht="15.75" customHeight="1" x14ac:dyDescent="0.3">
      <c r="A156" s="77">
        <v>1</v>
      </c>
      <c r="B156" s="78"/>
      <c r="C156" s="51" t="s">
        <v>187</v>
      </c>
      <c r="D156" s="53">
        <f>(50.37)*10.764</f>
        <v>542.18267999999989</v>
      </c>
      <c r="E156" s="41">
        <v>0</v>
      </c>
      <c r="F156" s="41">
        <f>D156*(($F$152)+1)+(IF(E156&lt;101,E156,IF(E156&lt;201,E156/2,IF(E156&lt;=301,E156/3,E156/4))))</f>
        <v>813.27401999999984</v>
      </c>
      <c r="G156" s="68" t="str">
        <f>A155</f>
        <v>Ground Floor For Residential &amp; Meter Room</v>
      </c>
      <c r="H156" s="69"/>
      <c r="I156" s="41">
        <f>(4.32*3.05+2.65*2.13+2.9*2.75+2.75*2.9+0.9*2.11+0.74*0.9+1.7*0.6+1.5*2.28+2.28*1.38+1.4*0.6)</f>
        <v>45.761900000000004</v>
      </c>
      <c r="L156" s="85"/>
      <c r="M156" s="85"/>
      <c r="N156" s="35"/>
    </row>
    <row r="157" spans="1:14" s="36" customFormat="1" ht="15.75" customHeight="1" x14ac:dyDescent="0.3">
      <c r="A157" s="77">
        <f>A156+1</f>
        <v>2</v>
      </c>
      <c r="B157" s="78"/>
      <c r="C157" s="51" t="s">
        <v>187</v>
      </c>
      <c r="D157" s="53">
        <f>(50.37)*10.764</f>
        <v>542.18267999999989</v>
      </c>
      <c r="E157" s="41">
        <v>0</v>
      </c>
      <c r="F157" s="41">
        <f>D157*(($F$152)+1)+(IF(E157&lt;101,E157,IF(E157&lt;201,E157/2,IF(E157&lt;=301,E157/3,E157/4))))</f>
        <v>813.27401999999984</v>
      </c>
      <c r="G157" s="70"/>
      <c r="H157" s="71"/>
      <c r="I157" s="35"/>
      <c r="L157" s="85"/>
      <c r="M157" s="85"/>
      <c r="N157" s="35"/>
    </row>
    <row r="158" spans="1:14" s="36" customFormat="1" ht="15.75" customHeight="1" x14ac:dyDescent="0.3">
      <c r="A158" s="77">
        <f>A157+1</f>
        <v>3</v>
      </c>
      <c r="B158" s="78"/>
      <c r="C158" s="51" t="s">
        <v>187</v>
      </c>
      <c r="D158" s="53">
        <f>(50.47)*10.764</f>
        <v>543.25907999999993</v>
      </c>
      <c r="E158" s="41">
        <v>0</v>
      </c>
      <c r="F158" s="41">
        <f>D158*(($F$152)+1)+(IF(E158&lt;101,E158,IF(E158&lt;201,E158/2,IF(E158&lt;=301,E158/3,E158/4))))</f>
        <v>814.88861999999995</v>
      </c>
      <c r="G158" s="70"/>
      <c r="H158" s="71"/>
      <c r="I158" s="35"/>
      <c r="L158" s="85"/>
      <c r="M158" s="85"/>
      <c r="N158" s="35"/>
    </row>
    <row r="159" spans="1:14" s="36" customFormat="1" ht="15.75" customHeight="1" x14ac:dyDescent="0.3">
      <c r="A159" s="77">
        <f>A158+1</f>
        <v>4</v>
      </c>
      <c r="B159" s="78"/>
      <c r="C159" s="51" t="s">
        <v>187</v>
      </c>
      <c r="D159" s="53">
        <f>(50.47)*10.764</f>
        <v>543.25907999999993</v>
      </c>
      <c r="E159" s="41">
        <v>0</v>
      </c>
      <c r="F159" s="41">
        <f>D159*(($F$152)+1)+(IF(E159&lt;101,E159,IF(E159&lt;201,E159/2,IF(E159&lt;=301,E159/3,E159/4))))</f>
        <v>814.88861999999995</v>
      </c>
      <c r="G159" s="70"/>
      <c r="H159" s="71"/>
      <c r="I159" s="35"/>
      <c r="L159" s="85"/>
      <c r="M159" s="85"/>
      <c r="N159" s="35"/>
    </row>
    <row r="160" spans="1:14" s="36" customFormat="1" ht="15.75" customHeight="1" x14ac:dyDescent="0.3">
      <c r="A160" s="77">
        <f>A159+1</f>
        <v>5</v>
      </c>
      <c r="B160" s="78"/>
      <c r="C160" s="51" t="s">
        <v>188</v>
      </c>
      <c r="D160" s="53">
        <f>(44.38)*10.764</f>
        <v>477.70632000000001</v>
      </c>
      <c r="E160" s="41">
        <v>0</v>
      </c>
      <c r="F160" s="41">
        <f>D160*(($F$152)+1)+(IF(E160&lt;101,E160,IF(E160&lt;201,E160/2,IF(E160&lt;=301,E160/3,E160/4))))</f>
        <v>716.55948000000001</v>
      </c>
      <c r="G160" s="72"/>
      <c r="H160" s="73"/>
      <c r="I160" s="35"/>
      <c r="J160" s="35">
        <f>4800000/F160</f>
        <v>6698.6762913247621</v>
      </c>
      <c r="L160" s="85"/>
      <c r="M160" s="85"/>
      <c r="N160" s="35"/>
    </row>
    <row r="161" spans="1:14" s="36" customFormat="1" x14ac:dyDescent="0.3">
      <c r="A161" s="79" t="s">
        <v>189</v>
      </c>
      <c r="B161" s="79"/>
      <c r="C161" s="79"/>
      <c r="D161" s="79"/>
      <c r="E161" s="79"/>
      <c r="F161" s="79"/>
      <c r="G161" s="79"/>
      <c r="H161" s="79"/>
      <c r="I161" s="35"/>
      <c r="L161" s="85"/>
      <c r="M161" s="85"/>
    </row>
    <row r="162" spans="1:14" s="36" customFormat="1" ht="15.75" customHeight="1" x14ac:dyDescent="0.3">
      <c r="A162" s="67">
        <v>1</v>
      </c>
      <c r="B162" s="67"/>
      <c r="C162" s="51" t="s">
        <v>187</v>
      </c>
      <c r="D162" s="53">
        <f>(53.32)*10.764</f>
        <v>573.93647999999996</v>
      </c>
      <c r="E162" s="41">
        <v>0</v>
      </c>
      <c r="F162" s="41">
        <f t="shared" ref="F162:F167" si="3">D162*(($F$152)+1)+(IF(E162&lt;101,E162,IF(E162&lt;201,E162/2,IF(E162&lt;=301,E162/3,E162/4))))</f>
        <v>860.90472</v>
      </c>
      <c r="G162" s="67" t="str">
        <f>A161</f>
        <v>1st &amp; 2nd Floor</v>
      </c>
      <c r="H162" s="67"/>
      <c r="I162" s="35"/>
      <c r="N162" s="35"/>
    </row>
    <row r="163" spans="1:14" s="36" customFormat="1" ht="15.75" customHeight="1" x14ac:dyDescent="0.3">
      <c r="A163" s="67">
        <f>A162+1</f>
        <v>2</v>
      </c>
      <c r="B163" s="67"/>
      <c r="C163" s="51" t="s">
        <v>187</v>
      </c>
      <c r="D163" s="53">
        <f>(53.32)*10.764</f>
        <v>573.93647999999996</v>
      </c>
      <c r="E163" s="41">
        <v>0</v>
      </c>
      <c r="F163" s="41">
        <f t="shared" si="3"/>
        <v>860.90472</v>
      </c>
      <c r="G163" s="67"/>
      <c r="H163" s="67"/>
      <c r="I163" s="35"/>
      <c r="J163" s="35">
        <f>5800000/F163</f>
        <v>6737.0986187646877</v>
      </c>
      <c r="L163" s="52"/>
      <c r="N163" s="35"/>
    </row>
    <row r="164" spans="1:14" s="36" customFormat="1" ht="15.75" customHeight="1" x14ac:dyDescent="0.3">
      <c r="A164" s="67">
        <f>A163+1</f>
        <v>3</v>
      </c>
      <c r="B164" s="67"/>
      <c r="C164" s="51" t="s">
        <v>187</v>
      </c>
      <c r="D164" s="53">
        <f>(53.5)*10.764</f>
        <v>575.87399999999991</v>
      </c>
      <c r="E164" s="41">
        <v>0</v>
      </c>
      <c r="F164" s="41">
        <f t="shared" si="3"/>
        <v>863.81099999999992</v>
      </c>
      <c r="G164" s="67"/>
      <c r="H164" s="67"/>
      <c r="I164" s="35"/>
      <c r="N164" s="35"/>
    </row>
    <row r="165" spans="1:14" s="36" customFormat="1" ht="15.75" customHeight="1" x14ac:dyDescent="0.3">
      <c r="A165" s="67">
        <f>A164+1</f>
        <v>4</v>
      </c>
      <c r="B165" s="67"/>
      <c r="C165" s="51" t="s">
        <v>187</v>
      </c>
      <c r="D165" s="53">
        <f>(53.5)*10.764</f>
        <v>575.87399999999991</v>
      </c>
      <c r="E165" s="41">
        <v>0</v>
      </c>
      <c r="F165" s="41">
        <f t="shared" si="3"/>
        <v>863.81099999999992</v>
      </c>
      <c r="G165" s="67"/>
      <c r="H165" s="67"/>
      <c r="I165" s="35"/>
      <c r="N165" s="35"/>
    </row>
    <row r="166" spans="1:14" s="36" customFormat="1" ht="15.75" customHeight="1" x14ac:dyDescent="0.3">
      <c r="A166" s="67">
        <f>A165+1</f>
        <v>5</v>
      </c>
      <c r="B166" s="67"/>
      <c r="C166" s="51" t="s">
        <v>187</v>
      </c>
      <c r="D166" s="53">
        <f>(53.5)*10.764</f>
        <v>575.87399999999991</v>
      </c>
      <c r="E166" s="41">
        <v>0</v>
      </c>
      <c r="F166" s="41">
        <f t="shared" si="3"/>
        <v>863.81099999999992</v>
      </c>
      <c r="G166" s="67"/>
      <c r="H166" s="67"/>
      <c r="I166" s="35"/>
      <c r="N166" s="35"/>
    </row>
    <row r="167" spans="1:14" s="36" customFormat="1" ht="15.75" customHeight="1" x14ac:dyDescent="0.3">
      <c r="A167" s="67">
        <f>A166+1</f>
        <v>6</v>
      </c>
      <c r="B167" s="67"/>
      <c r="C167" s="51" t="s">
        <v>187</v>
      </c>
      <c r="D167" s="53">
        <f>(53.5)*10.764</f>
        <v>575.87399999999991</v>
      </c>
      <c r="E167" s="41">
        <v>0</v>
      </c>
      <c r="F167" s="41">
        <f t="shared" si="3"/>
        <v>863.81099999999992</v>
      </c>
      <c r="G167" s="67"/>
      <c r="H167" s="67"/>
      <c r="I167" s="35"/>
      <c r="N167" s="35"/>
    </row>
    <row r="168" spans="1:14" s="36" customFormat="1" ht="15.75" customHeight="1" x14ac:dyDescent="0.3">
      <c r="A168" s="74" t="s">
        <v>207</v>
      </c>
      <c r="B168" s="75"/>
      <c r="C168" s="75"/>
      <c r="D168" s="75"/>
      <c r="E168" s="75"/>
      <c r="F168" s="75"/>
      <c r="G168" s="75"/>
      <c r="H168" s="76"/>
      <c r="I168" s="35"/>
    </row>
    <row r="169" spans="1:14" s="36" customFormat="1" ht="15.75" customHeight="1" x14ac:dyDescent="0.3">
      <c r="A169" s="77">
        <v>1</v>
      </c>
      <c r="B169" s="78"/>
      <c r="C169" s="51" t="s">
        <v>187</v>
      </c>
      <c r="D169" s="53">
        <f>(53.32)*10.764</f>
        <v>573.93647999999996</v>
      </c>
      <c r="E169" s="41">
        <v>0</v>
      </c>
      <c r="F169" s="41">
        <f t="shared" ref="F169:F174" si="4">D169*(($F$152)+1)+(IF(E169&lt;101,E169,IF(E169&lt;201,E169/2,IF(E169&lt;=301,E169/3,E169/4))))</f>
        <v>860.90472</v>
      </c>
      <c r="G169" s="68" t="str">
        <f>A168</f>
        <v>3rd to 7th, 9th to 12th Floor for Residential</v>
      </c>
      <c r="H169" s="69"/>
      <c r="I169" s="35"/>
    </row>
    <row r="170" spans="1:14" s="36" customFormat="1" ht="15.75" customHeight="1" x14ac:dyDescent="0.3">
      <c r="A170" s="77">
        <v>2</v>
      </c>
      <c r="B170" s="78"/>
      <c r="C170" s="51" t="s">
        <v>187</v>
      </c>
      <c r="D170" s="53">
        <f>(53.32)*10.764</f>
        <v>573.93647999999996</v>
      </c>
      <c r="E170" s="41">
        <v>0</v>
      </c>
      <c r="F170" s="41">
        <f t="shared" si="4"/>
        <v>860.90472</v>
      </c>
      <c r="G170" s="70"/>
      <c r="H170" s="71"/>
      <c r="I170" s="35"/>
    </row>
    <row r="171" spans="1:14" s="36" customFormat="1" ht="15.75" customHeight="1" x14ac:dyDescent="0.3">
      <c r="A171" s="77">
        <v>3</v>
      </c>
      <c r="B171" s="78"/>
      <c r="C171" s="51" t="s">
        <v>187</v>
      </c>
      <c r="D171" s="53">
        <f>(53.5)*10.764</f>
        <v>575.87399999999991</v>
      </c>
      <c r="E171" s="41">
        <v>0</v>
      </c>
      <c r="F171" s="41">
        <f t="shared" si="4"/>
        <v>863.81099999999992</v>
      </c>
      <c r="G171" s="70"/>
      <c r="H171" s="71"/>
      <c r="I171" s="35"/>
    </row>
    <row r="172" spans="1:14" s="36" customFormat="1" ht="15.75" customHeight="1" x14ac:dyDescent="0.3">
      <c r="A172" s="77">
        <v>4</v>
      </c>
      <c r="B172" s="78"/>
      <c r="C172" s="51" t="s">
        <v>187</v>
      </c>
      <c r="D172" s="53">
        <f>(53.5)*10.764</f>
        <v>575.87399999999991</v>
      </c>
      <c r="E172" s="41">
        <v>0</v>
      </c>
      <c r="F172" s="41">
        <f t="shared" si="4"/>
        <v>863.81099999999992</v>
      </c>
      <c r="G172" s="70"/>
      <c r="H172" s="71"/>
      <c r="I172" s="35"/>
    </row>
    <row r="173" spans="1:14" s="36" customFormat="1" ht="15.75" customHeight="1" x14ac:dyDescent="0.3">
      <c r="A173" s="77">
        <v>5</v>
      </c>
      <c r="B173" s="78"/>
      <c r="C173" s="51" t="s">
        <v>187</v>
      </c>
      <c r="D173" s="53">
        <f>(53.5)*10.764</f>
        <v>575.87399999999991</v>
      </c>
      <c r="E173" s="41">
        <v>0</v>
      </c>
      <c r="F173" s="41">
        <f t="shared" si="4"/>
        <v>863.81099999999992</v>
      </c>
      <c r="G173" s="70"/>
      <c r="H173" s="71"/>
      <c r="I173" s="35"/>
    </row>
    <row r="174" spans="1:14" s="36" customFormat="1" ht="15.75" customHeight="1" x14ac:dyDescent="0.3">
      <c r="A174" s="77">
        <v>6</v>
      </c>
      <c r="B174" s="78"/>
      <c r="C174" s="51" t="s">
        <v>187</v>
      </c>
      <c r="D174" s="53">
        <f>(53.5)*10.764</f>
        <v>575.87399999999991</v>
      </c>
      <c r="E174" s="41">
        <v>0</v>
      </c>
      <c r="F174" s="41">
        <f t="shared" si="4"/>
        <v>863.81099999999992</v>
      </c>
      <c r="G174" s="72"/>
      <c r="H174" s="73"/>
      <c r="I174" s="35"/>
    </row>
    <row r="175" spans="1:14" s="36" customFormat="1" ht="36.75" customHeight="1" x14ac:dyDescent="0.3">
      <c r="A175" s="74" t="s">
        <v>208</v>
      </c>
      <c r="B175" s="75"/>
      <c r="C175" s="75"/>
      <c r="D175" s="75"/>
      <c r="E175" s="75"/>
      <c r="F175" s="75"/>
      <c r="G175" s="75"/>
      <c r="H175" s="76"/>
      <c r="I175" s="35"/>
    </row>
    <row r="176" spans="1:14" s="36" customFormat="1" ht="15.75" customHeight="1" x14ac:dyDescent="0.3">
      <c r="A176" s="77">
        <v>1</v>
      </c>
      <c r="B176" s="78"/>
      <c r="C176" s="51" t="s">
        <v>187</v>
      </c>
      <c r="D176" s="53">
        <f>(53.32)*10.764</f>
        <v>573.93647999999996</v>
      </c>
      <c r="E176" s="41">
        <v>0</v>
      </c>
      <c r="F176" s="41">
        <f t="shared" ref="F176:F181" si="5">D176*(($F$152)+1)+(IF(E176&lt;101,E176,IF(E176&lt;201,E176/2,IF(E176&lt;=301,E176/3,E176/4))))</f>
        <v>860.90472</v>
      </c>
      <c r="G176" s="68" t="str">
        <f>A175</f>
        <v>14th to 17th Floor (15th to 18th Floor as per Builder)
19th to 23rd Floor (20th to 24th Floor as per Builder)</v>
      </c>
      <c r="H176" s="69"/>
      <c r="I176" s="35"/>
    </row>
    <row r="177" spans="1:16" s="36" customFormat="1" ht="15.75" customHeight="1" x14ac:dyDescent="0.3">
      <c r="A177" s="77">
        <v>2</v>
      </c>
      <c r="B177" s="78"/>
      <c r="C177" s="51" t="s">
        <v>187</v>
      </c>
      <c r="D177" s="53">
        <f>(53.32)*10.764</f>
        <v>573.93647999999996</v>
      </c>
      <c r="E177" s="41">
        <v>0</v>
      </c>
      <c r="F177" s="41">
        <f t="shared" si="5"/>
        <v>860.90472</v>
      </c>
      <c r="G177" s="70"/>
      <c r="H177" s="71"/>
      <c r="I177" s="35"/>
    </row>
    <row r="178" spans="1:16" s="36" customFormat="1" ht="15.75" customHeight="1" x14ac:dyDescent="0.3">
      <c r="A178" s="77">
        <v>3</v>
      </c>
      <c r="B178" s="78"/>
      <c r="C178" s="51" t="s">
        <v>187</v>
      </c>
      <c r="D178" s="53">
        <f>(53.5)*10.764</f>
        <v>575.87399999999991</v>
      </c>
      <c r="E178" s="41">
        <v>0</v>
      </c>
      <c r="F178" s="41">
        <f t="shared" si="5"/>
        <v>863.81099999999992</v>
      </c>
      <c r="G178" s="70"/>
      <c r="H178" s="71"/>
      <c r="I178" s="35"/>
    </row>
    <row r="179" spans="1:16" s="36" customFormat="1" ht="15.75" customHeight="1" x14ac:dyDescent="0.3">
      <c r="A179" s="77">
        <v>4</v>
      </c>
      <c r="B179" s="78"/>
      <c r="C179" s="51" t="s">
        <v>187</v>
      </c>
      <c r="D179" s="53">
        <f>(53.5)*10.764</f>
        <v>575.87399999999991</v>
      </c>
      <c r="E179" s="41">
        <v>0</v>
      </c>
      <c r="F179" s="41">
        <f t="shared" si="5"/>
        <v>863.81099999999992</v>
      </c>
      <c r="G179" s="70"/>
      <c r="H179" s="71"/>
      <c r="I179" s="35"/>
    </row>
    <row r="180" spans="1:16" s="36" customFormat="1" ht="15.75" customHeight="1" x14ac:dyDescent="0.3">
      <c r="A180" s="77">
        <v>5</v>
      </c>
      <c r="B180" s="78"/>
      <c r="C180" s="51" t="s">
        <v>187</v>
      </c>
      <c r="D180" s="53">
        <f>(53.5)*10.764</f>
        <v>575.87399999999991</v>
      </c>
      <c r="E180" s="41">
        <v>0</v>
      </c>
      <c r="F180" s="41">
        <f t="shared" si="5"/>
        <v>863.81099999999992</v>
      </c>
      <c r="G180" s="70"/>
      <c r="H180" s="71"/>
      <c r="I180" s="35"/>
    </row>
    <row r="181" spans="1:16" s="36" customFormat="1" ht="15.75" customHeight="1" x14ac:dyDescent="0.3">
      <c r="A181" s="77">
        <v>6</v>
      </c>
      <c r="B181" s="78"/>
      <c r="C181" s="51" t="s">
        <v>187</v>
      </c>
      <c r="D181" s="53">
        <f>(53.5)*10.764</f>
        <v>575.87399999999991</v>
      </c>
      <c r="E181" s="41">
        <v>0</v>
      </c>
      <c r="F181" s="41">
        <f t="shared" si="5"/>
        <v>863.81099999999992</v>
      </c>
      <c r="G181" s="72"/>
      <c r="H181" s="73"/>
      <c r="I181" s="35"/>
    </row>
    <row r="182" spans="1:16" s="36" customFormat="1" ht="66" customHeight="1" x14ac:dyDescent="0.3">
      <c r="A182" s="74" t="s">
        <v>209</v>
      </c>
      <c r="B182" s="75"/>
      <c r="C182" s="75"/>
      <c r="D182" s="75"/>
      <c r="E182" s="75"/>
      <c r="F182" s="75"/>
      <c r="G182" s="75"/>
      <c r="H182" s="76"/>
      <c r="I182" s="74"/>
      <c r="J182" s="75"/>
      <c r="K182" s="75"/>
      <c r="L182" s="75"/>
      <c r="M182" s="75"/>
      <c r="N182" s="75"/>
      <c r="O182" s="75"/>
      <c r="P182" s="76"/>
    </row>
    <row r="183" spans="1:16" s="36" customFormat="1" ht="15.75" customHeight="1" x14ac:dyDescent="0.3">
      <c r="A183" s="77">
        <v>1</v>
      </c>
      <c r="B183" s="78"/>
      <c r="C183" s="51" t="s">
        <v>187</v>
      </c>
      <c r="D183" s="53">
        <f>(53.32)*10.764</f>
        <v>573.93647999999996</v>
      </c>
      <c r="E183" s="41">
        <v>0</v>
      </c>
      <c r="F183" s="41">
        <f>D183*(($F$152)+1)+(IF(E183&lt;101,E183,IF(E183&lt;201,E183/2,IF(E183&lt;=301,E183/3,E183/4))))</f>
        <v>860.90472</v>
      </c>
      <c r="G183" s="68" t="str">
        <f>A182</f>
        <v>8th Floor
13th Floor (14th Floor as per Builder)
18th Floor (19th Floor as per Builder)
(Part Refuge Area)</v>
      </c>
      <c r="H183" s="69"/>
      <c r="I183" s="35"/>
    </row>
    <row r="184" spans="1:16" s="36" customFormat="1" ht="15.75" customHeight="1" x14ac:dyDescent="0.3">
      <c r="A184" s="77">
        <v>2</v>
      </c>
      <c r="B184" s="78"/>
      <c r="C184" s="51" t="s">
        <v>187</v>
      </c>
      <c r="D184" s="53">
        <f>(53.32)*10.764</f>
        <v>573.93647999999996</v>
      </c>
      <c r="E184" s="41">
        <v>0</v>
      </c>
      <c r="F184" s="41">
        <f>D184*(($F$152)+1)+(IF(E184&lt;101,E184,IF(E184&lt;201,E184/2,IF(E184&lt;=301,E184/3,E184/4))))</f>
        <v>860.90472</v>
      </c>
      <c r="G184" s="70"/>
      <c r="H184" s="71"/>
      <c r="I184" s="35"/>
    </row>
    <row r="185" spans="1:16" s="36" customFormat="1" ht="15.75" customHeight="1" x14ac:dyDescent="0.3">
      <c r="A185" s="77">
        <v>3</v>
      </c>
      <c r="B185" s="78"/>
      <c r="C185" s="51" t="s">
        <v>187</v>
      </c>
      <c r="D185" s="53">
        <f>(53.5)*10.764</f>
        <v>575.87399999999991</v>
      </c>
      <c r="E185" s="41">
        <v>0</v>
      </c>
      <c r="F185" s="41">
        <f>D185*(($F$152)+1)+(IF(E185&lt;101,E185,IF(E185&lt;201,E185/2,IF(E185&lt;=301,E185/3,E185/4))))</f>
        <v>863.81099999999992</v>
      </c>
      <c r="G185" s="70"/>
      <c r="H185" s="71"/>
      <c r="I185" s="35"/>
    </row>
    <row r="186" spans="1:16" s="36" customFormat="1" ht="15.75" customHeight="1" x14ac:dyDescent="0.3">
      <c r="A186" s="77">
        <v>4</v>
      </c>
      <c r="B186" s="78"/>
      <c r="C186" s="80" t="s">
        <v>190</v>
      </c>
      <c r="D186" s="81"/>
      <c r="E186" s="81"/>
      <c r="F186" s="82"/>
      <c r="G186" s="70"/>
      <c r="H186" s="71"/>
      <c r="I186" s="35"/>
    </row>
    <row r="187" spans="1:16" s="36" customFormat="1" ht="15.75" customHeight="1" x14ac:dyDescent="0.3">
      <c r="A187" s="77">
        <v>5</v>
      </c>
      <c r="B187" s="78"/>
      <c r="C187" s="51" t="s">
        <v>187</v>
      </c>
      <c r="D187" s="53">
        <f>(53.5)*10.764</f>
        <v>575.87399999999991</v>
      </c>
      <c r="E187" s="41">
        <v>0</v>
      </c>
      <c r="F187" s="41">
        <f>D187*(($F$152)+1)+(IF(E187&lt;101,E187,IF(E187&lt;201,E187/2,IF(E187&lt;=301,E187/3,E187/4))))</f>
        <v>863.81099999999992</v>
      </c>
      <c r="G187" s="70"/>
      <c r="H187" s="71"/>
      <c r="I187" s="35"/>
    </row>
    <row r="188" spans="1:16" s="36" customFormat="1" ht="15.75" customHeight="1" x14ac:dyDescent="0.3">
      <c r="A188" s="77">
        <v>6</v>
      </c>
      <c r="B188" s="78"/>
      <c r="C188" s="51" t="s">
        <v>187</v>
      </c>
      <c r="D188" s="53">
        <f>(53.5)*10.764</f>
        <v>575.87399999999991</v>
      </c>
      <c r="E188" s="41">
        <v>0</v>
      </c>
      <c r="F188" s="41">
        <f>D188*(($F$152)+1)+(IF(E188&lt;101,E188,IF(E188&lt;201,E188/2,IF(E188&lt;=301,E188/3,E188/4))))</f>
        <v>863.81099999999992</v>
      </c>
      <c r="G188" s="72"/>
      <c r="H188" s="73"/>
      <c r="I188" s="35"/>
    </row>
    <row r="189" spans="1:16" s="36" customFormat="1" ht="15.75" customHeight="1" x14ac:dyDescent="0.3">
      <c r="A189" s="74" t="s">
        <v>206</v>
      </c>
      <c r="B189" s="75"/>
      <c r="C189" s="75"/>
      <c r="D189" s="75"/>
      <c r="E189" s="75"/>
      <c r="F189" s="75"/>
      <c r="G189" s="75"/>
      <c r="H189" s="76"/>
    </row>
    <row r="190" spans="1:16" s="36" customFormat="1" ht="15.75" customHeight="1" x14ac:dyDescent="0.3">
      <c r="A190" s="74" t="s">
        <v>192</v>
      </c>
      <c r="B190" s="75"/>
      <c r="C190" s="75"/>
      <c r="D190" s="75"/>
      <c r="E190" s="75"/>
      <c r="F190" s="75"/>
      <c r="G190" s="75"/>
      <c r="H190" s="76"/>
      <c r="I190" s="35"/>
      <c r="J190" s="35"/>
      <c r="K190" s="35"/>
    </row>
    <row r="191" spans="1:16" s="36" customFormat="1" ht="15.75" customHeight="1" x14ac:dyDescent="0.3">
      <c r="A191" s="74" t="s">
        <v>186</v>
      </c>
      <c r="B191" s="75"/>
      <c r="C191" s="75"/>
      <c r="D191" s="75"/>
      <c r="E191" s="75"/>
      <c r="F191" s="75"/>
      <c r="G191" s="75"/>
      <c r="H191" s="76"/>
      <c r="I191" s="35"/>
      <c r="J191" s="35"/>
      <c r="K191" s="35"/>
    </row>
    <row r="192" spans="1:16" s="36" customFormat="1" ht="15.75" customHeight="1" x14ac:dyDescent="0.3">
      <c r="A192" s="77">
        <v>1</v>
      </c>
      <c r="B192" s="78"/>
      <c r="C192" s="51" t="s">
        <v>193</v>
      </c>
      <c r="D192" s="53">
        <f>(67.65)*10.764</f>
        <v>728.18460000000005</v>
      </c>
      <c r="E192" s="41">
        <v>0</v>
      </c>
      <c r="F192" s="41">
        <f t="shared" ref="F192:F197" si="6">D192*(($F$152)+1)+(IF(E192&lt;101,E192,IF(E192&lt;201,E192/2,IF(E192&lt;=301,E192/3,E192/4))))</f>
        <v>1092.2769000000001</v>
      </c>
      <c r="G192" s="68" t="str">
        <f>A191</f>
        <v>Ground Floor For Residential &amp; Meter Room</v>
      </c>
      <c r="H192" s="69"/>
      <c r="I192" s="35"/>
      <c r="J192" s="35"/>
      <c r="K192" s="35"/>
      <c r="L192" s="85"/>
      <c r="M192" s="85"/>
      <c r="N192" s="35"/>
    </row>
    <row r="193" spans="1:14" s="36" customFormat="1" ht="15.75" customHeight="1" x14ac:dyDescent="0.3">
      <c r="A193" s="77">
        <f>A192+1</f>
        <v>2</v>
      </c>
      <c r="B193" s="78"/>
      <c r="C193" s="51" t="s">
        <v>193</v>
      </c>
      <c r="D193" s="53">
        <f>(67.65)*10.764</f>
        <v>728.18460000000005</v>
      </c>
      <c r="E193" s="41">
        <v>0</v>
      </c>
      <c r="F193" s="41">
        <f t="shared" si="6"/>
        <v>1092.2769000000001</v>
      </c>
      <c r="G193" s="70"/>
      <c r="H193" s="71"/>
      <c r="I193" s="35"/>
      <c r="J193" s="35"/>
      <c r="K193" s="35"/>
      <c r="L193" s="85"/>
      <c r="M193" s="85"/>
      <c r="N193" s="35"/>
    </row>
    <row r="194" spans="1:14" s="36" customFormat="1" ht="15.75" customHeight="1" x14ac:dyDescent="0.3">
      <c r="A194" s="77">
        <f>A193+1</f>
        <v>3</v>
      </c>
      <c r="B194" s="78"/>
      <c r="C194" s="51" t="s">
        <v>187</v>
      </c>
      <c r="D194" s="53">
        <f>(61.23)*10.764</f>
        <v>659.07971999999995</v>
      </c>
      <c r="E194" s="41">
        <v>0</v>
      </c>
      <c r="F194" s="41">
        <f t="shared" si="6"/>
        <v>988.61957999999993</v>
      </c>
      <c r="G194" s="70"/>
      <c r="H194" s="71"/>
      <c r="I194" s="35"/>
      <c r="J194" s="35"/>
      <c r="K194" s="35"/>
      <c r="L194" s="85"/>
      <c r="M194" s="85"/>
      <c r="N194" s="35"/>
    </row>
    <row r="195" spans="1:14" s="36" customFormat="1" ht="15.75" customHeight="1" x14ac:dyDescent="0.3">
      <c r="A195" s="77">
        <f>A194+1</f>
        <v>4</v>
      </c>
      <c r="B195" s="78"/>
      <c r="C195" s="51" t="s">
        <v>187</v>
      </c>
      <c r="D195" s="53">
        <f>(61.27)*10.764</f>
        <v>659.51027999999997</v>
      </c>
      <c r="E195" s="41">
        <v>0</v>
      </c>
      <c r="F195" s="41">
        <f t="shared" si="6"/>
        <v>989.26541999999995</v>
      </c>
      <c r="G195" s="70"/>
      <c r="H195" s="71"/>
      <c r="I195" s="35"/>
      <c r="J195" s="35"/>
      <c r="K195" s="35"/>
      <c r="L195" s="85"/>
      <c r="M195" s="85"/>
      <c r="N195" s="35"/>
    </row>
    <row r="196" spans="1:14" s="36" customFormat="1" ht="15.75" customHeight="1" x14ac:dyDescent="0.3">
      <c r="A196" s="77">
        <f>A195+1</f>
        <v>5</v>
      </c>
      <c r="B196" s="78"/>
      <c r="C196" s="51" t="s">
        <v>188</v>
      </c>
      <c r="D196" s="53">
        <f>(52.35)*10.764</f>
        <v>563.49540000000002</v>
      </c>
      <c r="E196" s="41">
        <v>0</v>
      </c>
      <c r="F196" s="41">
        <f t="shared" si="6"/>
        <v>845.24310000000003</v>
      </c>
      <c r="G196" s="70"/>
      <c r="H196" s="71"/>
      <c r="I196" s="35"/>
      <c r="L196" s="85"/>
      <c r="M196" s="85"/>
      <c r="N196" s="35"/>
    </row>
    <row r="197" spans="1:14" s="36" customFormat="1" ht="15.75" customHeight="1" x14ac:dyDescent="0.3">
      <c r="A197" s="77">
        <f>A196+1</f>
        <v>6</v>
      </c>
      <c r="B197" s="78"/>
      <c r="C197" s="51" t="s">
        <v>193</v>
      </c>
      <c r="D197" s="53">
        <f>(67.37)*10.764</f>
        <v>725.17068000000006</v>
      </c>
      <c r="E197" s="41">
        <v>0</v>
      </c>
      <c r="F197" s="41">
        <f t="shared" si="6"/>
        <v>1087.75602</v>
      </c>
      <c r="G197" s="72"/>
      <c r="H197" s="73"/>
      <c r="I197" s="35"/>
      <c r="L197" s="85"/>
      <c r="M197" s="85"/>
      <c r="N197" s="35"/>
    </row>
    <row r="198" spans="1:14" s="36" customFormat="1" ht="15.75" customHeight="1" x14ac:dyDescent="0.3">
      <c r="A198" s="79" t="s">
        <v>210</v>
      </c>
      <c r="B198" s="79"/>
      <c r="C198" s="79"/>
      <c r="D198" s="79"/>
      <c r="E198" s="79"/>
      <c r="F198" s="79"/>
      <c r="G198" s="79"/>
      <c r="H198" s="79"/>
      <c r="I198" s="35"/>
      <c r="J198" s="35"/>
      <c r="K198" s="35"/>
    </row>
    <row r="199" spans="1:14" s="36" customFormat="1" ht="15.75" customHeight="1" x14ac:dyDescent="0.3">
      <c r="A199" s="67">
        <v>1</v>
      </c>
      <c r="B199" s="67"/>
      <c r="C199" s="51" t="s">
        <v>193</v>
      </c>
      <c r="D199" s="53">
        <f>(71.12)*10.764</f>
        <v>765.53567999999996</v>
      </c>
      <c r="E199" s="41">
        <v>0</v>
      </c>
      <c r="F199" s="41">
        <f t="shared" ref="F199:F204" si="7">D199*(($F$152)+1)+(IF(E199&lt;101,E199,IF(E199&lt;201,E199/2,IF(E199&lt;=301,E199/3,E199/4))))</f>
        <v>1148.3035199999999</v>
      </c>
      <c r="G199" s="67" t="str">
        <f>A198</f>
        <v>1st to 7th, 9th to 12th Floor</v>
      </c>
      <c r="H199" s="67"/>
      <c r="I199" s="35"/>
      <c r="J199" s="35">
        <f>7800000/F199</f>
        <v>6792.6291822217881</v>
      </c>
      <c r="K199" s="35"/>
      <c r="L199" s="85"/>
      <c r="M199" s="85"/>
      <c r="N199" s="35"/>
    </row>
    <row r="200" spans="1:14" s="36" customFormat="1" ht="15.75" customHeight="1" x14ac:dyDescent="0.3">
      <c r="A200" s="67">
        <f>A199+1</f>
        <v>2</v>
      </c>
      <c r="B200" s="67"/>
      <c r="C200" s="51" t="s">
        <v>193</v>
      </c>
      <c r="D200" s="53">
        <f>(71.12)*10.764</f>
        <v>765.53567999999996</v>
      </c>
      <c r="E200" s="41">
        <v>0</v>
      </c>
      <c r="F200" s="41">
        <f t="shared" si="7"/>
        <v>1148.3035199999999</v>
      </c>
      <c r="G200" s="67"/>
      <c r="H200" s="67"/>
      <c r="I200" s="35"/>
      <c r="J200" s="35"/>
      <c r="K200" s="35"/>
      <c r="L200" s="85"/>
      <c r="M200" s="85"/>
      <c r="N200" s="35"/>
    </row>
    <row r="201" spans="1:14" s="36" customFormat="1" ht="15.75" customHeight="1" x14ac:dyDescent="0.3">
      <c r="A201" s="67">
        <f>A200+1</f>
        <v>3</v>
      </c>
      <c r="B201" s="67"/>
      <c r="C201" s="51" t="s">
        <v>193</v>
      </c>
      <c r="D201" s="53">
        <f>(71.12)*10.764</f>
        <v>765.53567999999996</v>
      </c>
      <c r="E201" s="41">
        <v>0</v>
      </c>
      <c r="F201" s="41">
        <f t="shared" si="7"/>
        <v>1148.3035199999999</v>
      </c>
      <c r="G201" s="67"/>
      <c r="H201" s="67"/>
      <c r="I201" s="35"/>
      <c r="J201" s="35"/>
      <c r="K201" s="35"/>
      <c r="L201" s="85"/>
      <c r="M201" s="85"/>
      <c r="N201" s="35"/>
    </row>
    <row r="202" spans="1:14" s="36" customFormat="1" ht="15.75" customHeight="1" x14ac:dyDescent="0.3">
      <c r="A202" s="67">
        <f>A201+1</f>
        <v>4</v>
      </c>
      <c r="B202" s="67"/>
      <c r="C202" s="51" t="s">
        <v>193</v>
      </c>
      <c r="D202" s="53">
        <f>(71.06)*10.764</f>
        <v>764.88983999999994</v>
      </c>
      <c r="E202" s="41">
        <v>0</v>
      </c>
      <c r="F202" s="41">
        <f t="shared" si="7"/>
        <v>1147.33476</v>
      </c>
      <c r="G202" s="67"/>
      <c r="H202" s="67"/>
      <c r="I202" s="35"/>
      <c r="J202" s="35"/>
      <c r="K202" s="35"/>
      <c r="L202" s="85"/>
      <c r="M202" s="85"/>
      <c r="N202" s="35"/>
    </row>
    <row r="203" spans="1:14" s="36" customFormat="1" ht="15.75" customHeight="1" x14ac:dyDescent="0.3">
      <c r="A203" s="67">
        <f>A202+1</f>
        <v>5</v>
      </c>
      <c r="B203" s="67"/>
      <c r="C203" s="51" t="s">
        <v>193</v>
      </c>
      <c r="D203" s="53">
        <f>(71.06)*10.764</f>
        <v>764.88983999999994</v>
      </c>
      <c r="E203" s="41">
        <v>0</v>
      </c>
      <c r="F203" s="41">
        <f t="shared" si="7"/>
        <v>1147.33476</v>
      </c>
      <c r="G203" s="67"/>
      <c r="H203" s="67"/>
      <c r="I203" s="35"/>
      <c r="L203" s="85"/>
      <c r="M203" s="85"/>
      <c r="N203" s="35"/>
    </row>
    <row r="204" spans="1:14" s="36" customFormat="1" ht="15.75" customHeight="1" x14ac:dyDescent="0.3">
      <c r="A204" s="67">
        <f>A203+1</f>
        <v>6</v>
      </c>
      <c r="B204" s="67"/>
      <c r="C204" s="51" t="s">
        <v>193</v>
      </c>
      <c r="D204" s="53">
        <f>(71.12)*10.764</f>
        <v>765.53567999999996</v>
      </c>
      <c r="E204" s="41">
        <v>0</v>
      </c>
      <c r="F204" s="41">
        <f t="shared" si="7"/>
        <v>1148.3035199999999</v>
      </c>
      <c r="G204" s="67"/>
      <c r="H204" s="67"/>
      <c r="I204" s="35"/>
      <c r="L204" s="85"/>
      <c r="M204" s="85"/>
      <c r="N204" s="35"/>
    </row>
    <row r="205" spans="1:14" s="36" customFormat="1" ht="36" customHeight="1" x14ac:dyDescent="0.3">
      <c r="A205" s="79" t="s">
        <v>208</v>
      </c>
      <c r="B205" s="79"/>
      <c r="C205" s="79"/>
      <c r="D205" s="79"/>
      <c r="E205" s="79"/>
      <c r="F205" s="79"/>
      <c r="G205" s="79"/>
      <c r="H205" s="79"/>
      <c r="I205" s="35"/>
      <c r="J205" s="35"/>
      <c r="K205" s="35"/>
    </row>
    <row r="206" spans="1:14" s="36" customFormat="1" ht="15.75" customHeight="1" x14ac:dyDescent="0.3">
      <c r="A206" s="77">
        <v>1</v>
      </c>
      <c r="B206" s="78"/>
      <c r="C206" s="51" t="s">
        <v>193</v>
      </c>
      <c r="D206" s="53">
        <f>(71.12)*10.764</f>
        <v>765.53567999999996</v>
      </c>
      <c r="E206" s="41">
        <v>0</v>
      </c>
      <c r="F206" s="41">
        <f t="shared" ref="F206:F211" si="8">D206*(($F$152)+1)+(IF(E206&lt;101,E206,IF(E206&lt;201,E206/2,IF(E206&lt;=301,E206/3,E206/4))))</f>
        <v>1148.3035199999999</v>
      </c>
      <c r="G206" s="68" t="str">
        <f>A205</f>
        <v>14th to 17th Floor (15th to 18th Floor as per Builder)
19th to 23rd Floor (20th to 24th Floor as per Builder)</v>
      </c>
      <c r="H206" s="69"/>
      <c r="I206" s="35"/>
      <c r="J206" s="35"/>
      <c r="K206" s="35"/>
      <c r="L206" s="85"/>
      <c r="M206" s="85"/>
      <c r="N206" s="35"/>
    </row>
    <row r="207" spans="1:14" s="36" customFormat="1" ht="15.75" customHeight="1" x14ac:dyDescent="0.3">
      <c r="A207" s="77">
        <f>A206+1</f>
        <v>2</v>
      </c>
      <c r="B207" s="78"/>
      <c r="C207" s="51" t="s">
        <v>193</v>
      </c>
      <c r="D207" s="53">
        <f>(71.12)*10.764</f>
        <v>765.53567999999996</v>
      </c>
      <c r="E207" s="41">
        <v>0</v>
      </c>
      <c r="F207" s="41">
        <f t="shared" si="8"/>
        <v>1148.3035199999999</v>
      </c>
      <c r="G207" s="70"/>
      <c r="H207" s="71"/>
      <c r="I207" s="35"/>
      <c r="J207" s="35"/>
      <c r="K207" s="35"/>
      <c r="L207" s="85"/>
      <c r="M207" s="85"/>
      <c r="N207" s="35"/>
    </row>
    <row r="208" spans="1:14" s="36" customFormat="1" ht="15.75" customHeight="1" x14ac:dyDescent="0.3">
      <c r="A208" s="77">
        <f>A207+1</f>
        <v>3</v>
      </c>
      <c r="B208" s="78"/>
      <c r="C208" s="51" t="s">
        <v>193</v>
      </c>
      <c r="D208" s="53">
        <f>(71.12)*10.764</f>
        <v>765.53567999999996</v>
      </c>
      <c r="E208" s="41">
        <v>0</v>
      </c>
      <c r="F208" s="41">
        <f t="shared" si="8"/>
        <v>1148.3035199999999</v>
      </c>
      <c r="G208" s="70"/>
      <c r="H208" s="71"/>
      <c r="I208" s="35"/>
      <c r="J208" s="35"/>
      <c r="K208" s="35"/>
      <c r="L208" s="85"/>
      <c r="M208" s="85"/>
      <c r="N208" s="35"/>
    </row>
    <row r="209" spans="1:14" s="36" customFormat="1" ht="15.75" customHeight="1" x14ac:dyDescent="0.3">
      <c r="A209" s="77">
        <f>A208+1</f>
        <v>4</v>
      </c>
      <c r="B209" s="78"/>
      <c r="C209" s="51" t="s">
        <v>193</v>
      </c>
      <c r="D209" s="53">
        <f>(71.06)*10.764</f>
        <v>764.88983999999994</v>
      </c>
      <c r="E209" s="41">
        <v>0</v>
      </c>
      <c r="F209" s="41">
        <f t="shared" si="8"/>
        <v>1147.33476</v>
      </c>
      <c r="G209" s="70"/>
      <c r="H209" s="71"/>
      <c r="I209" s="35"/>
      <c r="J209" s="35"/>
      <c r="K209" s="35"/>
      <c r="L209" s="85"/>
      <c r="M209" s="85"/>
      <c r="N209" s="35"/>
    </row>
    <row r="210" spans="1:14" s="36" customFormat="1" ht="15.75" customHeight="1" x14ac:dyDescent="0.3">
      <c r="A210" s="77">
        <f>A209+1</f>
        <v>5</v>
      </c>
      <c r="B210" s="78"/>
      <c r="C210" s="51" t="s">
        <v>193</v>
      </c>
      <c r="D210" s="53">
        <f>(71.06)*10.764</f>
        <v>764.88983999999994</v>
      </c>
      <c r="E210" s="41">
        <v>0</v>
      </c>
      <c r="F210" s="41">
        <f t="shared" si="8"/>
        <v>1147.33476</v>
      </c>
      <c r="G210" s="70"/>
      <c r="H210" s="71"/>
      <c r="I210" s="35"/>
      <c r="L210" s="85"/>
      <c r="M210" s="85"/>
      <c r="N210" s="35"/>
    </row>
    <row r="211" spans="1:14" s="36" customFormat="1" ht="15.75" customHeight="1" x14ac:dyDescent="0.3">
      <c r="A211" s="77">
        <f>A210+1</f>
        <v>6</v>
      </c>
      <c r="B211" s="78"/>
      <c r="C211" s="51" t="s">
        <v>193</v>
      </c>
      <c r="D211" s="53">
        <f>(71.12)*10.764</f>
        <v>765.53567999999996</v>
      </c>
      <c r="E211" s="41">
        <v>0</v>
      </c>
      <c r="F211" s="41">
        <f t="shared" si="8"/>
        <v>1148.3035199999999</v>
      </c>
      <c r="G211" s="72"/>
      <c r="H211" s="73"/>
      <c r="I211" s="35"/>
      <c r="L211" s="85"/>
      <c r="M211" s="85"/>
      <c r="N211" s="35"/>
    </row>
    <row r="212" spans="1:14" s="36" customFormat="1" ht="67.5" customHeight="1" x14ac:dyDescent="0.3">
      <c r="A212" s="74" t="s">
        <v>209</v>
      </c>
      <c r="B212" s="75"/>
      <c r="C212" s="75"/>
      <c r="D212" s="75"/>
      <c r="E212" s="75"/>
      <c r="F212" s="75"/>
      <c r="G212" s="75"/>
      <c r="H212" s="76"/>
      <c r="I212" s="35"/>
      <c r="J212" s="35"/>
      <c r="K212" s="35"/>
    </row>
    <row r="213" spans="1:14" s="36" customFormat="1" ht="15.75" customHeight="1" x14ac:dyDescent="0.3">
      <c r="A213" s="77">
        <v>1</v>
      </c>
      <c r="B213" s="78"/>
      <c r="C213" s="51" t="s">
        <v>193</v>
      </c>
      <c r="D213" s="53">
        <f>(71.12)*10.764</f>
        <v>765.53567999999996</v>
      </c>
      <c r="E213" s="41">
        <v>0</v>
      </c>
      <c r="F213" s="41">
        <f>D213*(($F$152)+1)+(IF(E213&lt;101,E213,IF(E213&lt;201,E213/2,IF(E213&lt;=301,E213/3,E213/4))))</f>
        <v>1148.3035199999999</v>
      </c>
      <c r="G213" s="68" t="str">
        <f>A212</f>
        <v>8th Floor
13th Floor (14th Floor as per Builder)
18th Floor (19th Floor as per Builder)
(Part Refuge Area)</v>
      </c>
      <c r="H213" s="69"/>
      <c r="I213" s="35"/>
      <c r="J213" s="35"/>
      <c r="K213" s="35"/>
      <c r="L213" s="85"/>
      <c r="M213" s="85"/>
      <c r="N213" s="35"/>
    </row>
    <row r="214" spans="1:14" s="36" customFormat="1" ht="15.75" customHeight="1" x14ac:dyDescent="0.3">
      <c r="A214" s="77">
        <f>A213+1</f>
        <v>2</v>
      </c>
      <c r="B214" s="78"/>
      <c r="C214" s="51" t="s">
        <v>193</v>
      </c>
      <c r="D214" s="53">
        <f>(71.12)*10.764</f>
        <v>765.53567999999996</v>
      </c>
      <c r="E214" s="41">
        <v>0</v>
      </c>
      <c r="F214" s="41">
        <f>D214*(($F$152)+1)+(IF(E214&lt;101,E214,IF(E214&lt;201,E214/2,IF(E214&lt;=301,E214/3,E214/4))))</f>
        <v>1148.3035199999999</v>
      </c>
      <c r="G214" s="70"/>
      <c r="H214" s="71"/>
      <c r="I214" s="35"/>
      <c r="J214" s="35"/>
      <c r="K214" s="35"/>
      <c r="L214" s="85"/>
      <c r="M214" s="85"/>
      <c r="N214" s="35"/>
    </row>
    <row r="215" spans="1:14" s="36" customFormat="1" ht="15.75" customHeight="1" x14ac:dyDescent="0.3">
      <c r="A215" s="77">
        <f>A214+1</f>
        <v>3</v>
      </c>
      <c r="B215" s="78"/>
      <c r="C215" s="51" t="s">
        <v>193</v>
      </c>
      <c r="D215" s="53">
        <f>(71.12)*10.764</f>
        <v>765.53567999999996</v>
      </c>
      <c r="E215" s="41">
        <v>0</v>
      </c>
      <c r="F215" s="41">
        <f>D215*(($F$152)+1)+(IF(E215&lt;101,E215,IF(E215&lt;201,E215/2,IF(E215&lt;=301,E215/3,E215/4))))</f>
        <v>1148.3035199999999</v>
      </c>
      <c r="G215" s="70"/>
      <c r="H215" s="71"/>
      <c r="I215" s="35"/>
      <c r="J215" s="35"/>
      <c r="K215" s="35"/>
      <c r="L215" s="85"/>
      <c r="M215" s="85"/>
      <c r="N215" s="35"/>
    </row>
    <row r="216" spans="1:14" s="36" customFormat="1" ht="15.75" customHeight="1" x14ac:dyDescent="0.3">
      <c r="A216" s="77">
        <f>A215+1</f>
        <v>4</v>
      </c>
      <c r="B216" s="78"/>
      <c r="C216" s="80" t="s">
        <v>190</v>
      </c>
      <c r="D216" s="81"/>
      <c r="E216" s="81"/>
      <c r="F216" s="82"/>
      <c r="G216" s="70"/>
      <c r="H216" s="71"/>
      <c r="I216" s="35"/>
      <c r="J216" s="35"/>
      <c r="K216" s="35"/>
      <c r="L216" s="85"/>
      <c r="M216" s="85"/>
      <c r="N216" s="35"/>
    </row>
    <row r="217" spans="1:14" s="36" customFormat="1" ht="15.75" customHeight="1" x14ac:dyDescent="0.3">
      <c r="A217" s="77">
        <f>A216+1</f>
        <v>5</v>
      </c>
      <c r="B217" s="78"/>
      <c r="C217" s="51" t="s">
        <v>193</v>
      </c>
      <c r="D217" s="53">
        <f>(71.06)*10.764</f>
        <v>764.88983999999994</v>
      </c>
      <c r="E217" s="41">
        <v>0</v>
      </c>
      <c r="F217" s="41">
        <f>D217*(($F$152)+1)+(IF(E217&lt;101,E217,IF(E217&lt;201,E217/2,IF(E217&lt;=301,E217/3,E217/4))))</f>
        <v>1147.33476</v>
      </c>
      <c r="G217" s="70"/>
      <c r="H217" s="71"/>
      <c r="I217" s="35"/>
      <c r="L217" s="85"/>
      <c r="M217" s="85"/>
      <c r="N217" s="35"/>
    </row>
    <row r="218" spans="1:14" s="36" customFormat="1" ht="15.75" customHeight="1" x14ac:dyDescent="0.3">
      <c r="A218" s="77">
        <f>A217+1</f>
        <v>6</v>
      </c>
      <c r="B218" s="78"/>
      <c r="C218" s="51" t="s">
        <v>193</v>
      </c>
      <c r="D218" s="53">
        <f>(71.12)*10.764</f>
        <v>765.53567999999996</v>
      </c>
      <c r="E218" s="41">
        <v>0</v>
      </c>
      <c r="F218" s="41">
        <f>D218*(($F$152)+1)+(IF(E218&lt;101,E218,IF(E218&lt;201,E218/2,IF(E218&lt;=301,E218/3,E218/4))))</f>
        <v>1148.3035199999999</v>
      </c>
      <c r="G218" s="72"/>
      <c r="H218" s="73"/>
      <c r="I218" s="35"/>
      <c r="L218" s="85"/>
      <c r="M218" s="85"/>
      <c r="N218" s="35"/>
    </row>
    <row r="219" spans="1:14" s="36" customFormat="1" ht="15.75" customHeight="1" x14ac:dyDescent="0.3">
      <c r="A219" s="74" t="s">
        <v>206</v>
      </c>
      <c r="B219" s="75"/>
      <c r="C219" s="75"/>
      <c r="D219" s="75"/>
      <c r="E219" s="75"/>
      <c r="F219" s="75"/>
      <c r="G219" s="75"/>
      <c r="H219" s="76"/>
    </row>
    <row r="220" spans="1:14" s="36" customFormat="1" ht="15.75" customHeight="1" x14ac:dyDescent="0.3">
      <c r="A220" s="74" t="s">
        <v>194</v>
      </c>
      <c r="B220" s="75"/>
      <c r="C220" s="75"/>
      <c r="D220" s="75"/>
      <c r="E220" s="75"/>
      <c r="F220" s="75"/>
      <c r="G220" s="75"/>
      <c r="H220" s="76"/>
      <c r="I220" s="35"/>
      <c r="J220" s="35"/>
      <c r="K220" s="35"/>
    </row>
    <row r="221" spans="1:14" s="36" customFormat="1" ht="15.75" customHeight="1" x14ac:dyDescent="0.3">
      <c r="A221" s="74" t="s">
        <v>186</v>
      </c>
      <c r="B221" s="75"/>
      <c r="C221" s="75"/>
      <c r="D221" s="75"/>
      <c r="E221" s="75"/>
      <c r="F221" s="75"/>
      <c r="G221" s="75"/>
      <c r="H221" s="76"/>
      <c r="I221" s="35"/>
      <c r="J221" s="35"/>
      <c r="K221" s="35"/>
    </row>
    <row r="222" spans="1:14" s="36" customFormat="1" ht="15.75" customHeight="1" x14ac:dyDescent="0.3">
      <c r="A222" s="77">
        <v>1</v>
      </c>
      <c r="B222" s="78"/>
      <c r="C222" s="51" t="s">
        <v>188</v>
      </c>
      <c r="D222" s="53">
        <f>(49.48)*10.764</f>
        <v>532.60271999999998</v>
      </c>
      <c r="E222" s="41">
        <v>0</v>
      </c>
      <c r="F222" s="41">
        <f t="shared" ref="F222:F227" si="9">D222*(($F$152)+1)+(IF(E222&lt;101,E222,IF(E222&lt;201,E222/2,IF(E222&lt;=301,E222/3,E222/4))))</f>
        <v>798.90408000000002</v>
      </c>
      <c r="G222" s="68" t="str">
        <f>A221</f>
        <v>Ground Floor For Residential &amp; Meter Room</v>
      </c>
      <c r="H222" s="69"/>
      <c r="I222" s="35"/>
      <c r="J222" s="35"/>
      <c r="K222" s="35"/>
      <c r="L222" s="85"/>
      <c r="M222" s="85"/>
      <c r="N222" s="35"/>
    </row>
    <row r="223" spans="1:14" s="36" customFormat="1" ht="15.75" customHeight="1" x14ac:dyDescent="0.3">
      <c r="A223" s="77">
        <f>A222+1</f>
        <v>2</v>
      </c>
      <c r="B223" s="78"/>
      <c r="C223" s="51" t="s">
        <v>187</v>
      </c>
      <c r="D223" s="53">
        <f>(58.47)*10.764</f>
        <v>629.37108000000001</v>
      </c>
      <c r="E223" s="41">
        <v>0</v>
      </c>
      <c r="F223" s="41">
        <f t="shared" si="9"/>
        <v>944.05662000000007</v>
      </c>
      <c r="G223" s="70"/>
      <c r="H223" s="71"/>
      <c r="I223" s="35"/>
      <c r="J223" s="35"/>
      <c r="K223" s="35"/>
      <c r="L223" s="85"/>
      <c r="M223" s="85"/>
      <c r="N223" s="35"/>
    </row>
    <row r="224" spans="1:14" s="36" customFormat="1" ht="15.75" customHeight="1" x14ac:dyDescent="0.3">
      <c r="A224" s="77">
        <f>A223+1</f>
        <v>3</v>
      </c>
      <c r="B224" s="78"/>
      <c r="C224" s="51" t="s">
        <v>187</v>
      </c>
      <c r="D224" s="53">
        <f>(55.77)*10.764</f>
        <v>600.30827999999997</v>
      </c>
      <c r="E224" s="41">
        <v>0</v>
      </c>
      <c r="F224" s="41">
        <f t="shared" si="9"/>
        <v>900.46241999999995</v>
      </c>
      <c r="G224" s="70"/>
      <c r="H224" s="71"/>
      <c r="I224" s="35"/>
      <c r="J224" s="35"/>
      <c r="K224" s="35"/>
      <c r="L224" s="85"/>
      <c r="M224" s="85"/>
      <c r="N224" s="35"/>
    </row>
    <row r="225" spans="1:14" s="36" customFormat="1" ht="15.75" customHeight="1" x14ac:dyDescent="0.3">
      <c r="A225" s="77">
        <f>A224+1</f>
        <v>4</v>
      </c>
      <c r="B225" s="78"/>
      <c r="C225" s="51" t="s">
        <v>188</v>
      </c>
      <c r="D225" s="53">
        <f>(58.01)*10.764</f>
        <v>624.41963999999996</v>
      </c>
      <c r="E225" s="41">
        <v>0</v>
      </c>
      <c r="F225" s="41">
        <f t="shared" si="9"/>
        <v>936.62945999999988</v>
      </c>
      <c r="G225" s="70"/>
      <c r="H225" s="71"/>
      <c r="I225" s="35"/>
      <c r="J225" s="35"/>
      <c r="K225" s="35"/>
      <c r="L225" s="85"/>
      <c r="M225" s="85"/>
      <c r="N225" s="35"/>
    </row>
    <row r="226" spans="1:14" s="36" customFormat="1" ht="15.75" customHeight="1" x14ac:dyDescent="0.3">
      <c r="A226" s="77">
        <v>6</v>
      </c>
      <c r="B226" s="78"/>
      <c r="C226" s="51" t="s">
        <v>187</v>
      </c>
      <c r="D226" s="53">
        <f>(58.01)*10.764</f>
        <v>624.41963999999996</v>
      </c>
      <c r="E226" s="41">
        <v>0</v>
      </c>
      <c r="F226" s="41">
        <f t="shared" si="9"/>
        <v>936.62945999999988</v>
      </c>
      <c r="G226" s="70"/>
      <c r="H226" s="71"/>
      <c r="I226" s="35"/>
      <c r="L226" s="85"/>
      <c r="M226" s="85"/>
      <c r="N226" s="35"/>
    </row>
    <row r="227" spans="1:14" s="36" customFormat="1" ht="15.75" customHeight="1" x14ac:dyDescent="0.3">
      <c r="A227" s="77">
        <f>A226+1</f>
        <v>7</v>
      </c>
      <c r="B227" s="78"/>
      <c r="C227" s="51" t="s">
        <v>187</v>
      </c>
      <c r="D227" s="53">
        <f>(55.77)*10.764</f>
        <v>600.30827999999997</v>
      </c>
      <c r="E227" s="41">
        <v>0</v>
      </c>
      <c r="F227" s="41">
        <f t="shared" si="9"/>
        <v>900.46241999999995</v>
      </c>
      <c r="G227" s="72"/>
      <c r="H227" s="73"/>
      <c r="I227" s="35"/>
      <c r="L227" s="85"/>
      <c r="M227" s="85"/>
      <c r="N227" s="35"/>
    </row>
    <row r="228" spans="1:14" s="36" customFormat="1" ht="15.75" customHeight="1" x14ac:dyDescent="0.3">
      <c r="A228" s="74" t="s">
        <v>210</v>
      </c>
      <c r="B228" s="75"/>
      <c r="C228" s="75"/>
      <c r="D228" s="75"/>
      <c r="E228" s="75"/>
      <c r="F228" s="75"/>
      <c r="G228" s="75"/>
      <c r="H228" s="76"/>
      <c r="I228" s="35"/>
      <c r="J228" s="35"/>
      <c r="K228" s="35"/>
    </row>
    <row r="229" spans="1:14" s="36" customFormat="1" ht="15.75" customHeight="1" x14ac:dyDescent="0.3">
      <c r="A229" s="77">
        <v>1</v>
      </c>
      <c r="B229" s="78"/>
      <c r="C229" s="51" t="s">
        <v>187</v>
      </c>
      <c r="D229" s="53">
        <f>(62.25)*10.764</f>
        <v>670.05899999999997</v>
      </c>
      <c r="E229" s="41">
        <v>0</v>
      </c>
      <c r="F229" s="41">
        <f t="shared" ref="F229:F235" si="10">D229*(($F$152)+1)+(IF(E229&lt;101,E229,IF(E229&lt;201,E229/2,IF(E229&lt;=301,E229/3,E229/4))))</f>
        <v>1005.0885</v>
      </c>
      <c r="G229" s="68" t="str">
        <f>A228</f>
        <v>1st to 7th, 9th to 12th Floor</v>
      </c>
      <c r="H229" s="69"/>
      <c r="I229" s="35"/>
      <c r="J229" s="35"/>
      <c r="K229" s="35"/>
      <c r="L229" s="85"/>
      <c r="M229" s="85"/>
      <c r="N229" s="35"/>
    </row>
    <row r="230" spans="1:14" s="36" customFormat="1" ht="15.75" customHeight="1" x14ac:dyDescent="0.3">
      <c r="A230" s="77">
        <f t="shared" ref="A230:A235" si="11">A229+1</f>
        <v>2</v>
      </c>
      <c r="B230" s="78"/>
      <c r="C230" s="51" t="s">
        <v>187</v>
      </c>
      <c r="D230" s="53">
        <f>(62.25)*10.764</f>
        <v>670.05899999999997</v>
      </c>
      <c r="E230" s="41">
        <v>0</v>
      </c>
      <c r="F230" s="41">
        <f t="shared" si="10"/>
        <v>1005.0885</v>
      </c>
      <c r="G230" s="70"/>
      <c r="H230" s="71"/>
      <c r="I230" s="35"/>
      <c r="J230" s="35"/>
      <c r="K230" s="35"/>
      <c r="L230" s="85"/>
      <c r="M230" s="85"/>
      <c r="N230" s="35"/>
    </row>
    <row r="231" spans="1:14" s="36" customFormat="1" ht="15.75" customHeight="1" x14ac:dyDescent="0.3">
      <c r="A231" s="77">
        <f t="shared" si="11"/>
        <v>3</v>
      </c>
      <c r="B231" s="78"/>
      <c r="C231" s="51" t="s">
        <v>187</v>
      </c>
      <c r="D231" s="53">
        <f>(61.4)*10.764</f>
        <v>660.90959999999995</v>
      </c>
      <c r="E231" s="41">
        <v>0</v>
      </c>
      <c r="F231" s="41">
        <f t="shared" si="10"/>
        <v>991.36439999999993</v>
      </c>
      <c r="G231" s="70"/>
      <c r="H231" s="71"/>
      <c r="I231" s="35"/>
      <c r="J231" s="35"/>
      <c r="K231" s="35"/>
      <c r="L231" s="85"/>
      <c r="M231" s="85"/>
      <c r="N231" s="35"/>
    </row>
    <row r="232" spans="1:14" s="36" customFormat="1" ht="15.75" customHeight="1" x14ac:dyDescent="0.3">
      <c r="A232" s="77">
        <f t="shared" si="11"/>
        <v>4</v>
      </c>
      <c r="B232" s="78"/>
      <c r="C232" s="51" t="s">
        <v>187</v>
      </c>
      <c r="D232" s="53">
        <f>(61.42)*10.764</f>
        <v>661.12487999999996</v>
      </c>
      <c r="E232" s="41">
        <v>0</v>
      </c>
      <c r="F232" s="41">
        <f t="shared" si="10"/>
        <v>991.68732</v>
      </c>
      <c r="G232" s="70"/>
      <c r="H232" s="71"/>
      <c r="I232" s="35"/>
      <c r="J232" s="35"/>
      <c r="K232" s="35"/>
      <c r="L232" s="85"/>
      <c r="M232" s="85"/>
      <c r="N232" s="35"/>
    </row>
    <row r="233" spans="1:14" s="36" customFormat="1" ht="15.75" customHeight="1" x14ac:dyDescent="0.3">
      <c r="A233" s="77">
        <f t="shared" si="11"/>
        <v>5</v>
      </c>
      <c r="B233" s="78"/>
      <c r="C233" s="51" t="s">
        <v>187</v>
      </c>
      <c r="D233" s="53">
        <f>(61.42)*10.764</f>
        <v>661.12487999999996</v>
      </c>
      <c r="E233" s="41">
        <v>0</v>
      </c>
      <c r="F233" s="41">
        <f t="shared" si="10"/>
        <v>991.68732</v>
      </c>
      <c r="G233" s="70"/>
      <c r="H233" s="71"/>
      <c r="I233" s="35"/>
      <c r="L233" s="85"/>
      <c r="M233" s="85"/>
      <c r="N233" s="35"/>
    </row>
    <row r="234" spans="1:14" s="36" customFormat="1" ht="15.75" customHeight="1" x14ac:dyDescent="0.3">
      <c r="A234" s="77">
        <f t="shared" si="11"/>
        <v>6</v>
      </c>
      <c r="B234" s="78"/>
      <c r="C234" s="51" t="s">
        <v>187</v>
      </c>
      <c r="D234" s="53">
        <f>(61.42)*10.764</f>
        <v>661.12487999999996</v>
      </c>
      <c r="E234" s="41">
        <v>0</v>
      </c>
      <c r="F234" s="41">
        <f t="shared" si="10"/>
        <v>991.68732</v>
      </c>
      <c r="G234" s="70"/>
      <c r="H234" s="71"/>
      <c r="I234" s="35"/>
      <c r="L234" s="85"/>
      <c r="M234" s="85"/>
      <c r="N234" s="35"/>
    </row>
    <row r="235" spans="1:14" s="36" customFormat="1" ht="15.75" customHeight="1" x14ac:dyDescent="0.3">
      <c r="A235" s="77">
        <f t="shared" si="11"/>
        <v>7</v>
      </c>
      <c r="B235" s="78"/>
      <c r="C235" s="51" t="s">
        <v>187</v>
      </c>
      <c r="D235" s="53">
        <f>(61.4)*10.764</f>
        <v>660.90959999999995</v>
      </c>
      <c r="E235" s="41">
        <v>0</v>
      </c>
      <c r="F235" s="41">
        <f t="shared" si="10"/>
        <v>991.36439999999993</v>
      </c>
      <c r="G235" s="72"/>
      <c r="H235" s="73"/>
      <c r="I235" s="35"/>
      <c r="L235" s="85"/>
      <c r="M235" s="85"/>
      <c r="N235" s="35"/>
    </row>
    <row r="236" spans="1:14" s="36" customFormat="1" ht="37.5" customHeight="1" x14ac:dyDescent="0.3">
      <c r="A236" s="79" t="s">
        <v>208</v>
      </c>
      <c r="B236" s="79"/>
      <c r="C236" s="79"/>
      <c r="D236" s="79"/>
      <c r="E236" s="79"/>
      <c r="F236" s="79"/>
      <c r="G236" s="79"/>
      <c r="H236" s="79"/>
      <c r="I236" s="35"/>
      <c r="J236" s="35"/>
      <c r="K236" s="35"/>
    </row>
    <row r="237" spans="1:14" s="36" customFormat="1" ht="15.75" customHeight="1" x14ac:dyDescent="0.3">
      <c r="A237" s="67">
        <v>1</v>
      </c>
      <c r="B237" s="67"/>
      <c r="C237" s="51" t="s">
        <v>187</v>
      </c>
      <c r="D237" s="53">
        <f>(62.25)*10.764</f>
        <v>670.05899999999997</v>
      </c>
      <c r="E237" s="41">
        <v>0</v>
      </c>
      <c r="F237" s="41">
        <f t="shared" ref="F237:F243" si="12">D237*(($F$152)+1)+(IF(E237&lt;101,E237,IF(E237&lt;201,E237/2,IF(E237&lt;=301,E237/3,E237/4))))</f>
        <v>1005.0885</v>
      </c>
      <c r="G237" s="67" t="str">
        <f>A236</f>
        <v>14th to 17th Floor (15th to 18th Floor as per Builder)
19th to 23rd Floor (20th to 24th Floor as per Builder)</v>
      </c>
      <c r="H237" s="67"/>
      <c r="I237" s="35"/>
      <c r="J237" s="35"/>
      <c r="K237" s="35"/>
      <c r="L237" s="85"/>
      <c r="M237" s="85"/>
      <c r="N237" s="35"/>
    </row>
    <row r="238" spans="1:14" s="36" customFormat="1" ht="15.75" customHeight="1" x14ac:dyDescent="0.3">
      <c r="A238" s="67">
        <f t="shared" ref="A238:A243" si="13">A237+1</f>
        <v>2</v>
      </c>
      <c r="B238" s="67"/>
      <c r="C238" s="51" t="s">
        <v>187</v>
      </c>
      <c r="D238" s="53">
        <f>(62.25)*10.764</f>
        <v>670.05899999999997</v>
      </c>
      <c r="E238" s="41">
        <v>0</v>
      </c>
      <c r="F238" s="41">
        <f t="shared" si="12"/>
        <v>1005.0885</v>
      </c>
      <c r="G238" s="67"/>
      <c r="H238" s="67"/>
      <c r="I238" s="35"/>
      <c r="J238" s="35"/>
      <c r="K238" s="35"/>
      <c r="L238" s="85"/>
      <c r="M238" s="85"/>
      <c r="N238" s="35"/>
    </row>
    <row r="239" spans="1:14" s="36" customFormat="1" ht="15.75" customHeight="1" x14ac:dyDescent="0.3">
      <c r="A239" s="67">
        <f t="shared" si="13"/>
        <v>3</v>
      </c>
      <c r="B239" s="67"/>
      <c r="C239" s="51" t="s">
        <v>187</v>
      </c>
      <c r="D239" s="53">
        <f>(61.4)*10.764</f>
        <v>660.90959999999995</v>
      </c>
      <c r="E239" s="41">
        <v>0</v>
      </c>
      <c r="F239" s="41">
        <f t="shared" si="12"/>
        <v>991.36439999999993</v>
      </c>
      <c r="G239" s="67"/>
      <c r="H239" s="67"/>
      <c r="I239" s="35"/>
      <c r="J239" s="35"/>
      <c r="K239" s="35"/>
      <c r="L239" s="85"/>
      <c r="M239" s="85"/>
      <c r="N239" s="35"/>
    </row>
    <row r="240" spans="1:14" s="36" customFormat="1" ht="15.75" customHeight="1" x14ac:dyDescent="0.3">
      <c r="A240" s="67">
        <f t="shared" si="13"/>
        <v>4</v>
      </c>
      <c r="B240" s="67"/>
      <c r="C240" s="51" t="s">
        <v>187</v>
      </c>
      <c r="D240" s="53">
        <f>(61.42)*10.764</f>
        <v>661.12487999999996</v>
      </c>
      <c r="E240" s="41">
        <v>0</v>
      </c>
      <c r="F240" s="41">
        <f t="shared" si="12"/>
        <v>991.68732</v>
      </c>
      <c r="G240" s="67"/>
      <c r="H240" s="67"/>
      <c r="I240" s="35"/>
      <c r="J240" s="35"/>
      <c r="K240" s="35"/>
      <c r="L240" s="85"/>
      <c r="M240" s="85"/>
      <c r="N240" s="35"/>
    </row>
    <row r="241" spans="1:14" s="36" customFormat="1" ht="15.75" customHeight="1" x14ac:dyDescent="0.3">
      <c r="A241" s="67">
        <f t="shared" si="13"/>
        <v>5</v>
      </c>
      <c r="B241" s="67"/>
      <c r="C241" s="51" t="s">
        <v>187</v>
      </c>
      <c r="D241" s="53">
        <f>(61.42)*10.764</f>
        <v>661.12487999999996</v>
      </c>
      <c r="E241" s="41">
        <v>0</v>
      </c>
      <c r="F241" s="41">
        <f t="shared" si="12"/>
        <v>991.68732</v>
      </c>
      <c r="G241" s="67"/>
      <c r="H241" s="67"/>
      <c r="I241" s="35"/>
      <c r="L241" s="85"/>
      <c r="M241" s="85"/>
      <c r="N241" s="35"/>
    </row>
    <row r="242" spans="1:14" s="36" customFormat="1" ht="15.75" customHeight="1" x14ac:dyDescent="0.3">
      <c r="A242" s="67">
        <f t="shared" si="13"/>
        <v>6</v>
      </c>
      <c r="B242" s="67"/>
      <c r="C242" s="51" t="s">
        <v>187</v>
      </c>
      <c r="D242" s="53">
        <f>(61.42)*10.764</f>
        <v>661.12487999999996</v>
      </c>
      <c r="E242" s="41">
        <v>0</v>
      </c>
      <c r="F242" s="41">
        <f t="shared" si="12"/>
        <v>991.68732</v>
      </c>
      <c r="G242" s="67"/>
      <c r="H242" s="67"/>
      <c r="I242" s="35"/>
      <c r="L242" s="85"/>
      <c r="M242" s="85"/>
      <c r="N242" s="35"/>
    </row>
    <row r="243" spans="1:14" s="36" customFormat="1" ht="15.75" customHeight="1" x14ac:dyDescent="0.3">
      <c r="A243" s="67">
        <f t="shared" si="13"/>
        <v>7</v>
      </c>
      <c r="B243" s="67"/>
      <c r="C243" s="51" t="s">
        <v>187</v>
      </c>
      <c r="D243" s="53">
        <f>(61.4)*10.764</f>
        <v>660.90959999999995</v>
      </c>
      <c r="E243" s="41">
        <v>0</v>
      </c>
      <c r="F243" s="41">
        <f t="shared" si="12"/>
        <v>991.36439999999993</v>
      </c>
      <c r="G243" s="67"/>
      <c r="H243" s="67"/>
      <c r="I243" s="35"/>
      <c r="L243" s="85"/>
      <c r="M243" s="85"/>
      <c r="N243" s="35"/>
    </row>
    <row r="244" spans="1:14" s="36" customFormat="1" ht="70.5" customHeight="1" x14ac:dyDescent="0.3">
      <c r="A244" s="74" t="s">
        <v>209</v>
      </c>
      <c r="B244" s="75"/>
      <c r="C244" s="75"/>
      <c r="D244" s="75"/>
      <c r="E244" s="75"/>
      <c r="F244" s="75"/>
      <c r="G244" s="75"/>
      <c r="H244" s="76"/>
      <c r="I244" s="35"/>
      <c r="J244" s="35"/>
      <c r="K244" s="35"/>
    </row>
    <row r="245" spans="1:14" s="36" customFormat="1" ht="15.75" customHeight="1" x14ac:dyDescent="0.3">
      <c r="A245" s="77">
        <v>1</v>
      </c>
      <c r="B245" s="78"/>
      <c r="C245" s="51" t="s">
        <v>187</v>
      </c>
      <c r="D245" s="53">
        <f>(62.25)*10.764</f>
        <v>670.05899999999997</v>
      </c>
      <c r="E245" s="41">
        <v>0</v>
      </c>
      <c r="F245" s="41">
        <f>D245*(($F$152)+1)+(IF(E245&lt;101,E245,IF(E245&lt;201,E245/2,IF(E245&lt;=301,E245/3,E245/4))))</f>
        <v>1005.0885</v>
      </c>
      <c r="G245" s="68" t="str">
        <f>A244</f>
        <v>8th Floor
13th Floor (14th Floor as per Builder)
18th Floor (19th Floor as per Builder)
(Part Refuge Area)</v>
      </c>
      <c r="H245" s="69"/>
      <c r="I245" s="35"/>
      <c r="J245" s="35"/>
      <c r="K245" s="35"/>
      <c r="L245" s="85"/>
      <c r="M245" s="85"/>
      <c r="N245" s="35"/>
    </row>
    <row r="246" spans="1:14" s="36" customFormat="1" ht="15.75" customHeight="1" x14ac:dyDescent="0.3">
      <c r="A246" s="77">
        <f t="shared" ref="A246:A251" si="14">A245+1</f>
        <v>2</v>
      </c>
      <c r="B246" s="78"/>
      <c r="C246" s="51" t="s">
        <v>187</v>
      </c>
      <c r="D246" s="53">
        <f>(62.25)*10.764</f>
        <v>670.05899999999997</v>
      </c>
      <c r="E246" s="41">
        <v>0</v>
      </c>
      <c r="F246" s="41">
        <f>D246*(($F$152)+1)+(IF(E246&lt;101,E246,IF(E246&lt;201,E246/2,IF(E246&lt;=301,E246/3,E246/4))))</f>
        <v>1005.0885</v>
      </c>
      <c r="G246" s="70"/>
      <c r="H246" s="71"/>
      <c r="I246" s="35"/>
      <c r="J246" s="35"/>
      <c r="K246" s="35"/>
      <c r="L246" s="85"/>
      <c r="M246" s="85"/>
      <c r="N246" s="35"/>
    </row>
    <row r="247" spans="1:14" s="36" customFormat="1" ht="15.75" customHeight="1" x14ac:dyDescent="0.3">
      <c r="A247" s="77">
        <f t="shared" si="14"/>
        <v>3</v>
      </c>
      <c r="B247" s="78"/>
      <c r="C247" s="51" t="s">
        <v>187</v>
      </c>
      <c r="D247" s="53">
        <f>(61.4)*10.764</f>
        <v>660.90959999999995</v>
      </c>
      <c r="E247" s="41">
        <v>0</v>
      </c>
      <c r="F247" s="41">
        <f>D247*(($F$152)+1)+(IF(E247&lt;101,E247,IF(E247&lt;201,E247/2,IF(E247&lt;=301,E247/3,E247/4))))</f>
        <v>991.36439999999993</v>
      </c>
      <c r="G247" s="70"/>
      <c r="H247" s="71"/>
      <c r="I247" s="35"/>
      <c r="J247" s="35"/>
      <c r="K247" s="35"/>
      <c r="L247" s="85"/>
      <c r="M247" s="85"/>
      <c r="N247" s="35"/>
    </row>
    <row r="248" spans="1:14" s="36" customFormat="1" ht="15.75" customHeight="1" x14ac:dyDescent="0.3">
      <c r="A248" s="77">
        <f t="shared" si="14"/>
        <v>4</v>
      </c>
      <c r="B248" s="78"/>
      <c r="C248" s="51" t="s">
        <v>187</v>
      </c>
      <c r="D248" s="53">
        <f>(61.42)*10.764</f>
        <v>661.12487999999996</v>
      </c>
      <c r="E248" s="41">
        <v>0</v>
      </c>
      <c r="F248" s="41">
        <f>D248*(($F$152)+1)+(IF(E248&lt;101,E248,IF(E248&lt;201,E248/2,IF(E248&lt;=301,E248/3,E248/4))))</f>
        <v>991.68732</v>
      </c>
      <c r="G248" s="70"/>
      <c r="H248" s="71"/>
      <c r="I248" s="35"/>
      <c r="J248" s="35"/>
      <c r="K248" s="35"/>
      <c r="L248" s="85"/>
      <c r="M248" s="85"/>
      <c r="N248" s="35"/>
    </row>
    <row r="249" spans="1:14" s="36" customFormat="1" ht="15.75" customHeight="1" x14ac:dyDescent="0.3">
      <c r="A249" s="77">
        <f t="shared" si="14"/>
        <v>5</v>
      </c>
      <c r="B249" s="78"/>
      <c r="C249" s="80" t="s">
        <v>190</v>
      </c>
      <c r="D249" s="81"/>
      <c r="E249" s="81"/>
      <c r="F249" s="82"/>
      <c r="G249" s="70"/>
      <c r="H249" s="71"/>
      <c r="I249" s="35"/>
      <c r="L249" s="85"/>
      <c r="M249" s="85"/>
      <c r="N249" s="35"/>
    </row>
    <row r="250" spans="1:14" s="36" customFormat="1" ht="15.75" customHeight="1" x14ac:dyDescent="0.3">
      <c r="A250" s="77">
        <f t="shared" si="14"/>
        <v>6</v>
      </c>
      <c r="B250" s="78"/>
      <c r="C250" s="51" t="s">
        <v>187</v>
      </c>
      <c r="D250" s="53">
        <f>(61.42)*10.764</f>
        <v>661.12487999999996</v>
      </c>
      <c r="E250" s="41">
        <v>0</v>
      </c>
      <c r="F250" s="41">
        <f>D250*(($F$152)+1)+(IF(E250&lt;101,E250,IF(E250&lt;201,E250/2,IF(E250&lt;=301,E250/3,E250/4))))</f>
        <v>991.68732</v>
      </c>
      <c r="G250" s="70"/>
      <c r="H250" s="71"/>
      <c r="I250" s="35"/>
      <c r="L250" s="85"/>
      <c r="M250" s="85"/>
      <c r="N250" s="35"/>
    </row>
    <row r="251" spans="1:14" s="36" customFormat="1" ht="15.75" customHeight="1" x14ac:dyDescent="0.3">
      <c r="A251" s="77">
        <f t="shared" si="14"/>
        <v>7</v>
      </c>
      <c r="B251" s="78"/>
      <c r="C251" s="51" t="s">
        <v>187</v>
      </c>
      <c r="D251" s="53">
        <f>(61.4)*10.764</f>
        <v>660.90959999999995</v>
      </c>
      <c r="E251" s="41">
        <v>0</v>
      </c>
      <c r="F251" s="41">
        <f>D251*(($F$152)+1)+(IF(E251&lt;101,E251,IF(E251&lt;201,E251/2,IF(E251&lt;=301,E251/3,E251/4))))</f>
        <v>991.36439999999993</v>
      </c>
      <c r="G251" s="72"/>
      <c r="H251" s="73"/>
      <c r="I251" s="35"/>
      <c r="L251" s="85"/>
      <c r="M251" s="85"/>
      <c r="N251" s="35"/>
    </row>
    <row r="252" spans="1:14" s="36" customFormat="1" ht="15.75" hidden="1" customHeight="1" x14ac:dyDescent="0.3">
      <c r="A252" s="74" t="s">
        <v>206</v>
      </c>
      <c r="B252" s="75"/>
      <c r="C252" s="75"/>
      <c r="D252" s="75"/>
      <c r="E252" s="75"/>
      <c r="F252" s="75"/>
      <c r="G252" s="75"/>
      <c r="H252" s="76"/>
    </row>
    <row r="253" spans="1:14" s="36" customFormat="1" ht="15.75" hidden="1" customHeight="1" x14ac:dyDescent="0.3">
      <c r="A253" s="74" t="s">
        <v>196</v>
      </c>
      <c r="B253" s="75"/>
      <c r="C253" s="75"/>
      <c r="D253" s="75"/>
      <c r="E253" s="75"/>
      <c r="F253" s="75"/>
      <c r="G253" s="75"/>
      <c r="H253" s="76"/>
      <c r="I253" s="35"/>
      <c r="J253" s="35"/>
      <c r="K253" s="35"/>
    </row>
    <row r="254" spans="1:14" s="36" customFormat="1" ht="15.75" hidden="1" customHeight="1" x14ac:dyDescent="0.3">
      <c r="A254" s="74" t="s">
        <v>186</v>
      </c>
      <c r="B254" s="75"/>
      <c r="C254" s="75"/>
      <c r="D254" s="75"/>
      <c r="E254" s="75"/>
      <c r="F254" s="75"/>
      <c r="G254" s="75"/>
      <c r="H254" s="76"/>
      <c r="I254" s="35"/>
      <c r="J254" s="35"/>
      <c r="K254" s="35"/>
    </row>
    <row r="255" spans="1:14" s="36" customFormat="1" hidden="1" x14ac:dyDescent="0.3">
      <c r="A255" s="77">
        <v>1</v>
      </c>
      <c r="B255" s="78"/>
      <c r="C255" s="51" t="s">
        <v>193</v>
      </c>
      <c r="D255" s="53">
        <f>(67.65)*10.764</f>
        <v>728.18460000000005</v>
      </c>
      <c r="E255" s="41">
        <v>0</v>
      </c>
      <c r="F255" s="41">
        <f>D255*(($F$152)+1)+(IF(E255&lt;101,E255,IF(E255&lt;201,E255/2,IF(E255&lt;=301,E255/3,E255/4))))</f>
        <v>1092.2769000000001</v>
      </c>
      <c r="G255" s="77" t="str">
        <f>A254</f>
        <v>Ground Floor For Residential &amp; Meter Room</v>
      </c>
      <c r="H255" s="78"/>
      <c r="I255" s="35"/>
      <c r="J255" s="35"/>
      <c r="K255" s="35"/>
      <c r="L255" s="85"/>
      <c r="M255" s="85"/>
      <c r="N255" s="35"/>
    </row>
    <row r="256" spans="1:14" s="36" customFormat="1" hidden="1" x14ac:dyDescent="0.3">
      <c r="A256" s="77">
        <f>A255+1</f>
        <v>2</v>
      </c>
      <c r="B256" s="78"/>
      <c r="C256" s="51" t="s">
        <v>193</v>
      </c>
      <c r="D256" s="53">
        <f>(67.65)*10.764</f>
        <v>728.18460000000005</v>
      </c>
      <c r="E256" s="41">
        <v>0</v>
      </c>
      <c r="F256" s="41">
        <f>D256*(($F$152)+1)+(IF(E256&lt;101,E256,IF(E256&lt;201,E256/2,IF(E256&lt;=301,E256/3,E256/4))))</f>
        <v>1092.2769000000001</v>
      </c>
      <c r="G256" s="77" t="str">
        <f>G255</f>
        <v>Ground Floor For Residential &amp; Meter Room</v>
      </c>
      <c r="H256" s="78"/>
      <c r="I256" s="35"/>
      <c r="J256" s="35"/>
      <c r="K256" s="35"/>
      <c r="L256" s="85"/>
      <c r="M256" s="85"/>
      <c r="N256" s="35"/>
    </row>
    <row r="257" spans="1:14" s="36" customFormat="1" hidden="1" x14ac:dyDescent="0.3">
      <c r="A257" s="77">
        <f>A256+1</f>
        <v>3</v>
      </c>
      <c r="B257" s="78"/>
      <c r="C257" s="51" t="s">
        <v>187</v>
      </c>
      <c r="D257" s="53">
        <f>(61.23)*10.764</f>
        <v>659.07971999999995</v>
      </c>
      <c r="E257" s="41">
        <v>0</v>
      </c>
      <c r="F257" s="41">
        <f>D257*(($F$152)+1)+(IF(E257&lt;101,E257,IF(E257&lt;201,E257/2,IF(E257&lt;=301,E257/3,E257/4))))</f>
        <v>988.61957999999993</v>
      </c>
      <c r="G257" s="77" t="str">
        <f>G256</f>
        <v>Ground Floor For Residential &amp; Meter Room</v>
      </c>
      <c r="H257" s="78"/>
      <c r="I257" s="35"/>
      <c r="J257" s="35"/>
      <c r="K257" s="35"/>
      <c r="L257" s="85"/>
      <c r="M257" s="85"/>
      <c r="N257" s="35"/>
    </row>
    <row r="258" spans="1:14" s="36" customFormat="1" hidden="1" x14ac:dyDescent="0.3">
      <c r="A258" s="77">
        <v>5</v>
      </c>
      <c r="B258" s="78"/>
      <c r="C258" s="51" t="s">
        <v>188</v>
      </c>
      <c r="D258" s="53">
        <f>(52.35)*10.764</f>
        <v>563.49540000000002</v>
      </c>
      <c r="E258" s="41">
        <v>0</v>
      </c>
      <c r="F258" s="41">
        <f>D258*(($F$152)+1)+(IF(E258&lt;101,E258,IF(E258&lt;201,E258/2,IF(E258&lt;=301,E258/3,E258/4))))</f>
        <v>845.24310000000003</v>
      </c>
      <c r="G258" s="77" t="str">
        <f>G257</f>
        <v>Ground Floor For Residential &amp; Meter Room</v>
      </c>
      <c r="H258" s="78"/>
      <c r="I258" s="35"/>
      <c r="L258" s="85"/>
      <c r="M258" s="85"/>
      <c r="N258" s="35"/>
    </row>
    <row r="259" spans="1:14" s="36" customFormat="1" hidden="1" x14ac:dyDescent="0.3">
      <c r="A259" s="77">
        <f>A258+1</f>
        <v>6</v>
      </c>
      <c r="B259" s="78"/>
      <c r="C259" s="51" t="s">
        <v>193</v>
      </c>
      <c r="D259" s="53">
        <f>(67.37)*10.764</f>
        <v>725.17068000000006</v>
      </c>
      <c r="E259" s="41">
        <v>0</v>
      </c>
      <c r="F259" s="41">
        <f>D259*(($F$152)+1)+(IF(E259&lt;101,E259,IF(E259&lt;201,E259/2,IF(E259&lt;=301,E259/3,E259/4))))</f>
        <v>1087.75602</v>
      </c>
      <c r="G259" s="77" t="str">
        <f>G258</f>
        <v>Ground Floor For Residential &amp; Meter Room</v>
      </c>
      <c r="H259" s="78"/>
      <c r="I259" s="35"/>
      <c r="L259" s="85"/>
      <c r="M259" s="85"/>
      <c r="N259" s="35"/>
    </row>
    <row r="260" spans="1:14" s="36" customFormat="1" ht="15.75" hidden="1" customHeight="1" x14ac:dyDescent="0.3">
      <c r="A260" s="74" t="s">
        <v>210</v>
      </c>
      <c r="B260" s="75"/>
      <c r="C260" s="75"/>
      <c r="D260" s="75"/>
      <c r="E260" s="75"/>
      <c r="F260" s="75"/>
      <c r="G260" s="75"/>
      <c r="H260" s="76"/>
      <c r="I260" s="35"/>
      <c r="J260" s="35"/>
      <c r="K260" s="35"/>
    </row>
    <row r="261" spans="1:14" s="36" customFormat="1" hidden="1" x14ac:dyDescent="0.3">
      <c r="A261" s="77">
        <v>1</v>
      </c>
      <c r="B261" s="78"/>
      <c r="C261" s="51" t="s">
        <v>193</v>
      </c>
      <c r="D261" s="53">
        <f>(71.12)*10.764</f>
        <v>765.53567999999996</v>
      </c>
      <c r="E261" s="41">
        <v>0</v>
      </c>
      <c r="F261" s="41">
        <f t="shared" ref="F261:F266" si="15">D261*(($F$152)+1)+(IF(E261&lt;101,E261,IF(E261&lt;201,E261/2,IF(E261&lt;=301,E261/3,E261/4))))</f>
        <v>1148.3035199999999</v>
      </c>
      <c r="G261" s="77" t="str">
        <f>A260</f>
        <v>1st to 7th, 9th to 12th Floor</v>
      </c>
      <c r="H261" s="78"/>
      <c r="I261" s="35"/>
      <c r="J261" s="35"/>
      <c r="K261" s="35"/>
      <c r="L261" s="85"/>
      <c r="M261" s="85"/>
      <c r="N261" s="35"/>
    </row>
    <row r="262" spans="1:14" s="36" customFormat="1" hidden="1" x14ac:dyDescent="0.3">
      <c r="A262" s="77">
        <f>A261+1</f>
        <v>2</v>
      </c>
      <c r="B262" s="78"/>
      <c r="C262" s="51" t="s">
        <v>193</v>
      </c>
      <c r="D262" s="53">
        <f>(71.12)*10.764</f>
        <v>765.53567999999996</v>
      </c>
      <c r="E262" s="41">
        <v>0</v>
      </c>
      <c r="F262" s="41">
        <f t="shared" si="15"/>
        <v>1148.3035199999999</v>
      </c>
      <c r="G262" s="77" t="str">
        <f>G261</f>
        <v>1st to 7th, 9th to 12th Floor</v>
      </c>
      <c r="H262" s="78"/>
      <c r="I262" s="35"/>
      <c r="J262" s="35"/>
      <c r="K262" s="35"/>
      <c r="L262" s="85"/>
      <c r="M262" s="85"/>
      <c r="N262" s="35"/>
    </row>
    <row r="263" spans="1:14" s="36" customFormat="1" hidden="1" x14ac:dyDescent="0.3">
      <c r="A263" s="77">
        <f>A262+1</f>
        <v>3</v>
      </c>
      <c r="B263" s="78"/>
      <c r="C263" s="51" t="s">
        <v>193</v>
      </c>
      <c r="D263" s="53">
        <f>(71.12)*10.764</f>
        <v>765.53567999999996</v>
      </c>
      <c r="E263" s="41">
        <v>0</v>
      </c>
      <c r="F263" s="41">
        <f t="shared" si="15"/>
        <v>1148.3035199999999</v>
      </c>
      <c r="G263" s="77" t="str">
        <f>G262</f>
        <v>1st to 7th, 9th to 12th Floor</v>
      </c>
      <c r="H263" s="78"/>
      <c r="I263" s="35"/>
      <c r="J263" s="35"/>
      <c r="K263" s="35"/>
      <c r="L263" s="85"/>
      <c r="M263" s="85"/>
      <c r="N263" s="35"/>
    </row>
    <row r="264" spans="1:14" s="36" customFormat="1" hidden="1" x14ac:dyDescent="0.3">
      <c r="A264" s="77">
        <f>A263+1</f>
        <v>4</v>
      </c>
      <c r="B264" s="78"/>
      <c r="C264" s="51" t="s">
        <v>193</v>
      </c>
      <c r="D264" s="53">
        <f>(71.06)*10.764</f>
        <v>764.88983999999994</v>
      </c>
      <c r="E264" s="41">
        <v>0</v>
      </c>
      <c r="F264" s="41">
        <f t="shared" si="15"/>
        <v>1147.33476</v>
      </c>
      <c r="G264" s="77" t="str">
        <f>G263</f>
        <v>1st to 7th, 9th to 12th Floor</v>
      </c>
      <c r="H264" s="78"/>
      <c r="I264" s="35"/>
      <c r="J264" s="35"/>
      <c r="K264" s="35"/>
      <c r="L264" s="85"/>
      <c r="M264" s="85"/>
      <c r="N264" s="35"/>
    </row>
    <row r="265" spans="1:14" s="36" customFormat="1" hidden="1" x14ac:dyDescent="0.3">
      <c r="A265" s="77">
        <f>A264+1</f>
        <v>5</v>
      </c>
      <c r="B265" s="78"/>
      <c r="C265" s="51" t="s">
        <v>193</v>
      </c>
      <c r="D265" s="53">
        <f>(71.06)*10.764</f>
        <v>764.88983999999994</v>
      </c>
      <c r="E265" s="41">
        <v>0</v>
      </c>
      <c r="F265" s="41">
        <f t="shared" si="15"/>
        <v>1147.33476</v>
      </c>
      <c r="G265" s="77" t="str">
        <f>G263</f>
        <v>1st to 7th, 9th to 12th Floor</v>
      </c>
      <c r="H265" s="78"/>
      <c r="I265" s="35"/>
      <c r="L265" s="85"/>
      <c r="M265" s="85"/>
      <c r="N265" s="35"/>
    </row>
    <row r="266" spans="1:14" s="36" customFormat="1" hidden="1" x14ac:dyDescent="0.3">
      <c r="A266" s="77">
        <f>A265+1</f>
        <v>6</v>
      </c>
      <c r="B266" s="78"/>
      <c r="C266" s="51" t="s">
        <v>193</v>
      </c>
      <c r="D266" s="53">
        <f>(71.12)*10.764</f>
        <v>765.53567999999996</v>
      </c>
      <c r="E266" s="41">
        <v>0</v>
      </c>
      <c r="F266" s="41">
        <f t="shared" si="15"/>
        <v>1148.3035199999999</v>
      </c>
      <c r="G266" s="77" t="str">
        <f>G264</f>
        <v>1st to 7th, 9th to 12th Floor</v>
      </c>
      <c r="H266" s="78"/>
      <c r="I266" s="35"/>
      <c r="L266" s="85"/>
      <c r="M266" s="85"/>
      <c r="N266" s="35"/>
    </row>
    <row r="267" spans="1:14" s="36" customFormat="1" ht="37.5" hidden="1" customHeight="1" x14ac:dyDescent="0.3">
      <c r="A267" s="74" t="s">
        <v>208</v>
      </c>
      <c r="B267" s="75"/>
      <c r="C267" s="75"/>
      <c r="D267" s="75"/>
      <c r="E267" s="75"/>
      <c r="F267" s="75"/>
      <c r="G267" s="75"/>
      <c r="H267" s="76"/>
      <c r="I267" s="35"/>
      <c r="J267" s="35"/>
      <c r="K267" s="35"/>
    </row>
    <row r="268" spans="1:14" s="36" customFormat="1" hidden="1" x14ac:dyDescent="0.3">
      <c r="A268" s="77">
        <v>1</v>
      </c>
      <c r="B268" s="78"/>
      <c r="C268" s="51" t="s">
        <v>193</v>
      </c>
      <c r="D268" s="53">
        <f>(71.12)*10.764</f>
        <v>765.53567999999996</v>
      </c>
      <c r="E268" s="41">
        <v>0</v>
      </c>
      <c r="F268" s="41">
        <f t="shared" ref="F268:F273" si="16">D268*(($F$152)+1)+(IF(E268&lt;101,E268,IF(E268&lt;201,E268/2,IF(E268&lt;=301,E268/3,E268/4))))</f>
        <v>1148.3035199999999</v>
      </c>
      <c r="G268" s="77" t="str">
        <f>A267</f>
        <v>14th to 17th Floor (15th to 18th Floor as per Builder)
19th to 23rd Floor (20th to 24th Floor as per Builder)</v>
      </c>
      <c r="H268" s="78"/>
      <c r="I268" s="35"/>
      <c r="J268" s="35"/>
      <c r="K268" s="35"/>
      <c r="L268" s="85"/>
      <c r="M268" s="85"/>
      <c r="N268" s="35"/>
    </row>
    <row r="269" spans="1:14" s="36" customFormat="1" hidden="1" x14ac:dyDescent="0.3">
      <c r="A269" s="77">
        <f>A268+1</f>
        <v>2</v>
      </c>
      <c r="B269" s="78"/>
      <c r="C269" s="51" t="s">
        <v>193</v>
      </c>
      <c r="D269" s="53">
        <f>(71.12)*10.764</f>
        <v>765.53567999999996</v>
      </c>
      <c r="E269" s="41">
        <v>0</v>
      </c>
      <c r="F269" s="41">
        <f t="shared" si="16"/>
        <v>1148.3035199999999</v>
      </c>
      <c r="G269" s="77" t="str">
        <f>G268</f>
        <v>14th to 17th Floor (15th to 18th Floor as per Builder)
19th to 23rd Floor (20th to 24th Floor as per Builder)</v>
      </c>
      <c r="H269" s="78"/>
      <c r="I269" s="35"/>
      <c r="J269" s="35"/>
      <c r="K269" s="35"/>
      <c r="L269" s="85"/>
      <c r="M269" s="85"/>
      <c r="N269" s="35"/>
    </row>
    <row r="270" spans="1:14" s="36" customFormat="1" hidden="1" x14ac:dyDescent="0.3">
      <c r="A270" s="77">
        <f>A269+1</f>
        <v>3</v>
      </c>
      <c r="B270" s="78"/>
      <c r="C270" s="51" t="s">
        <v>193</v>
      </c>
      <c r="D270" s="53">
        <f>(71.12)*10.764</f>
        <v>765.53567999999996</v>
      </c>
      <c r="E270" s="41">
        <v>0</v>
      </c>
      <c r="F270" s="41">
        <f t="shared" si="16"/>
        <v>1148.3035199999999</v>
      </c>
      <c r="G270" s="77" t="str">
        <f>G269</f>
        <v>14th to 17th Floor (15th to 18th Floor as per Builder)
19th to 23rd Floor (20th to 24th Floor as per Builder)</v>
      </c>
      <c r="H270" s="78"/>
      <c r="I270" s="35"/>
      <c r="J270" s="35"/>
      <c r="K270" s="35"/>
      <c r="L270" s="85"/>
      <c r="M270" s="85"/>
      <c r="N270" s="35"/>
    </row>
    <row r="271" spans="1:14" s="36" customFormat="1" hidden="1" x14ac:dyDescent="0.3">
      <c r="A271" s="77">
        <f>A270+1</f>
        <v>4</v>
      </c>
      <c r="B271" s="78"/>
      <c r="C271" s="51" t="s">
        <v>193</v>
      </c>
      <c r="D271" s="53">
        <f>(71.06)*10.764</f>
        <v>764.88983999999994</v>
      </c>
      <c r="E271" s="41">
        <v>0</v>
      </c>
      <c r="F271" s="41">
        <f t="shared" si="16"/>
        <v>1147.33476</v>
      </c>
      <c r="G271" s="77" t="str">
        <f>G270</f>
        <v>14th to 17th Floor (15th to 18th Floor as per Builder)
19th to 23rd Floor (20th to 24th Floor as per Builder)</v>
      </c>
      <c r="H271" s="78"/>
      <c r="I271" s="35"/>
      <c r="J271" s="35"/>
      <c r="K271" s="35"/>
      <c r="L271" s="85"/>
      <c r="M271" s="85"/>
      <c r="N271" s="35"/>
    </row>
    <row r="272" spans="1:14" s="36" customFormat="1" hidden="1" x14ac:dyDescent="0.3">
      <c r="A272" s="77">
        <f>A271+1</f>
        <v>5</v>
      </c>
      <c r="B272" s="78"/>
      <c r="C272" s="51" t="s">
        <v>193</v>
      </c>
      <c r="D272" s="53">
        <f>(71.06)*10.764</f>
        <v>764.88983999999994</v>
      </c>
      <c r="E272" s="41">
        <v>0</v>
      </c>
      <c r="F272" s="41">
        <f t="shared" si="16"/>
        <v>1147.33476</v>
      </c>
      <c r="G272" s="77" t="str">
        <f>G270</f>
        <v>14th to 17th Floor (15th to 18th Floor as per Builder)
19th to 23rd Floor (20th to 24th Floor as per Builder)</v>
      </c>
      <c r="H272" s="78"/>
      <c r="I272" s="35"/>
      <c r="L272" s="85"/>
      <c r="M272" s="85"/>
      <c r="N272" s="35"/>
    </row>
    <row r="273" spans="1:14" s="36" customFormat="1" hidden="1" x14ac:dyDescent="0.3">
      <c r="A273" s="77">
        <f>A272+1</f>
        <v>6</v>
      </c>
      <c r="B273" s="78"/>
      <c r="C273" s="51" t="s">
        <v>193</v>
      </c>
      <c r="D273" s="53">
        <f>(71.12)*10.764</f>
        <v>765.53567999999996</v>
      </c>
      <c r="E273" s="41">
        <v>0</v>
      </c>
      <c r="F273" s="41">
        <f t="shared" si="16"/>
        <v>1148.3035199999999</v>
      </c>
      <c r="G273" s="77" t="str">
        <f>G271</f>
        <v>14th to 17th Floor (15th to 18th Floor as per Builder)
19th to 23rd Floor (20th to 24th Floor as per Builder)</v>
      </c>
      <c r="H273" s="78"/>
      <c r="I273" s="35"/>
      <c r="L273" s="85"/>
      <c r="M273" s="85"/>
      <c r="N273" s="35"/>
    </row>
    <row r="274" spans="1:14" s="36" customFormat="1" ht="66.75" hidden="1" customHeight="1" x14ac:dyDescent="0.3">
      <c r="A274" s="74" t="s">
        <v>209</v>
      </c>
      <c r="B274" s="75"/>
      <c r="C274" s="75"/>
      <c r="D274" s="75"/>
      <c r="E274" s="75"/>
      <c r="F274" s="75"/>
      <c r="G274" s="75"/>
      <c r="H274" s="76"/>
      <c r="I274" s="35"/>
      <c r="J274" s="35"/>
      <c r="K274" s="35"/>
    </row>
    <row r="275" spans="1:14" s="36" customFormat="1" hidden="1" x14ac:dyDescent="0.3">
      <c r="A275" s="77">
        <v>1</v>
      </c>
      <c r="B275" s="78"/>
      <c r="C275" s="51" t="s">
        <v>193</v>
      </c>
      <c r="D275" s="53">
        <f>(71.12)*10.764</f>
        <v>765.53567999999996</v>
      </c>
      <c r="E275" s="41">
        <v>0</v>
      </c>
      <c r="F275" s="41">
        <f>D275*(($F$152)+1)+(IF(E275&lt;101,E275,IF(E275&lt;201,E275/2,IF(E275&lt;=301,E275/3,E275/4))))</f>
        <v>1148.3035199999999</v>
      </c>
      <c r="G275" s="77" t="str">
        <f>A274</f>
        <v>8th Floor
13th Floor (14th Floor as per Builder)
18th Floor (19th Floor as per Builder)
(Part Refuge Area)</v>
      </c>
      <c r="H275" s="78"/>
      <c r="I275" s="35"/>
      <c r="J275" s="35"/>
      <c r="K275" s="35"/>
      <c r="L275" s="85"/>
      <c r="M275" s="85"/>
      <c r="N275" s="35"/>
    </row>
    <row r="276" spans="1:14" s="36" customFormat="1" hidden="1" x14ac:dyDescent="0.3">
      <c r="A276" s="77">
        <f>A275+1</f>
        <v>2</v>
      </c>
      <c r="B276" s="78"/>
      <c r="C276" s="51" t="s">
        <v>193</v>
      </c>
      <c r="D276" s="53">
        <f>(71.12)*10.764</f>
        <v>765.53567999999996</v>
      </c>
      <c r="E276" s="41">
        <v>0</v>
      </c>
      <c r="F276" s="41">
        <f>D276*(($F$152)+1)+(IF(E276&lt;101,E276,IF(E276&lt;201,E276/2,IF(E276&lt;=301,E276/3,E276/4))))</f>
        <v>1148.3035199999999</v>
      </c>
      <c r="G276" s="77" t="str">
        <f>G275</f>
        <v>8th Floor
13th Floor (14th Floor as per Builder)
18th Floor (19th Floor as per Builder)
(Part Refuge Area)</v>
      </c>
      <c r="H276" s="78"/>
      <c r="I276" s="35"/>
      <c r="J276" s="35"/>
      <c r="K276" s="35"/>
      <c r="L276" s="85"/>
      <c r="M276" s="85"/>
      <c r="N276" s="35"/>
    </row>
    <row r="277" spans="1:14" s="36" customFormat="1" hidden="1" x14ac:dyDescent="0.3">
      <c r="A277" s="77">
        <f>A276+1</f>
        <v>3</v>
      </c>
      <c r="B277" s="78"/>
      <c r="C277" s="51" t="s">
        <v>193</v>
      </c>
      <c r="D277" s="53">
        <f>(71.12)*10.764</f>
        <v>765.53567999999996</v>
      </c>
      <c r="E277" s="41">
        <v>0</v>
      </c>
      <c r="F277" s="41">
        <f>D277*(($F$152)+1)+(IF(E277&lt;101,E277,IF(E277&lt;201,E277/2,IF(E277&lt;=301,E277/3,E277/4))))</f>
        <v>1148.3035199999999</v>
      </c>
      <c r="G277" s="77" t="str">
        <f>G276</f>
        <v>8th Floor
13th Floor (14th Floor as per Builder)
18th Floor (19th Floor as per Builder)
(Part Refuge Area)</v>
      </c>
      <c r="H277" s="78"/>
      <c r="I277" s="35"/>
      <c r="J277" s="35"/>
      <c r="K277" s="35"/>
      <c r="L277" s="85"/>
      <c r="M277" s="85"/>
      <c r="N277" s="35"/>
    </row>
    <row r="278" spans="1:14" s="36" customFormat="1" hidden="1" x14ac:dyDescent="0.3">
      <c r="A278" s="77">
        <f>A277+1</f>
        <v>4</v>
      </c>
      <c r="B278" s="78"/>
      <c r="C278" s="80" t="s">
        <v>190</v>
      </c>
      <c r="D278" s="81"/>
      <c r="E278" s="81"/>
      <c r="F278" s="82"/>
      <c r="G278" s="77" t="str">
        <f>G277</f>
        <v>8th Floor
13th Floor (14th Floor as per Builder)
18th Floor (19th Floor as per Builder)
(Part Refuge Area)</v>
      </c>
      <c r="H278" s="78"/>
      <c r="I278" s="35"/>
      <c r="J278" s="35"/>
      <c r="K278" s="35"/>
      <c r="L278" s="85"/>
      <c r="M278" s="85"/>
      <c r="N278" s="35"/>
    </row>
    <row r="279" spans="1:14" s="36" customFormat="1" hidden="1" x14ac:dyDescent="0.3">
      <c r="A279" s="77">
        <f>A278+1</f>
        <v>5</v>
      </c>
      <c r="B279" s="78"/>
      <c r="C279" s="51" t="s">
        <v>193</v>
      </c>
      <c r="D279" s="53">
        <f>(71.06)*10.764</f>
        <v>764.88983999999994</v>
      </c>
      <c r="E279" s="41">
        <v>0</v>
      </c>
      <c r="F279" s="41">
        <f>D279*(($F$152)+1)+(IF(E279&lt;101,E279,IF(E279&lt;201,E279/2,IF(E279&lt;=301,E279/3,E279/4))))</f>
        <v>1147.33476</v>
      </c>
      <c r="G279" s="77" t="str">
        <f>G277</f>
        <v>8th Floor
13th Floor (14th Floor as per Builder)
18th Floor (19th Floor as per Builder)
(Part Refuge Area)</v>
      </c>
      <c r="H279" s="78"/>
      <c r="I279" s="35"/>
      <c r="L279" s="85"/>
      <c r="M279" s="85"/>
      <c r="N279" s="35"/>
    </row>
    <row r="280" spans="1:14" s="36" customFormat="1" hidden="1" x14ac:dyDescent="0.3">
      <c r="A280" s="77">
        <f>A279+1</f>
        <v>6</v>
      </c>
      <c r="B280" s="78"/>
      <c r="C280" s="51" t="s">
        <v>193</v>
      </c>
      <c r="D280" s="53">
        <f>(71.12)*10.764</f>
        <v>765.53567999999996</v>
      </c>
      <c r="E280" s="41">
        <v>0</v>
      </c>
      <c r="F280" s="41">
        <f>D280*(($F$152)+1)+(IF(E280&lt;101,E280,IF(E280&lt;201,E280/2,IF(E280&lt;=301,E280/3,E280/4))))</f>
        <v>1148.3035199999999</v>
      </c>
      <c r="G280" s="77" t="str">
        <f>G278</f>
        <v>8th Floor
13th Floor (14th Floor as per Builder)
18th Floor (19th Floor as per Builder)
(Part Refuge Area)</v>
      </c>
      <c r="H280" s="78"/>
      <c r="I280" s="35"/>
      <c r="L280" s="85"/>
      <c r="M280" s="85"/>
      <c r="N280" s="35"/>
    </row>
    <row r="281" spans="1:14" s="36" customFormat="1" ht="15.75" hidden="1" customHeight="1" x14ac:dyDescent="0.3">
      <c r="A281" s="74" t="s">
        <v>205</v>
      </c>
      <c r="B281" s="75"/>
      <c r="C281" s="75"/>
      <c r="D281" s="75"/>
      <c r="E281" s="75"/>
      <c r="F281" s="75"/>
      <c r="G281" s="75"/>
      <c r="H281" s="76"/>
    </row>
    <row r="282" spans="1:14" s="36" customFormat="1" ht="15.75" hidden="1" customHeight="1" x14ac:dyDescent="0.3">
      <c r="A282" s="74" t="s">
        <v>195</v>
      </c>
      <c r="B282" s="75"/>
      <c r="C282" s="75"/>
      <c r="D282" s="75"/>
      <c r="E282" s="75"/>
      <c r="F282" s="75"/>
      <c r="G282" s="75"/>
      <c r="H282" s="76"/>
    </row>
    <row r="283" spans="1:14" s="36" customFormat="1" ht="15.75" hidden="1" customHeight="1" x14ac:dyDescent="0.3">
      <c r="A283" s="74" t="s">
        <v>186</v>
      </c>
      <c r="B283" s="75"/>
      <c r="C283" s="75"/>
      <c r="D283" s="75"/>
      <c r="E283" s="75"/>
      <c r="F283" s="75"/>
      <c r="G283" s="75"/>
      <c r="H283" s="76"/>
      <c r="J283" s="53">
        <v>10.763999999999999</v>
      </c>
    </row>
    <row r="284" spans="1:14" s="36" customFormat="1" hidden="1" x14ac:dyDescent="0.3">
      <c r="A284" s="77">
        <v>1</v>
      </c>
      <c r="B284" s="78"/>
      <c r="C284" s="51" t="s">
        <v>187</v>
      </c>
      <c r="D284" s="53">
        <f>(50.37)*10.764</f>
        <v>542.18267999999989</v>
      </c>
      <c r="E284" s="41">
        <v>0</v>
      </c>
      <c r="F284" s="41">
        <f>D284*(($F$152)+1)+(IF(E284&lt;101,E284,IF(E284&lt;201,E284/2,IF(E284&lt;=301,E284/3,E284/4))))</f>
        <v>813.27401999999984</v>
      </c>
      <c r="G284" s="77" t="str">
        <f>A283</f>
        <v>Ground Floor For Residential &amp; Meter Room</v>
      </c>
      <c r="H284" s="78"/>
      <c r="I284" s="41">
        <f>(4.32*3.05+2.65*2.13+2.9*2.75+2.75*2.9+0.9*2.11+0.74*0.9+1.7*0.6+1.5*2.28+2.28*1.38+1.4*0.6)</f>
        <v>45.761900000000004</v>
      </c>
      <c r="L284" s="85"/>
      <c r="M284" s="85"/>
      <c r="N284" s="35"/>
    </row>
    <row r="285" spans="1:14" s="36" customFormat="1" hidden="1" x14ac:dyDescent="0.3">
      <c r="A285" s="77">
        <f>A284+1</f>
        <v>2</v>
      </c>
      <c r="B285" s="78"/>
      <c r="C285" s="51" t="s">
        <v>187</v>
      </c>
      <c r="D285" s="53">
        <f>(50.37)*10.764</f>
        <v>542.18267999999989</v>
      </c>
      <c r="E285" s="41">
        <v>0</v>
      </c>
      <c r="F285" s="41">
        <f>D285*(($F$152)+1)+(IF(E285&lt;101,E285,IF(E285&lt;201,E285/2,IF(E285&lt;=301,E285/3,E285/4))))</f>
        <v>813.27401999999984</v>
      </c>
      <c r="G285" s="77" t="str">
        <f>G284</f>
        <v>Ground Floor For Residential &amp; Meter Room</v>
      </c>
      <c r="H285" s="78"/>
      <c r="I285" s="35"/>
      <c r="L285" s="85"/>
      <c r="M285" s="85"/>
      <c r="N285" s="35"/>
    </row>
    <row r="286" spans="1:14" s="36" customFormat="1" hidden="1" x14ac:dyDescent="0.3">
      <c r="A286" s="77">
        <f>A285+1</f>
        <v>3</v>
      </c>
      <c r="B286" s="78"/>
      <c r="C286" s="51" t="s">
        <v>187</v>
      </c>
      <c r="D286" s="53">
        <f>(50.47)*10.764</f>
        <v>543.25907999999993</v>
      </c>
      <c r="E286" s="41">
        <v>0</v>
      </c>
      <c r="F286" s="41">
        <f>D286*(($F$152)+1)+(IF(E286&lt;101,E286,IF(E286&lt;201,E286/2,IF(E286&lt;=301,E286/3,E286/4))))</f>
        <v>814.88861999999995</v>
      </c>
      <c r="G286" s="77" t="str">
        <f>G285</f>
        <v>Ground Floor For Residential &amp; Meter Room</v>
      </c>
      <c r="H286" s="78"/>
      <c r="I286" s="35"/>
      <c r="L286" s="85"/>
      <c r="M286" s="85"/>
      <c r="N286" s="35"/>
    </row>
    <row r="287" spans="1:14" s="36" customFormat="1" hidden="1" x14ac:dyDescent="0.3">
      <c r="A287" s="77">
        <f>A286+1</f>
        <v>4</v>
      </c>
      <c r="B287" s="78"/>
      <c r="C287" s="51" t="s">
        <v>187</v>
      </c>
      <c r="D287" s="53">
        <f>(50.47)*10.764</f>
        <v>543.25907999999993</v>
      </c>
      <c r="E287" s="41">
        <v>0</v>
      </c>
      <c r="F287" s="41">
        <f>D287*(($F$152)+1)+(IF(E287&lt;101,E287,IF(E287&lt;201,E287/2,IF(E287&lt;=301,E287/3,E287/4))))</f>
        <v>814.88861999999995</v>
      </c>
      <c r="G287" s="77" t="str">
        <f>G286</f>
        <v>Ground Floor For Residential &amp; Meter Room</v>
      </c>
      <c r="H287" s="78"/>
      <c r="I287" s="35"/>
      <c r="L287" s="85"/>
      <c r="M287" s="85"/>
      <c r="N287" s="35"/>
    </row>
    <row r="288" spans="1:14" s="36" customFormat="1" hidden="1" x14ac:dyDescent="0.3">
      <c r="A288" s="77">
        <f>A287+1</f>
        <v>5</v>
      </c>
      <c r="B288" s="78"/>
      <c r="C288" s="51" t="s">
        <v>188</v>
      </c>
      <c r="D288" s="53">
        <f>(44.38)*10.764</f>
        <v>477.70632000000001</v>
      </c>
      <c r="E288" s="41">
        <v>0</v>
      </c>
      <c r="F288" s="41">
        <f>D288*(($F$152)+1)+(IF(E288&lt;101,E288,IF(E288&lt;201,E288/2,IF(E288&lt;=301,E288/3,E288/4))))</f>
        <v>716.55948000000001</v>
      </c>
      <c r="G288" s="77" t="str">
        <f>G287</f>
        <v>Ground Floor For Residential &amp; Meter Room</v>
      </c>
      <c r="H288" s="78"/>
      <c r="I288" s="35"/>
      <c r="L288" s="85"/>
      <c r="M288" s="85"/>
      <c r="N288" s="35"/>
    </row>
    <row r="289" spans="1:14" s="36" customFormat="1" hidden="1" x14ac:dyDescent="0.3">
      <c r="A289" s="79" t="s">
        <v>189</v>
      </c>
      <c r="B289" s="79"/>
      <c r="C289" s="79"/>
      <c r="D289" s="79"/>
      <c r="E289" s="79"/>
      <c r="F289" s="79"/>
      <c r="G289" s="79"/>
      <c r="H289" s="79"/>
      <c r="I289" s="35"/>
      <c r="L289" s="85"/>
      <c r="M289" s="85"/>
    </row>
    <row r="290" spans="1:14" s="36" customFormat="1" hidden="1" x14ac:dyDescent="0.3">
      <c r="A290" s="67">
        <v>1</v>
      </c>
      <c r="B290" s="67"/>
      <c r="C290" s="51" t="s">
        <v>187</v>
      </c>
      <c r="D290" s="53">
        <f>(53.32)*10.764</f>
        <v>573.93647999999996</v>
      </c>
      <c r="E290" s="41">
        <v>0</v>
      </c>
      <c r="F290" s="41">
        <f t="shared" ref="F290:F295" si="17">D290*(($F$152)+1)+(IF(E290&lt;101,E290,IF(E290&lt;201,E290/2,IF(E290&lt;=301,E290/3,E290/4))))</f>
        <v>860.90472</v>
      </c>
      <c r="G290" s="67" t="str">
        <f>A289</f>
        <v>1st &amp; 2nd Floor</v>
      </c>
      <c r="H290" s="67"/>
      <c r="I290" s="35"/>
      <c r="N290" s="35"/>
    </row>
    <row r="291" spans="1:14" s="36" customFormat="1" hidden="1" x14ac:dyDescent="0.3">
      <c r="A291" s="67">
        <f>A290+1</f>
        <v>2</v>
      </c>
      <c r="B291" s="67"/>
      <c r="C291" s="51" t="s">
        <v>187</v>
      </c>
      <c r="D291" s="53">
        <f>(53.32)*10.764</f>
        <v>573.93647999999996</v>
      </c>
      <c r="E291" s="41">
        <v>0</v>
      </c>
      <c r="F291" s="41">
        <f t="shared" si="17"/>
        <v>860.90472</v>
      </c>
      <c r="G291" s="67" t="str">
        <f>G290</f>
        <v>1st &amp; 2nd Floor</v>
      </c>
      <c r="H291" s="67"/>
      <c r="I291" s="35"/>
      <c r="L291" s="52"/>
      <c r="N291" s="35"/>
    </row>
    <row r="292" spans="1:14" s="36" customFormat="1" hidden="1" x14ac:dyDescent="0.3">
      <c r="A292" s="67">
        <f>A291+1</f>
        <v>3</v>
      </c>
      <c r="B292" s="67"/>
      <c r="C292" s="51" t="s">
        <v>187</v>
      </c>
      <c r="D292" s="53">
        <f>(53.5)*10.764</f>
        <v>575.87399999999991</v>
      </c>
      <c r="E292" s="41">
        <v>0</v>
      </c>
      <c r="F292" s="41">
        <f t="shared" si="17"/>
        <v>863.81099999999992</v>
      </c>
      <c r="G292" s="67" t="str">
        <f>G291</f>
        <v>1st &amp; 2nd Floor</v>
      </c>
      <c r="H292" s="67"/>
      <c r="I292" s="35"/>
      <c r="N292" s="35"/>
    </row>
    <row r="293" spans="1:14" s="36" customFormat="1" hidden="1" x14ac:dyDescent="0.3">
      <c r="A293" s="67">
        <f>A292+1</f>
        <v>4</v>
      </c>
      <c r="B293" s="67"/>
      <c r="C293" s="51" t="s">
        <v>187</v>
      </c>
      <c r="D293" s="53">
        <f>(53.5)*10.764</f>
        <v>575.87399999999991</v>
      </c>
      <c r="E293" s="41">
        <v>0</v>
      </c>
      <c r="F293" s="41">
        <f t="shared" si="17"/>
        <v>863.81099999999992</v>
      </c>
      <c r="G293" s="67" t="str">
        <f>G292</f>
        <v>1st &amp; 2nd Floor</v>
      </c>
      <c r="H293" s="67"/>
      <c r="I293" s="35"/>
      <c r="N293" s="35"/>
    </row>
    <row r="294" spans="1:14" s="36" customFormat="1" hidden="1" x14ac:dyDescent="0.3">
      <c r="A294" s="67">
        <f>A293+1</f>
        <v>5</v>
      </c>
      <c r="B294" s="67"/>
      <c r="C294" s="51" t="s">
        <v>187</v>
      </c>
      <c r="D294" s="53">
        <f>(53.5)*10.764</f>
        <v>575.87399999999991</v>
      </c>
      <c r="E294" s="41">
        <v>0</v>
      </c>
      <c r="F294" s="41">
        <f t="shared" si="17"/>
        <v>863.81099999999992</v>
      </c>
      <c r="G294" s="67" t="str">
        <f>G292</f>
        <v>1st &amp; 2nd Floor</v>
      </c>
      <c r="H294" s="67"/>
      <c r="I294" s="35"/>
      <c r="N294" s="35"/>
    </row>
    <row r="295" spans="1:14" s="36" customFormat="1" hidden="1" x14ac:dyDescent="0.3">
      <c r="A295" s="67">
        <f>A294+1</f>
        <v>6</v>
      </c>
      <c r="B295" s="67"/>
      <c r="C295" s="51" t="s">
        <v>187</v>
      </c>
      <c r="D295" s="53">
        <f>(53.5)*10.764</f>
        <v>575.87399999999991</v>
      </c>
      <c r="E295" s="41">
        <v>0</v>
      </c>
      <c r="F295" s="41">
        <f t="shared" si="17"/>
        <v>863.81099999999992</v>
      </c>
      <c r="G295" s="67" t="str">
        <f>G293</f>
        <v>1st &amp; 2nd Floor</v>
      </c>
      <c r="H295" s="67"/>
      <c r="I295" s="35"/>
      <c r="N295" s="35"/>
    </row>
    <row r="296" spans="1:14" s="36" customFormat="1" ht="15.75" hidden="1" customHeight="1" x14ac:dyDescent="0.3">
      <c r="A296" s="74" t="s">
        <v>207</v>
      </c>
      <c r="B296" s="75"/>
      <c r="C296" s="75"/>
      <c r="D296" s="75"/>
      <c r="E296" s="75"/>
      <c r="F296" s="75"/>
      <c r="G296" s="75"/>
      <c r="H296" s="76"/>
      <c r="I296" s="35"/>
    </row>
    <row r="297" spans="1:14" s="36" customFormat="1" hidden="1" x14ac:dyDescent="0.3">
      <c r="A297" s="77">
        <v>1</v>
      </c>
      <c r="B297" s="78"/>
      <c r="C297" s="51" t="s">
        <v>187</v>
      </c>
      <c r="D297" s="53">
        <f>(53.32)*10.764</f>
        <v>573.93647999999996</v>
      </c>
      <c r="E297" s="41">
        <v>0</v>
      </c>
      <c r="F297" s="41">
        <f t="shared" ref="F297:F302" si="18">D297*(($F$152)+1)+(IF(E297&lt;101,E297,IF(E297&lt;201,E297/2,IF(E297&lt;=301,E297/3,E297/4))))</f>
        <v>860.90472</v>
      </c>
      <c r="G297" s="77" t="str">
        <f>A296</f>
        <v>3rd to 7th, 9th to 12th Floor for Residential</v>
      </c>
      <c r="H297" s="78"/>
      <c r="I297" s="35"/>
    </row>
    <row r="298" spans="1:14" s="36" customFormat="1" hidden="1" x14ac:dyDescent="0.3">
      <c r="A298" s="77">
        <v>2</v>
      </c>
      <c r="B298" s="78"/>
      <c r="C298" s="51" t="s">
        <v>187</v>
      </c>
      <c r="D298" s="53">
        <f>(53.32)*10.764</f>
        <v>573.93647999999996</v>
      </c>
      <c r="E298" s="41">
        <v>0</v>
      </c>
      <c r="F298" s="41">
        <f t="shared" si="18"/>
        <v>860.90472</v>
      </c>
      <c r="G298" s="77" t="str">
        <f>G297</f>
        <v>3rd to 7th, 9th to 12th Floor for Residential</v>
      </c>
      <c r="H298" s="78"/>
      <c r="I298" s="35"/>
    </row>
    <row r="299" spans="1:14" s="36" customFormat="1" ht="15.75" hidden="1" customHeight="1" x14ac:dyDescent="0.3">
      <c r="A299" s="77">
        <v>3</v>
      </c>
      <c r="B299" s="78"/>
      <c r="C299" s="51" t="s">
        <v>187</v>
      </c>
      <c r="D299" s="53">
        <f>(53.5)*10.764</f>
        <v>575.87399999999991</v>
      </c>
      <c r="E299" s="41">
        <v>0</v>
      </c>
      <c r="F299" s="41">
        <f t="shared" si="18"/>
        <v>863.81099999999992</v>
      </c>
      <c r="G299" s="77" t="str">
        <f>G298</f>
        <v>3rd to 7th, 9th to 12th Floor for Residential</v>
      </c>
      <c r="H299" s="78"/>
      <c r="I299" s="35"/>
    </row>
    <row r="300" spans="1:14" s="36" customFormat="1" ht="15.75" hidden="1" customHeight="1" x14ac:dyDescent="0.3">
      <c r="A300" s="77">
        <v>4</v>
      </c>
      <c r="B300" s="78"/>
      <c r="C300" s="51" t="s">
        <v>187</v>
      </c>
      <c r="D300" s="53">
        <f>(53.5)*10.764</f>
        <v>575.87399999999991</v>
      </c>
      <c r="E300" s="41">
        <v>0</v>
      </c>
      <c r="F300" s="41">
        <f t="shared" si="18"/>
        <v>863.81099999999992</v>
      </c>
      <c r="G300" s="77" t="str">
        <f>G299</f>
        <v>3rd to 7th, 9th to 12th Floor for Residential</v>
      </c>
      <c r="H300" s="78"/>
      <c r="I300" s="35"/>
    </row>
    <row r="301" spans="1:14" s="36" customFormat="1" ht="15.75" hidden="1" customHeight="1" x14ac:dyDescent="0.3">
      <c r="A301" s="77">
        <v>5</v>
      </c>
      <c r="B301" s="78"/>
      <c r="C301" s="51" t="s">
        <v>187</v>
      </c>
      <c r="D301" s="53">
        <f>(53.5)*10.764</f>
        <v>575.87399999999991</v>
      </c>
      <c r="E301" s="41">
        <v>0</v>
      </c>
      <c r="F301" s="41">
        <f t="shared" si="18"/>
        <v>863.81099999999992</v>
      </c>
      <c r="G301" s="77" t="str">
        <f>G299</f>
        <v>3rd to 7th, 9th to 12th Floor for Residential</v>
      </c>
      <c r="H301" s="78"/>
      <c r="I301" s="35"/>
    </row>
    <row r="302" spans="1:14" s="36" customFormat="1" ht="15.75" hidden="1" customHeight="1" x14ac:dyDescent="0.3">
      <c r="A302" s="77">
        <v>6</v>
      </c>
      <c r="B302" s="78"/>
      <c r="C302" s="51" t="s">
        <v>187</v>
      </c>
      <c r="D302" s="53">
        <f>(53.5)*10.764</f>
        <v>575.87399999999991</v>
      </c>
      <c r="E302" s="41">
        <v>0</v>
      </c>
      <c r="F302" s="41">
        <f t="shared" si="18"/>
        <v>863.81099999999992</v>
      </c>
      <c r="G302" s="77" t="str">
        <f>G300</f>
        <v>3rd to 7th, 9th to 12th Floor for Residential</v>
      </c>
      <c r="H302" s="78"/>
      <c r="I302" s="35"/>
    </row>
    <row r="303" spans="1:14" s="36" customFormat="1" ht="36.75" hidden="1" customHeight="1" x14ac:dyDescent="0.3">
      <c r="A303" s="74" t="s">
        <v>208</v>
      </c>
      <c r="B303" s="75"/>
      <c r="C303" s="75"/>
      <c r="D303" s="75"/>
      <c r="E303" s="75"/>
      <c r="F303" s="75"/>
      <c r="G303" s="75"/>
      <c r="H303" s="76"/>
      <c r="I303" s="35"/>
    </row>
    <row r="304" spans="1:14" s="36" customFormat="1" hidden="1" x14ac:dyDescent="0.3">
      <c r="A304" s="77">
        <v>1</v>
      </c>
      <c r="B304" s="78"/>
      <c r="C304" s="51" t="s">
        <v>187</v>
      </c>
      <c r="D304" s="53">
        <f>(53.32)*10.764</f>
        <v>573.93647999999996</v>
      </c>
      <c r="E304" s="41">
        <v>0</v>
      </c>
      <c r="F304" s="41">
        <f t="shared" ref="F304:F309" si="19">D304*(($F$152)+1)+(IF(E304&lt;101,E304,IF(E304&lt;201,E304/2,IF(E304&lt;=301,E304/3,E304/4))))</f>
        <v>860.90472</v>
      </c>
      <c r="G304" s="77" t="str">
        <f>A303</f>
        <v>14th to 17th Floor (15th to 18th Floor as per Builder)
19th to 23rd Floor (20th to 24th Floor as per Builder)</v>
      </c>
      <c r="H304" s="78"/>
      <c r="I304" s="35"/>
    </row>
    <row r="305" spans="1:16" s="36" customFormat="1" hidden="1" x14ac:dyDescent="0.3">
      <c r="A305" s="77">
        <v>2</v>
      </c>
      <c r="B305" s="78"/>
      <c r="C305" s="51" t="s">
        <v>187</v>
      </c>
      <c r="D305" s="53">
        <f>(53.32)*10.764</f>
        <v>573.93647999999996</v>
      </c>
      <c r="E305" s="41">
        <v>0</v>
      </c>
      <c r="F305" s="41">
        <f t="shared" si="19"/>
        <v>860.90472</v>
      </c>
      <c r="G305" s="77" t="str">
        <f>G304</f>
        <v>14th to 17th Floor (15th to 18th Floor as per Builder)
19th to 23rd Floor (20th to 24th Floor as per Builder)</v>
      </c>
      <c r="H305" s="78"/>
      <c r="I305" s="35"/>
    </row>
    <row r="306" spans="1:16" s="36" customFormat="1" ht="15.75" hidden="1" customHeight="1" x14ac:dyDescent="0.3">
      <c r="A306" s="77">
        <v>3</v>
      </c>
      <c r="B306" s="78"/>
      <c r="C306" s="51" t="s">
        <v>187</v>
      </c>
      <c r="D306" s="53">
        <f>(53.5)*10.764</f>
        <v>575.87399999999991</v>
      </c>
      <c r="E306" s="41">
        <v>0</v>
      </c>
      <c r="F306" s="41">
        <f t="shared" si="19"/>
        <v>863.81099999999992</v>
      </c>
      <c r="G306" s="77" t="str">
        <f>G305</f>
        <v>14th to 17th Floor (15th to 18th Floor as per Builder)
19th to 23rd Floor (20th to 24th Floor as per Builder)</v>
      </c>
      <c r="H306" s="78"/>
      <c r="I306" s="35"/>
    </row>
    <row r="307" spans="1:16" s="36" customFormat="1" ht="15.75" hidden="1" customHeight="1" x14ac:dyDescent="0.3">
      <c r="A307" s="77">
        <v>4</v>
      </c>
      <c r="B307" s="78"/>
      <c r="C307" s="51" t="s">
        <v>187</v>
      </c>
      <c r="D307" s="53">
        <f>(53.5)*10.764</f>
        <v>575.87399999999991</v>
      </c>
      <c r="E307" s="41">
        <v>0</v>
      </c>
      <c r="F307" s="41">
        <f t="shared" si="19"/>
        <v>863.81099999999992</v>
      </c>
      <c r="G307" s="77" t="str">
        <f>G306</f>
        <v>14th to 17th Floor (15th to 18th Floor as per Builder)
19th to 23rd Floor (20th to 24th Floor as per Builder)</v>
      </c>
      <c r="H307" s="78"/>
      <c r="I307" s="35"/>
    </row>
    <row r="308" spans="1:16" s="36" customFormat="1" ht="15.75" hidden="1" customHeight="1" x14ac:dyDescent="0.3">
      <c r="A308" s="77">
        <v>5</v>
      </c>
      <c r="B308" s="78"/>
      <c r="C308" s="51" t="s">
        <v>187</v>
      </c>
      <c r="D308" s="53">
        <f>(53.5)*10.764</f>
        <v>575.87399999999991</v>
      </c>
      <c r="E308" s="41">
        <v>0</v>
      </c>
      <c r="F308" s="41">
        <f t="shared" si="19"/>
        <v>863.81099999999992</v>
      </c>
      <c r="G308" s="77" t="str">
        <f>G306</f>
        <v>14th to 17th Floor (15th to 18th Floor as per Builder)
19th to 23rd Floor (20th to 24th Floor as per Builder)</v>
      </c>
      <c r="H308" s="78"/>
      <c r="I308" s="35"/>
    </row>
    <row r="309" spans="1:16" s="36" customFormat="1" ht="15.75" hidden="1" customHeight="1" x14ac:dyDescent="0.3">
      <c r="A309" s="77">
        <v>6</v>
      </c>
      <c r="B309" s="78"/>
      <c r="C309" s="51" t="s">
        <v>187</v>
      </c>
      <c r="D309" s="53">
        <f>(53.5)*10.764</f>
        <v>575.87399999999991</v>
      </c>
      <c r="E309" s="41">
        <v>0</v>
      </c>
      <c r="F309" s="41">
        <f t="shared" si="19"/>
        <v>863.81099999999992</v>
      </c>
      <c r="G309" s="77" t="str">
        <f>G307</f>
        <v>14th to 17th Floor (15th to 18th Floor as per Builder)
19th to 23rd Floor (20th to 24th Floor as per Builder)</v>
      </c>
      <c r="H309" s="78"/>
      <c r="I309" s="35"/>
    </row>
    <row r="310" spans="1:16" s="36" customFormat="1" ht="66" hidden="1" customHeight="1" x14ac:dyDescent="0.3">
      <c r="A310" s="74" t="s">
        <v>209</v>
      </c>
      <c r="B310" s="75"/>
      <c r="C310" s="75"/>
      <c r="D310" s="75"/>
      <c r="E310" s="75"/>
      <c r="F310" s="75"/>
      <c r="G310" s="75"/>
      <c r="H310" s="76"/>
      <c r="I310" s="74"/>
      <c r="J310" s="75"/>
      <c r="K310" s="75"/>
      <c r="L310" s="75"/>
      <c r="M310" s="75"/>
      <c r="N310" s="75"/>
      <c r="O310" s="75"/>
      <c r="P310" s="76"/>
    </row>
    <row r="311" spans="1:16" s="36" customFormat="1" hidden="1" x14ac:dyDescent="0.3">
      <c r="A311" s="77">
        <v>1</v>
      </c>
      <c r="B311" s="78"/>
      <c r="C311" s="51" t="s">
        <v>187</v>
      </c>
      <c r="D311" s="53">
        <f>(53.32)*10.764</f>
        <v>573.93647999999996</v>
      </c>
      <c r="E311" s="41">
        <v>0</v>
      </c>
      <c r="F311" s="41">
        <f>D311*(($F$152)+1)+(IF(E311&lt;101,E311,IF(E311&lt;201,E311/2,IF(E311&lt;=301,E311/3,E311/4))))</f>
        <v>860.90472</v>
      </c>
      <c r="G311" s="77" t="str">
        <f>A310</f>
        <v>8th Floor
13th Floor (14th Floor as per Builder)
18th Floor (19th Floor as per Builder)
(Part Refuge Area)</v>
      </c>
      <c r="H311" s="78"/>
      <c r="I311" s="35"/>
    </row>
    <row r="312" spans="1:16" s="36" customFormat="1" hidden="1" x14ac:dyDescent="0.3">
      <c r="A312" s="77">
        <v>2</v>
      </c>
      <c r="B312" s="78"/>
      <c r="C312" s="51" t="s">
        <v>187</v>
      </c>
      <c r="D312" s="53">
        <f>(53.32)*10.764</f>
        <v>573.93647999999996</v>
      </c>
      <c r="E312" s="41">
        <v>0</v>
      </c>
      <c r="F312" s="41">
        <f>D312*(($F$152)+1)+(IF(E312&lt;101,E312,IF(E312&lt;201,E312/2,IF(E312&lt;=301,E312/3,E312/4))))</f>
        <v>860.90472</v>
      </c>
      <c r="G312" s="77" t="str">
        <f>G311</f>
        <v>8th Floor
13th Floor (14th Floor as per Builder)
18th Floor (19th Floor as per Builder)
(Part Refuge Area)</v>
      </c>
      <c r="H312" s="78"/>
      <c r="I312" s="35"/>
    </row>
    <row r="313" spans="1:16" s="36" customFormat="1" ht="15.75" hidden="1" customHeight="1" x14ac:dyDescent="0.3">
      <c r="A313" s="77">
        <v>3</v>
      </c>
      <c r="B313" s="78"/>
      <c r="C313" s="51" t="s">
        <v>187</v>
      </c>
      <c r="D313" s="53">
        <f>(53.5)*10.764</f>
        <v>575.87399999999991</v>
      </c>
      <c r="E313" s="41">
        <v>0</v>
      </c>
      <c r="F313" s="41">
        <f>D313*(($F$152)+1)+(IF(E313&lt;101,E313,IF(E313&lt;201,E313/2,IF(E313&lt;=301,E313/3,E313/4))))</f>
        <v>863.81099999999992</v>
      </c>
      <c r="G313" s="77" t="str">
        <f>G312</f>
        <v>8th Floor
13th Floor (14th Floor as per Builder)
18th Floor (19th Floor as per Builder)
(Part Refuge Area)</v>
      </c>
      <c r="H313" s="78"/>
      <c r="I313" s="35"/>
    </row>
    <row r="314" spans="1:16" s="36" customFormat="1" ht="15.75" hidden="1" customHeight="1" x14ac:dyDescent="0.3">
      <c r="A314" s="77">
        <v>4</v>
      </c>
      <c r="B314" s="78"/>
      <c r="C314" s="80" t="s">
        <v>190</v>
      </c>
      <c r="D314" s="81"/>
      <c r="E314" s="81"/>
      <c r="F314" s="82"/>
      <c r="G314" s="77" t="str">
        <f>G313</f>
        <v>8th Floor
13th Floor (14th Floor as per Builder)
18th Floor (19th Floor as per Builder)
(Part Refuge Area)</v>
      </c>
      <c r="H314" s="78"/>
      <c r="I314" s="35"/>
    </row>
    <row r="315" spans="1:16" s="36" customFormat="1" ht="15.75" hidden="1" customHeight="1" x14ac:dyDescent="0.3">
      <c r="A315" s="77">
        <v>5</v>
      </c>
      <c r="B315" s="78"/>
      <c r="C315" s="51" t="s">
        <v>187</v>
      </c>
      <c r="D315" s="53">
        <f>(53.5)*10.764</f>
        <v>575.87399999999991</v>
      </c>
      <c r="E315" s="41">
        <v>0</v>
      </c>
      <c r="F315" s="41">
        <f>D315*(($F$152)+1)+(IF(E315&lt;101,E315,IF(E315&lt;201,E315/2,IF(E315&lt;=301,E315/3,E315/4))))</f>
        <v>863.81099999999992</v>
      </c>
      <c r="G315" s="77" t="str">
        <f>G313</f>
        <v>8th Floor
13th Floor (14th Floor as per Builder)
18th Floor (19th Floor as per Builder)
(Part Refuge Area)</v>
      </c>
      <c r="H315" s="78"/>
      <c r="I315" s="35"/>
    </row>
    <row r="316" spans="1:16" s="36" customFormat="1" ht="15.75" hidden="1" customHeight="1" x14ac:dyDescent="0.3">
      <c r="A316" s="77">
        <v>6</v>
      </c>
      <c r="B316" s="78"/>
      <c r="C316" s="51" t="s">
        <v>187</v>
      </c>
      <c r="D316" s="53">
        <f>(53.5)*10.764</f>
        <v>575.87399999999991</v>
      </c>
      <c r="E316" s="41">
        <v>0</v>
      </c>
      <c r="F316" s="41">
        <f>D316*(($F$152)+1)+(IF(E316&lt;101,E316,IF(E316&lt;201,E316/2,IF(E316&lt;=301,E316/3,E316/4))))</f>
        <v>863.81099999999992</v>
      </c>
      <c r="G316" s="77" t="str">
        <f>G314</f>
        <v>8th Floor
13th Floor (14th Floor as per Builder)
18th Floor (19th Floor as per Builder)
(Part Refuge Area)</v>
      </c>
      <c r="H316" s="78"/>
      <c r="I316" s="35"/>
    </row>
    <row r="317" spans="1:16" s="34" customFormat="1" x14ac:dyDescent="0.3">
      <c r="A317" s="191" t="s">
        <v>68</v>
      </c>
      <c r="B317" s="191"/>
      <c r="C317" s="191"/>
      <c r="D317" s="191"/>
      <c r="E317" s="191"/>
      <c r="F317" s="191"/>
      <c r="G317" s="191"/>
      <c r="H317" s="191"/>
    </row>
    <row r="318" spans="1:16" s="34" customFormat="1" x14ac:dyDescent="0.3">
      <c r="A318" s="44" t="s">
        <v>156</v>
      </c>
      <c r="B318" s="137" t="s">
        <v>235</v>
      </c>
      <c r="C318" s="138"/>
      <c r="D318" s="138"/>
      <c r="E318" s="138"/>
      <c r="F318" s="138"/>
      <c r="G318" s="138"/>
      <c r="H318" s="139"/>
    </row>
    <row r="319" spans="1:16" s="34" customFormat="1" x14ac:dyDescent="0.3">
      <c r="A319" s="44" t="s">
        <v>156</v>
      </c>
      <c r="B319" s="137" t="str">
        <f>(IF(F151="Saleable area Loading :","We have considered Saleable area of Flats as per our Calculation.","We considered Saleable area of Flat as per Builder area Sheet."))</f>
        <v>We have considered Saleable area of Flats as per our Calculation.</v>
      </c>
      <c r="C319" s="138"/>
      <c r="D319" s="138"/>
      <c r="E319" s="138"/>
      <c r="F319" s="138"/>
      <c r="G319" s="138"/>
      <c r="H319" s="139"/>
    </row>
    <row r="320" spans="1:16" s="34" customFormat="1" x14ac:dyDescent="0.3">
      <c r="A320" s="44" t="s">
        <v>156</v>
      </c>
      <c r="B320" s="137" t="str">
        <f>(IF(F135="Saleable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20" s="138"/>
      <c r="D320" s="138"/>
      <c r="E320" s="138"/>
      <c r="F320" s="138"/>
      <c r="G320" s="138"/>
      <c r="H320" s="139"/>
    </row>
    <row r="321" spans="1:8" s="34" customFormat="1" x14ac:dyDescent="0.3">
      <c r="A321" s="44" t="s">
        <v>156</v>
      </c>
      <c r="B321" s="134" t="s">
        <v>124</v>
      </c>
      <c r="C321" s="135"/>
      <c r="D321" s="135"/>
      <c r="E321" s="135"/>
      <c r="F321" s="135"/>
      <c r="G321" s="135"/>
      <c r="H321" s="136"/>
    </row>
    <row r="322" spans="1:8" s="34" customFormat="1" x14ac:dyDescent="0.3">
      <c r="A322" s="44" t="s">
        <v>156</v>
      </c>
      <c r="B322" s="134" t="s">
        <v>200</v>
      </c>
      <c r="C322" s="135"/>
      <c r="D322" s="135"/>
      <c r="E322" s="135"/>
      <c r="F322" s="135"/>
      <c r="G322" s="135"/>
      <c r="H322" s="136"/>
    </row>
    <row r="323" spans="1:8" s="34" customFormat="1" x14ac:dyDescent="0.3">
      <c r="A323" s="44" t="s">
        <v>156</v>
      </c>
      <c r="B323" s="134" t="s">
        <v>155</v>
      </c>
      <c r="C323" s="135"/>
      <c r="D323" s="135"/>
      <c r="E323" s="135"/>
      <c r="F323" s="135"/>
      <c r="G323" s="135"/>
      <c r="H323" s="136"/>
    </row>
    <row r="324" spans="1:8" s="34" customFormat="1" x14ac:dyDescent="0.3">
      <c r="A324" s="44" t="s">
        <v>156</v>
      </c>
      <c r="B324" s="134" t="s">
        <v>125</v>
      </c>
      <c r="C324" s="135"/>
      <c r="D324" s="135"/>
      <c r="E324" s="135"/>
      <c r="F324" s="135"/>
      <c r="G324" s="135"/>
      <c r="H324" s="136"/>
    </row>
    <row r="325" spans="1:8" s="34" customFormat="1" ht="34.5" customHeight="1" x14ac:dyDescent="0.3">
      <c r="A325" s="44" t="s">
        <v>156</v>
      </c>
      <c r="B325" s="134" t="s">
        <v>157</v>
      </c>
      <c r="C325" s="135"/>
      <c r="D325" s="135"/>
      <c r="E325" s="135"/>
      <c r="F325" s="135"/>
      <c r="G325" s="135"/>
      <c r="H325" s="136"/>
    </row>
    <row r="326" spans="1:8" s="34" customFormat="1" x14ac:dyDescent="0.3">
      <c r="A326" s="44" t="s">
        <v>156</v>
      </c>
      <c r="B326" s="134" t="s">
        <v>126</v>
      </c>
      <c r="C326" s="135"/>
      <c r="D326" s="135"/>
      <c r="E326" s="135"/>
      <c r="F326" s="135"/>
      <c r="G326" s="135"/>
      <c r="H326" s="136"/>
    </row>
    <row r="327" spans="1:8" s="34" customFormat="1" x14ac:dyDescent="0.3">
      <c r="A327" s="44" t="s">
        <v>156</v>
      </c>
      <c r="B327" s="137" t="s">
        <v>222</v>
      </c>
      <c r="C327" s="138"/>
      <c r="D327" s="138"/>
      <c r="E327" s="138"/>
      <c r="F327" s="138"/>
      <c r="G327" s="138"/>
      <c r="H327" s="139"/>
    </row>
    <row r="328" spans="1:8" x14ac:dyDescent="0.3">
      <c r="A328" s="111" t="s">
        <v>61</v>
      </c>
      <c r="B328" s="111"/>
      <c r="C328" s="111"/>
      <c r="D328" s="111"/>
      <c r="E328" s="111"/>
      <c r="F328" s="111"/>
      <c r="G328" s="111"/>
      <c r="H328" s="111"/>
    </row>
    <row r="329" spans="1:8" x14ac:dyDescent="0.3">
      <c r="A329" s="86" t="s">
        <v>62</v>
      </c>
      <c r="B329" s="86"/>
      <c r="C329" s="86"/>
      <c r="D329" s="86"/>
      <c r="E329" s="86"/>
      <c r="F329" s="86"/>
      <c r="G329" s="86"/>
      <c r="H329" s="86"/>
    </row>
    <row r="330" spans="1:8" ht="15.75" customHeight="1" x14ac:dyDescent="0.3">
      <c r="A330" s="118" t="s">
        <v>63</v>
      </c>
      <c r="B330" s="118"/>
      <c r="C330" s="118"/>
      <c r="D330" s="118"/>
      <c r="E330" s="118"/>
      <c r="F330" s="118"/>
      <c r="G330" s="118"/>
      <c r="H330" s="118"/>
    </row>
    <row r="331" spans="1:8" x14ac:dyDescent="0.3">
      <c r="A331" s="86" t="s">
        <v>64</v>
      </c>
      <c r="B331" s="86"/>
      <c r="C331" s="86"/>
      <c r="D331" s="86"/>
      <c r="E331" s="86"/>
      <c r="F331" s="86"/>
      <c r="G331" s="86"/>
      <c r="H331" s="86"/>
    </row>
    <row r="332" spans="1:8" x14ac:dyDescent="0.3">
      <c r="A332" s="86" t="s">
        <v>65</v>
      </c>
      <c r="B332" s="86"/>
      <c r="C332" s="86"/>
      <c r="D332" s="86"/>
      <c r="E332" s="86"/>
      <c r="F332" s="86"/>
      <c r="G332" s="86"/>
      <c r="H332" s="86"/>
    </row>
    <row r="333" spans="1:8" x14ac:dyDescent="0.3">
      <c r="A333" s="86" t="s">
        <v>127</v>
      </c>
      <c r="B333" s="86"/>
      <c r="C333" s="86"/>
      <c r="D333" s="86"/>
      <c r="E333" s="86"/>
      <c r="F333" s="86"/>
      <c r="G333" s="86"/>
      <c r="H333" s="86"/>
    </row>
    <row r="334" spans="1:8" ht="35.25" customHeight="1" x14ac:dyDescent="0.3">
      <c r="A334" s="112" t="s">
        <v>128</v>
      </c>
      <c r="B334" s="112"/>
      <c r="C334" s="112"/>
      <c r="D334" s="112"/>
      <c r="E334" s="112"/>
      <c r="F334" s="112"/>
      <c r="G334" s="112"/>
      <c r="H334" s="112"/>
    </row>
    <row r="335" spans="1:8" x14ac:dyDescent="0.3">
      <c r="A335" s="142" t="s">
        <v>77</v>
      </c>
      <c r="B335" s="142"/>
      <c r="C335" s="142" t="s">
        <v>234</v>
      </c>
      <c r="D335" s="142"/>
      <c r="E335" s="142" t="s">
        <v>105</v>
      </c>
      <c r="F335" s="142"/>
      <c r="G335" s="142" t="s">
        <v>233</v>
      </c>
      <c r="H335" s="142"/>
    </row>
    <row r="336" spans="1:8" x14ac:dyDescent="0.3">
      <c r="A336" s="141" t="s">
        <v>79</v>
      </c>
      <c r="B336" s="141"/>
      <c r="C336" s="141"/>
      <c r="D336" s="141"/>
      <c r="E336" s="141"/>
      <c r="F336" s="141"/>
      <c r="G336" s="141"/>
      <c r="H336" s="141"/>
    </row>
    <row r="337" spans="1:8" x14ac:dyDescent="0.3">
      <c r="A337" s="141"/>
      <c r="B337" s="141"/>
      <c r="C337" s="141"/>
      <c r="D337" s="141"/>
      <c r="E337" s="141"/>
      <c r="F337" s="141"/>
      <c r="G337" s="141"/>
      <c r="H337" s="141"/>
    </row>
    <row r="338" spans="1:8" x14ac:dyDescent="0.3">
      <c r="A338" s="141"/>
      <c r="B338" s="141"/>
      <c r="C338" s="141"/>
      <c r="D338" s="141"/>
      <c r="E338" s="141"/>
      <c r="F338" s="141"/>
      <c r="G338" s="141"/>
      <c r="H338" s="141"/>
    </row>
    <row r="339" spans="1:8" x14ac:dyDescent="0.3">
      <c r="A339" s="141"/>
      <c r="B339" s="141"/>
      <c r="C339" s="141"/>
      <c r="D339" s="141"/>
      <c r="E339" s="141"/>
      <c r="F339" s="141"/>
      <c r="G339" s="141"/>
      <c r="H339" s="141"/>
    </row>
    <row r="340" spans="1:8" x14ac:dyDescent="0.3">
      <c r="A340" s="37" t="s">
        <v>66</v>
      </c>
      <c r="B340" s="38"/>
      <c r="C340" s="38"/>
      <c r="D340" s="37" t="str">
        <f>E9</f>
        <v>Upper Thane - Casa Eden</v>
      </c>
      <c r="F340" s="38"/>
      <c r="G340" s="38"/>
      <c r="H340" s="38"/>
    </row>
    <row r="341" spans="1:8" x14ac:dyDescent="0.3">
      <c r="A341" s="38"/>
      <c r="B341" s="38"/>
      <c r="C341" s="38"/>
      <c r="D341" s="38"/>
      <c r="E341" s="38"/>
      <c r="F341" s="38"/>
      <c r="G341" s="38"/>
      <c r="H341" s="38"/>
    </row>
    <row r="342" spans="1:8" x14ac:dyDescent="0.3">
      <c r="A342" s="38"/>
      <c r="B342" s="38"/>
      <c r="C342" s="38"/>
      <c r="D342" s="38"/>
      <c r="E342" s="38"/>
      <c r="F342" s="38"/>
      <c r="G342" s="38"/>
      <c r="H342" s="38"/>
    </row>
    <row r="343" spans="1:8" ht="15" customHeight="1" x14ac:dyDescent="0.3"/>
    <row r="382" spans="1:1" x14ac:dyDescent="0.3">
      <c r="A382" s="40" t="s">
        <v>67</v>
      </c>
    </row>
    <row r="425" spans="1:1" x14ac:dyDescent="0.3">
      <c r="A425" s="40" t="s">
        <v>213</v>
      </c>
    </row>
  </sheetData>
  <mergeCells count="656">
    <mergeCell ref="C37:H37"/>
    <mergeCell ref="G277:H277"/>
    <mergeCell ref="L277:M277"/>
    <mergeCell ref="L257:M257"/>
    <mergeCell ref="L258:M258"/>
    <mergeCell ref="L259:M259"/>
    <mergeCell ref="L270:M270"/>
    <mergeCell ref="A267:H267"/>
    <mergeCell ref="A268:B268"/>
    <mergeCell ref="G268:H268"/>
    <mergeCell ref="A260:H260"/>
    <mergeCell ref="A261:B261"/>
    <mergeCell ref="G261:H261"/>
    <mergeCell ref="L261:M261"/>
    <mergeCell ref="A263:B263"/>
    <mergeCell ref="G263:H263"/>
    <mergeCell ref="A275:B275"/>
    <mergeCell ref="G275:H275"/>
    <mergeCell ref="L275:M275"/>
    <mergeCell ref="A276:B276"/>
    <mergeCell ref="G276:H276"/>
    <mergeCell ref="L276:M276"/>
    <mergeCell ref="A277:B277"/>
    <mergeCell ref="L263:M263"/>
    <mergeCell ref="A251:B251"/>
    <mergeCell ref="L266:M266"/>
    <mergeCell ref="A274:H274"/>
    <mergeCell ref="L262:M262"/>
    <mergeCell ref="A265:B265"/>
    <mergeCell ref="G265:H265"/>
    <mergeCell ref="L265:M265"/>
    <mergeCell ref="A264:B264"/>
    <mergeCell ref="G264:H264"/>
    <mergeCell ref="L264:M264"/>
    <mergeCell ref="G259:H259"/>
    <mergeCell ref="A258:B258"/>
    <mergeCell ref="G258:H258"/>
    <mergeCell ref="G269:H269"/>
    <mergeCell ref="L269:M269"/>
    <mergeCell ref="L268:M268"/>
    <mergeCell ref="A269:B269"/>
    <mergeCell ref="L237:M237"/>
    <mergeCell ref="A238:B238"/>
    <mergeCell ref="L238:M238"/>
    <mergeCell ref="A239:B239"/>
    <mergeCell ref="L239:M239"/>
    <mergeCell ref="A233:B233"/>
    <mergeCell ref="L251:M251"/>
    <mergeCell ref="C249:F249"/>
    <mergeCell ref="L255:M255"/>
    <mergeCell ref="L248:M248"/>
    <mergeCell ref="A249:B249"/>
    <mergeCell ref="L249:M249"/>
    <mergeCell ref="A252:H252"/>
    <mergeCell ref="L240:M240"/>
    <mergeCell ref="A241:B241"/>
    <mergeCell ref="L241:M241"/>
    <mergeCell ref="A242:B242"/>
    <mergeCell ref="L242:M242"/>
    <mergeCell ref="A243:B243"/>
    <mergeCell ref="L243:M243"/>
    <mergeCell ref="A250:B250"/>
    <mergeCell ref="L250:M250"/>
    <mergeCell ref="A245:B245"/>
    <mergeCell ref="L245:M245"/>
    <mergeCell ref="L227:M227"/>
    <mergeCell ref="A228:H228"/>
    <mergeCell ref="A229:B229"/>
    <mergeCell ref="L229:M229"/>
    <mergeCell ref="L233:M233"/>
    <mergeCell ref="A235:B235"/>
    <mergeCell ref="L235:M235"/>
    <mergeCell ref="A234:B234"/>
    <mergeCell ref="L234:M234"/>
    <mergeCell ref="A230:B230"/>
    <mergeCell ref="L230:M230"/>
    <mergeCell ref="A231:B231"/>
    <mergeCell ref="L231:M231"/>
    <mergeCell ref="A232:B232"/>
    <mergeCell ref="L232:M232"/>
    <mergeCell ref="L204:M204"/>
    <mergeCell ref="A218:B218"/>
    <mergeCell ref="L218:M218"/>
    <mergeCell ref="C216:F216"/>
    <mergeCell ref="A220:H220"/>
    <mergeCell ref="A221:H221"/>
    <mergeCell ref="A222:B222"/>
    <mergeCell ref="L222:M222"/>
    <mergeCell ref="A223:B223"/>
    <mergeCell ref="L223:M223"/>
    <mergeCell ref="L206:M206"/>
    <mergeCell ref="L207:M207"/>
    <mergeCell ref="L208:M208"/>
    <mergeCell ref="L209:M209"/>
    <mergeCell ref="L210:M210"/>
    <mergeCell ref="A211:B211"/>
    <mergeCell ref="L211:M211"/>
    <mergeCell ref="A212:H212"/>
    <mergeCell ref="A213:B213"/>
    <mergeCell ref="L213:M213"/>
    <mergeCell ref="A214:B214"/>
    <mergeCell ref="L214:M214"/>
    <mergeCell ref="A215:B215"/>
    <mergeCell ref="L215:M215"/>
    <mergeCell ref="L199:M199"/>
    <mergeCell ref="A200:B200"/>
    <mergeCell ref="L200:M200"/>
    <mergeCell ref="A201:B201"/>
    <mergeCell ref="L201:M201"/>
    <mergeCell ref="A202:B202"/>
    <mergeCell ref="L202:M202"/>
    <mergeCell ref="A203:B203"/>
    <mergeCell ref="L203:M203"/>
    <mergeCell ref="L192:M192"/>
    <mergeCell ref="A193:B193"/>
    <mergeCell ref="L193:M193"/>
    <mergeCell ref="A194:B194"/>
    <mergeCell ref="L194:M194"/>
    <mergeCell ref="A195:B195"/>
    <mergeCell ref="L195:M195"/>
    <mergeCell ref="A197:B197"/>
    <mergeCell ref="L197:M197"/>
    <mergeCell ref="A196:B196"/>
    <mergeCell ref="L196:M196"/>
    <mergeCell ref="A186:B186"/>
    <mergeCell ref="A183:B183"/>
    <mergeCell ref="A182:H182"/>
    <mergeCell ref="A180:B180"/>
    <mergeCell ref="A181:B181"/>
    <mergeCell ref="A171:B171"/>
    <mergeCell ref="A172:B172"/>
    <mergeCell ref="A173:B173"/>
    <mergeCell ref="A174:B174"/>
    <mergeCell ref="L149:M149"/>
    <mergeCell ref="A160:B160"/>
    <mergeCell ref="L160:M160"/>
    <mergeCell ref="A154:H154"/>
    <mergeCell ref="L142:M142"/>
    <mergeCell ref="A143:B143"/>
    <mergeCell ref="G143:H143"/>
    <mergeCell ref="L143:M143"/>
    <mergeCell ref="A144:B144"/>
    <mergeCell ref="G144:H144"/>
    <mergeCell ref="L144:M144"/>
    <mergeCell ref="A145:B145"/>
    <mergeCell ref="G145:H145"/>
    <mergeCell ref="L145:M145"/>
    <mergeCell ref="A156:B156"/>
    <mergeCell ref="A146:B146"/>
    <mergeCell ref="G146:H146"/>
    <mergeCell ref="L146:M146"/>
    <mergeCell ref="A147:B147"/>
    <mergeCell ref="G147:H147"/>
    <mergeCell ref="L147:M147"/>
    <mergeCell ref="A148:B148"/>
    <mergeCell ref="L148:M148"/>
    <mergeCell ref="A153:H153"/>
    <mergeCell ref="F117:H117"/>
    <mergeCell ref="G123:H123"/>
    <mergeCell ref="C135:C136"/>
    <mergeCell ref="B151:B152"/>
    <mergeCell ref="A16:B16"/>
    <mergeCell ref="C16:H16"/>
    <mergeCell ref="A38:B38"/>
    <mergeCell ref="C38:H38"/>
    <mergeCell ref="B325:H325"/>
    <mergeCell ref="A47:B47"/>
    <mergeCell ref="C47:H47"/>
    <mergeCell ref="B323:H323"/>
    <mergeCell ref="A101:B101"/>
    <mergeCell ref="A102:B102"/>
    <mergeCell ref="G86:H95"/>
    <mergeCell ref="A87:B87"/>
    <mergeCell ref="A88:B88"/>
    <mergeCell ref="A89:B89"/>
    <mergeCell ref="D135:D136"/>
    <mergeCell ref="A112:E112"/>
    <mergeCell ref="A138:B138"/>
    <mergeCell ref="A139:B139"/>
    <mergeCell ref="A125:B125"/>
    <mergeCell ref="C186:F186"/>
    <mergeCell ref="A119:E119"/>
    <mergeCell ref="G132:H132"/>
    <mergeCell ref="C125:D125"/>
    <mergeCell ref="E125:F125"/>
    <mergeCell ref="G125:H125"/>
    <mergeCell ref="A126:B126"/>
    <mergeCell ref="C126:D126"/>
    <mergeCell ref="E126:F126"/>
    <mergeCell ref="G126:H126"/>
    <mergeCell ref="A131:B131"/>
    <mergeCell ref="C131:D131"/>
    <mergeCell ref="E131:F131"/>
    <mergeCell ref="G131:H131"/>
    <mergeCell ref="C128:D128"/>
    <mergeCell ref="G128:H128"/>
    <mergeCell ref="A130:B130"/>
    <mergeCell ref="C130:D130"/>
    <mergeCell ref="E130:F130"/>
    <mergeCell ref="G130:H130"/>
    <mergeCell ref="F119:H119"/>
    <mergeCell ref="A84:B84"/>
    <mergeCell ref="C84:H84"/>
    <mergeCell ref="A85:B85"/>
    <mergeCell ref="E85:F85"/>
    <mergeCell ref="G85:H85"/>
    <mergeCell ref="A114:E114"/>
    <mergeCell ref="F114:H114"/>
    <mergeCell ref="A115:E115"/>
    <mergeCell ref="A117:E117"/>
    <mergeCell ref="A116:E116"/>
    <mergeCell ref="A103:B103"/>
    <mergeCell ref="A104:B104"/>
    <mergeCell ref="A105:B105"/>
    <mergeCell ref="A107:B107"/>
    <mergeCell ref="A108:B108"/>
    <mergeCell ref="A98:B98"/>
    <mergeCell ref="C98:H98"/>
    <mergeCell ref="A99:B99"/>
    <mergeCell ref="E99:F99"/>
    <mergeCell ref="G100:H109"/>
    <mergeCell ref="F112:H112"/>
    <mergeCell ref="G99:H99"/>
    <mergeCell ref="A113:E113"/>
    <mergeCell ref="A110:E110"/>
    <mergeCell ref="A118:E118"/>
    <mergeCell ref="B318:H318"/>
    <mergeCell ref="B319:H319"/>
    <mergeCell ref="B321:H321"/>
    <mergeCell ref="B322:H322"/>
    <mergeCell ref="G256:H256"/>
    <mergeCell ref="A317:H317"/>
    <mergeCell ref="A253:H253"/>
    <mergeCell ref="A254:H254"/>
    <mergeCell ref="A255:B255"/>
    <mergeCell ref="G255:H255"/>
    <mergeCell ref="A262:B262"/>
    <mergeCell ref="G262:H262"/>
    <mergeCell ref="A266:B266"/>
    <mergeCell ref="G266:H266"/>
    <mergeCell ref="A278:B278"/>
    <mergeCell ref="C278:F278"/>
    <mergeCell ref="G278:H278"/>
    <mergeCell ref="A283:H283"/>
    <mergeCell ref="A284:B284"/>
    <mergeCell ref="G284:H284"/>
    <mergeCell ref="A207:B207"/>
    <mergeCell ref="A208:B208"/>
    <mergeCell ref="A209:B209"/>
    <mergeCell ref="I182:P182"/>
    <mergeCell ref="A179:B179"/>
    <mergeCell ref="C124:D124"/>
    <mergeCell ref="E124:F124"/>
    <mergeCell ref="B135:B136"/>
    <mergeCell ref="A135:A136"/>
    <mergeCell ref="C151:C152"/>
    <mergeCell ref="C132:D132"/>
    <mergeCell ref="A155:H155"/>
    <mergeCell ref="E132:F132"/>
    <mergeCell ref="A142:B142"/>
    <mergeCell ref="G142:H142"/>
    <mergeCell ref="A141:B141"/>
    <mergeCell ref="A159:B159"/>
    <mergeCell ref="G138:H138"/>
    <mergeCell ref="G139:H139"/>
    <mergeCell ref="G141:H141"/>
    <mergeCell ref="A132:B132"/>
    <mergeCell ref="G156:H160"/>
    <mergeCell ref="G162:H167"/>
    <mergeCell ref="A140:B140"/>
    <mergeCell ref="A149:B149"/>
    <mergeCell ref="G149:H149"/>
    <mergeCell ref="G148:H148"/>
    <mergeCell ref="L161:M161"/>
    <mergeCell ref="A150:H150"/>
    <mergeCell ref="A151:A152"/>
    <mergeCell ref="A167:B167"/>
    <mergeCell ref="A163:B163"/>
    <mergeCell ref="A164:B164"/>
    <mergeCell ref="A165:B165"/>
    <mergeCell ref="L159:M159"/>
    <mergeCell ref="L156:M156"/>
    <mergeCell ref="A157:B157"/>
    <mergeCell ref="L157:M157"/>
    <mergeCell ref="A158:B158"/>
    <mergeCell ref="L158:M158"/>
    <mergeCell ref="A166:B166"/>
    <mergeCell ref="L141:M141"/>
    <mergeCell ref="L140:M140"/>
    <mergeCell ref="L139:M139"/>
    <mergeCell ref="L138:M138"/>
    <mergeCell ref="A79:B79"/>
    <mergeCell ref="C129:D129"/>
    <mergeCell ref="E129:F129"/>
    <mergeCell ref="G129:H129"/>
    <mergeCell ref="F115:H115"/>
    <mergeCell ref="A111:E111"/>
    <mergeCell ref="A96:B96"/>
    <mergeCell ref="C96:H96"/>
    <mergeCell ref="A137:H137"/>
    <mergeCell ref="E135:E136"/>
    <mergeCell ref="G135:H136"/>
    <mergeCell ref="A86:B86"/>
    <mergeCell ref="E86:F95"/>
    <mergeCell ref="A93:B93"/>
    <mergeCell ref="A94:B94"/>
    <mergeCell ref="A95:B95"/>
    <mergeCell ref="A100:B100"/>
    <mergeCell ref="E100:F109"/>
    <mergeCell ref="F110:H110"/>
    <mergeCell ref="F113:H113"/>
    <mergeCell ref="A62:C62"/>
    <mergeCell ref="D61:H61"/>
    <mergeCell ref="E72:F81"/>
    <mergeCell ref="G72:H81"/>
    <mergeCell ref="A80:B80"/>
    <mergeCell ref="A81:B81"/>
    <mergeCell ref="D62:H62"/>
    <mergeCell ref="A42:D42"/>
    <mergeCell ref="E42:H42"/>
    <mergeCell ref="E43:H43"/>
    <mergeCell ref="E44:H44"/>
    <mergeCell ref="E45:H45"/>
    <mergeCell ref="A43:D43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36:H36"/>
    <mergeCell ref="A35:B35"/>
    <mergeCell ref="C35:E35"/>
    <mergeCell ref="A40:D40"/>
    <mergeCell ref="E40:H40"/>
    <mergeCell ref="F32:H32"/>
    <mergeCell ref="F33:H33"/>
    <mergeCell ref="A39:H39"/>
    <mergeCell ref="A61:C61"/>
    <mergeCell ref="F35:H35"/>
    <mergeCell ref="A37:B37"/>
    <mergeCell ref="A44:D44"/>
    <mergeCell ref="A45:D45"/>
    <mergeCell ref="A46:H46"/>
    <mergeCell ref="D57:H57"/>
    <mergeCell ref="A57:C57"/>
    <mergeCell ref="G49:H49"/>
    <mergeCell ref="A50:B51"/>
    <mergeCell ref="G48:H48"/>
    <mergeCell ref="G50:H50"/>
    <mergeCell ref="D55:H55"/>
    <mergeCell ref="A34:B34"/>
    <mergeCell ref="C34:E34"/>
    <mergeCell ref="E41:H41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5:H25"/>
    <mergeCell ref="A27:D27"/>
    <mergeCell ref="E27:H27"/>
    <mergeCell ref="A24:D24"/>
    <mergeCell ref="E24:H24"/>
    <mergeCell ref="A28:D28"/>
    <mergeCell ref="E28:H28"/>
    <mergeCell ref="A25:D25"/>
    <mergeCell ref="A29:D29"/>
    <mergeCell ref="E29:H29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:H1"/>
    <mergeCell ref="A2:H2"/>
    <mergeCell ref="A3:D3"/>
    <mergeCell ref="E3:H3"/>
    <mergeCell ref="A4:D4"/>
    <mergeCell ref="A9:D9"/>
    <mergeCell ref="E9:H9"/>
    <mergeCell ref="A10:D10"/>
    <mergeCell ref="E10:H10"/>
    <mergeCell ref="E4:H4"/>
    <mergeCell ref="A8:D8"/>
    <mergeCell ref="E8:H8"/>
    <mergeCell ref="A64:C64"/>
    <mergeCell ref="D64:H64"/>
    <mergeCell ref="A67:C67"/>
    <mergeCell ref="D67:H67"/>
    <mergeCell ref="A65:C65"/>
    <mergeCell ref="D65:H65"/>
    <mergeCell ref="A66:C66"/>
    <mergeCell ref="D66:H66"/>
    <mergeCell ref="A72:B72"/>
    <mergeCell ref="G71:H71"/>
    <mergeCell ref="A336:H339"/>
    <mergeCell ref="A335:B335"/>
    <mergeCell ref="E335:F335"/>
    <mergeCell ref="C335:D335"/>
    <mergeCell ref="G335:H335"/>
    <mergeCell ref="A122:H122"/>
    <mergeCell ref="A120:E120"/>
    <mergeCell ref="F120:H120"/>
    <mergeCell ref="A121:E121"/>
    <mergeCell ref="F121:H121"/>
    <mergeCell ref="A161:H161"/>
    <mergeCell ref="A129:B129"/>
    <mergeCell ref="A185:B185"/>
    <mergeCell ref="A124:B124"/>
    <mergeCell ref="A331:H331"/>
    <mergeCell ref="A127:H127"/>
    <mergeCell ref="A334:H334"/>
    <mergeCell ref="A332:H332"/>
    <mergeCell ref="A328:H328"/>
    <mergeCell ref="A329:H329"/>
    <mergeCell ref="E128:F128"/>
    <mergeCell ref="B326:H326"/>
    <mergeCell ref="B327:H327"/>
    <mergeCell ref="G140:H140"/>
    <mergeCell ref="B324:H324"/>
    <mergeCell ref="B320:H320"/>
    <mergeCell ref="G257:H257"/>
    <mergeCell ref="A256:B256"/>
    <mergeCell ref="A257:B257"/>
    <mergeCell ref="A259:B259"/>
    <mergeCell ref="A133:H133"/>
    <mergeCell ref="A184:B184"/>
    <mergeCell ref="A134:H134"/>
    <mergeCell ref="A177:B177"/>
    <mergeCell ref="A178:B178"/>
    <mergeCell ref="A219:H219"/>
    <mergeCell ref="A205:H205"/>
    <mergeCell ref="A206:B206"/>
    <mergeCell ref="A210:B210"/>
    <mergeCell ref="A270:B270"/>
    <mergeCell ref="G270:H270"/>
    <mergeCell ref="A281:H281"/>
    <mergeCell ref="A290:B290"/>
    <mergeCell ref="G290:H290"/>
    <mergeCell ref="A187:B187"/>
    <mergeCell ref="A168:H168"/>
    <mergeCell ref="A169:B169"/>
    <mergeCell ref="A170:B170"/>
    <mergeCell ref="A333:H333"/>
    <mergeCell ref="A330:H330"/>
    <mergeCell ref="A162:B162"/>
    <mergeCell ref="A128:B128"/>
    <mergeCell ref="D151:D152"/>
    <mergeCell ref="E151:E152"/>
    <mergeCell ref="G151:H152"/>
    <mergeCell ref="A90:B90"/>
    <mergeCell ref="A91:B91"/>
    <mergeCell ref="A92:B92"/>
    <mergeCell ref="A106:B106"/>
    <mergeCell ref="F111:H111"/>
    <mergeCell ref="G124:H124"/>
    <mergeCell ref="A109:B109"/>
    <mergeCell ref="A189:H189"/>
    <mergeCell ref="A175:H175"/>
    <mergeCell ref="A176:B176"/>
    <mergeCell ref="A282:H282"/>
    <mergeCell ref="A188:B188"/>
    <mergeCell ref="F118:H118"/>
    <mergeCell ref="E123:F123"/>
    <mergeCell ref="A123:B123"/>
    <mergeCell ref="F116:H116"/>
    <mergeCell ref="C123:D123"/>
    <mergeCell ref="A41:D41"/>
    <mergeCell ref="A82:B82"/>
    <mergeCell ref="C82:H82"/>
    <mergeCell ref="A77:B77"/>
    <mergeCell ref="A48:B48"/>
    <mergeCell ref="C48:E48"/>
    <mergeCell ref="C50:E50"/>
    <mergeCell ref="A58:C60"/>
    <mergeCell ref="D58:H58"/>
    <mergeCell ref="D59:H59"/>
    <mergeCell ref="C49:E49"/>
    <mergeCell ref="C52:E52"/>
    <mergeCell ref="A49:B49"/>
    <mergeCell ref="A54:H54"/>
    <mergeCell ref="A55:C55"/>
    <mergeCell ref="A56:C56"/>
    <mergeCell ref="D56:H56"/>
    <mergeCell ref="G52:H52"/>
    <mergeCell ref="D60:H60"/>
    <mergeCell ref="A52:B53"/>
    <mergeCell ref="C53:H53"/>
    <mergeCell ref="C51:H51"/>
    <mergeCell ref="A75:B75"/>
    <mergeCell ref="E71:F71"/>
    <mergeCell ref="A216:B216"/>
    <mergeCell ref="L216:M216"/>
    <mergeCell ref="A217:B217"/>
    <mergeCell ref="L217:M217"/>
    <mergeCell ref="A224:B224"/>
    <mergeCell ref="L224:M224"/>
    <mergeCell ref="A225:B225"/>
    <mergeCell ref="L225:M225"/>
    <mergeCell ref="A226:B226"/>
    <mergeCell ref="L226:M226"/>
    <mergeCell ref="L246:M246"/>
    <mergeCell ref="A247:B247"/>
    <mergeCell ref="L247:M247"/>
    <mergeCell ref="L284:M284"/>
    <mergeCell ref="A285:B285"/>
    <mergeCell ref="G285:H285"/>
    <mergeCell ref="L285:M285"/>
    <mergeCell ref="A271:B271"/>
    <mergeCell ref="G271:H271"/>
    <mergeCell ref="L271:M271"/>
    <mergeCell ref="A272:B272"/>
    <mergeCell ref="G272:H272"/>
    <mergeCell ref="L272:M272"/>
    <mergeCell ref="A273:B273"/>
    <mergeCell ref="G273:H273"/>
    <mergeCell ref="L273:M273"/>
    <mergeCell ref="L278:M278"/>
    <mergeCell ref="A279:B279"/>
    <mergeCell ref="G279:H279"/>
    <mergeCell ref="L279:M279"/>
    <mergeCell ref="A280:B280"/>
    <mergeCell ref="G280:H280"/>
    <mergeCell ref="L280:M280"/>
    <mergeCell ref="L256:M256"/>
    <mergeCell ref="L286:M286"/>
    <mergeCell ref="A287:B287"/>
    <mergeCell ref="G287:H287"/>
    <mergeCell ref="L287:M287"/>
    <mergeCell ref="A288:B288"/>
    <mergeCell ref="G288:H288"/>
    <mergeCell ref="L288:M288"/>
    <mergeCell ref="A289:H289"/>
    <mergeCell ref="L289:M289"/>
    <mergeCell ref="A286:B286"/>
    <mergeCell ref="G286:H286"/>
    <mergeCell ref="A291:B291"/>
    <mergeCell ref="G291:H291"/>
    <mergeCell ref="A292:B292"/>
    <mergeCell ref="G292:H292"/>
    <mergeCell ref="A293:B293"/>
    <mergeCell ref="G293:H293"/>
    <mergeCell ref="A294:B294"/>
    <mergeCell ref="G294:H294"/>
    <mergeCell ref="A295:B295"/>
    <mergeCell ref="G295:H295"/>
    <mergeCell ref="A296:H296"/>
    <mergeCell ref="A297:B297"/>
    <mergeCell ref="G297:H297"/>
    <mergeCell ref="A298:B298"/>
    <mergeCell ref="G298:H298"/>
    <mergeCell ref="A307:B307"/>
    <mergeCell ref="G307:H307"/>
    <mergeCell ref="A308:B308"/>
    <mergeCell ref="G308:H308"/>
    <mergeCell ref="A299:B299"/>
    <mergeCell ref="G299:H299"/>
    <mergeCell ref="A300:B300"/>
    <mergeCell ref="G300:H300"/>
    <mergeCell ref="A301:B301"/>
    <mergeCell ref="G301:H301"/>
    <mergeCell ref="A302:B302"/>
    <mergeCell ref="G302:H302"/>
    <mergeCell ref="A303:H303"/>
    <mergeCell ref="A314:B314"/>
    <mergeCell ref="C314:F314"/>
    <mergeCell ref="G314:H314"/>
    <mergeCell ref="A315:B315"/>
    <mergeCell ref="G315:H315"/>
    <mergeCell ref="A316:B316"/>
    <mergeCell ref="G316:H316"/>
    <mergeCell ref="I153:M153"/>
    <mergeCell ref="A309:B309"/>
    <mergeCell ref="G309:H309"/>
    <mergeCell ref="A310:H310"/>
    <mergeCell ref="I310:P310"/>
    <mergeCell ref="A311:B311"/>
    <mergeCell ref="G311:H311"/>
    <mergeCell ref="A312:B312"/>
    <mergeCell ref="G312:H312"/>
    <mergeCell ref="A313:B313"/>
    <mergeCell ref="G313:H313"/>
    <mergeCell ref="A304:B304"/>
    <mergeCell ref="G304:H304"/>
    <mergeCell ref="A305:B305"/>
    <mergeCell ref="G305:H305"/>
    <mergeCell ref="A306:B306"/>
    <mergeCell ref="G306:H306"/>
    <mergeCell ref="G237:H243"/>
    <mergeCell ref="G245:H251"/>
    <mergeCell ref="G169:H174"/>
    <mergeCell ref="G176:H181"/>
    <mergeCell ref="G183:H188"/>
    <mergeCell ref="G192:H197"/>
    <mergeCell ref="G199:H204"/>
    <mergeCell ref="G206:H211"/>
    <mergeCell ref="G213:H218"/>
    <mergeCell ref="G222:H227"/>
    <mergeCell ref="G229:H235"/>
    <mergeCell ref="A244:H244"/>
    <mergeCell ref="A240:B240"/>
    <mergeCell ref="A248:B248"/>
    <mergeCell ref="A190:H190"/>
    <mergeCell ref="A191:H191"/>
    <mergeCell ref="A192:B192"/>
    <mergeCell ref="A198:H198"/>
    <mergeCell ref="A199:B199"/>
    <mergeCell ref="A204:B204"/>
    <mergeCell ref="A227:B227"/>
    <mergeCell ref="A236:H236"/>
    <mergeCell ref="A237:B237"/>
    <mergeCell ref="A246:B246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7" max="16383" man="1"/>
    <brk id="95" max="16383" man="1"/>
    <brk id="327" max="7" man="1"/>
    <brk id="339" max="16383" man="1"/>
    <brk id="381" max="16383" man="1"/>
    <brk id="42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0" t="s">
        <v>106</v>
      </c>
      <c r="C3" s="200"/>
      <c r="D3" s="200"/>
      <c r="E3" s="200"/>
      <c r="F3" s="200"/>
      <c r="G3" s="200"/>
      <c r="H3" s="200"/>
    </row>
    <row r="4" spans="1:9" x14ac:dyDescent="0.3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2025-08-13T11:40:31Z</cp:lastPrinted>
  <dcterms:created xsi:type="dcterms:W3CDTF">2019-07-16T09:29:46Z</dcterms:created>
  <dcterms:modified xsi:type="dcterms:W3CDTF">2025-08-13T11:41:41Z</dcterms:modified>
</cp:coreProperties>
</file>