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BEE2CFDA-C058-4FA3-B6F8-17DAC05B08D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1" l="1"/>
  <c r="C75" i="1"/>
  <c r="C77" i="1" s="1"/>
  <c r="C76" i="1" l="1"/>
  <c r="C89" i="1"/>
  <c r="D153" i="1" l="1"/>
  <c r="F153" i="1" s="1"/>
  <c r="D154" i="1"/>
  <c r="F154" i="1" s="1"/>
  <c r="D151" i="1"/>
  <c r="F151" i="1" s="1"/>
  <c r="D150" i="1"/>
  <c r="F150" i="1" s="1"/>
  <c r="D149" i="1"/>
  <c r="F149" i="1" s="1"/>
  <c r="I150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0" i="1"/>
  <c r="F140" i="1" s="1"/>
  <c r="D139" i="1"/>
  <c r="F139" i="1" s="1"/>
  <c r="D137" i="1"/>
  <c r="F137" i="1" s="1"/>
  <c r="D136" i="1"/>
  <c r="F136" i="1" s="1"/>
  <c r="D135" i="1"/>
  <c r="F135" i="1" s="1"/>
  <c r="A151" i="1"/>
  <c r="A152" i="1" s="1"/>
  <c r="G149" i="1"/>
  <c r="A144" i="1"/>
  <c r="A145" i="1" s="1"/>
  <c r="G142" i="1"/>
  <c r="A136" i="1"/>
  <c r="A137" i="1" s="1"/>
  <c r="A138" i="1" s="1"/>
  <c r="A139" i="1" s="1"/>
  <c r="A140" i="1" s="1"/>
  <c r="G135" i="1"/>
  <c r="G136" i="1" s="1"/>
  <c r="G137" i="1" s="1"/>
  <c r="G138" i="1" s="1"/>
  <c r="G139" i="1" s="1"/>
  <c r="G140" i="1" s="1"/>
  <c r="C82" i="1"/>
  <c r="C68" i="1"/>
  <c r="B69" i="1" s="1"/>
  <c r="E118" i="1" l="1"/>
  <c r="G118" i="1"/>
  <c r="J76" i="1"/>
  <c r="J78" i="1"/>
  <c r="J77" i="1"/>
  <c r="J79" i="1"/>
  <c r="H69" i="1"/>
  <c r="D77" i="1" l="1"/>
  <c r="D80" i="1"/>
  <c r="J73" i="1"/>
  <c r="D72" i="1" s="1"/>
  <c r="D78" i="1"/>
  <c r="D76" i="1"/>
  <c r="D74" i="1"/>
  <c r="J72" i="1"/>
  <c r="D75" i="1"/>
  <c r="J71" i="1"/>
  <c r="J68" i="1"/>
  <c r="J70" i="1" s="1"/>
  <c r="D81" i="1"/>
  <c r="J74" i="1"/>
  <c r="J75" i="1" s="1"/>
  <c r="D79" i="1"/>
  <c r="J80" i="1" l="1"/>
  <c r="J81" i="1" l="1"/>
  <c r="C73" i="1" s="1"/>
  <c r="D182" i="1"/>
  <c r="F182" i="1" s="1"/>
  <c r="D181" i="1"/>
  <c r="F181" i="1" s="1"/>
  <c r="D179" i="1"/>
  <c r="F179" i="1" s="1"/>
  <c r="A179" i="1"/>
  <c r="A180" i="1" s="1"/>
  <c r="D178" i="1"/>
  <c r="F178" i="1" s="1"/>
  <c r="G177" i="1"/>
  <c r="D177" i="1"/>
  <c r="F177" i="1" s="1"/>
  <c r="I178" i="1" s="1"/>
  <c r="D175" i="1"/>
  <c r="F175" i="1" s="1"/>
  <c r="D174" i="1"/>
  <c r="F174" i="1" s="1"/>
  <c r="D173" i="1"/>
  <c r="F173" i="1" s="1"/>
  <c r="D172" i="1"/>
  <c r="F172" i="1" s="1"/>
  <c r="A172" i="1"/>
  <c r="A173" i="1" s="1"/>
  <c r="D171" i="1"/>
  <c r="F171" i="1" s="1"/>
  <c r="G170" i="1"/>
  <c r="D170" i="1"/>
  <c r="F170" i="1" s="1"/>
  <c r="D166" i="1"/>
  <c r="D167" i="1"/>
  <c r="F167" i="1" s="1"/>
  <c r="D168" i="1"/>
  <c r="D165" i="1"/>
  <c r="D164" i="1"/>
  <c r="D163" i="1"/>
  <c r="D161" i="1"/>
  <c r="D160" i="1"/>
  <c r="D159" i="1"/>
  <c r="D158" i="1"/>
  <c r="D157" i="1"/>
  <c r="E72" i="1" l="1"/>
  <c r="G72" i="1"/>
  <c r="D73" i="1"/>
  <c r="I69" i="1" s="1"/>
  <c r="J69" i="1"/>
  <c r="E117" i="1"/>
  <c r="E119" i="1" s="1"/>
  <c r="C117" i="1"/>
  <c r="C119" i="1" s="1"/>
  <c r="F161" i="1"/>
  <c r="I70" i="1" l="1"/>
  <c r="I68" i="1" s="1"/>
  <c r="C70" i="1" s="1"/>
  <c r="E120" i="1"/>
  <c r="C120" i="1"/>
  <c r="E42" i="1" l="1"/>
  <c r="E43" i="1" s="1"/>
  <c r="C14" i="1" l="1"/>
  <c r="E29" i="1" l="1"/>
  <c r="F158" i="1" l="1"/>
  <c r="F159" i="1"/>
  <c r="F160" i="1"/>
  <c r="F157" i="1"/>
  <c r="A158" i="1"/>
  <c r="A159" i="1" s="1"/>
  <c r="A160" i="1" s="1"/>
  <c r="A161" i="1" s="1"/>
  <c r="G157" i="1"/>
  <c r="G158" i="1" s="1"/>
  <c r="G159" i="1" s="1"/>
  <c r="G160" i="1" s="1"/>
  <c r="G161" i="1" s="1"/>
  <c r="F109" i="1" l="1"/>
  <c r="F127" i="1" l="1"/>
  <c r="F128" i="1"/>
  <c r="F129" i="1"/>
  <c r="F126" i="1"/>
  <c r="B185" i="1" l="1"/>
  <c r="F168" i="1" l="1"/>
  <c r="F166" i="1"/>
  <c r="F164" i="1"/>
  <c r="F163" i="1"/>
  <c r="F165" i="1"/>
  <c r="G117" i="1" l="1"/>
  <c r="G119" i="1" s="1"/>
  <c r="G120" i="1" s="1"/>
  <c r="B18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8" i="1"/>
  <c r="G163" i="1"/>
  <c r="G164" i="1" s="1"/>
  <c r="G165" i="1" s="1"/>
  <c r="A165" i="1"/>
  <c r="A166" i="1" s="1"/>
  <c r="A127" i="1"/>
  <c r="A128" i="1" s="1"/>
  <c r="A129" i="1" s="1"/>
  <c r="G126" i="1"/>
  <c r="G127" i="1" s="1"/>
  <c r="G128" i="1" s="1"/>
  <c r="G129" i="1" s="1"/>
  <c r="B83" i="1"/>
  <c r="G49" i="1"/>
  <c r="G50" i="1" s="1"/>
  <c r="C49" i="1"/>
  <c r="C50" i="1" s="1"/>
  <c r="E26" i="1"/>
  <c r="E24" i="1"/>
  <c r="E7" i="1"/>
  <c r="E3" i="1"/>
  <c r="H83" i="1"/>
  <c r="G166" i="1" l="1"/>
  <c r="G168" i="1" s="1"/>
  <c r="G167" i="1"/>
  <c r="D62" i="1"/>
  <c r="D95" i="1"/>
  <c r="D93" i="1"/>
  <c r="D92" i="1"/>
  <c r="D91" i="1"/>
  <c r="D89" i="1"/>
  <c r="J82" i="1"/>
  <c r="D94" i="1"/>
  <c r="D90" i="1"/>
  <c r="J86" i="1"/>
  <c r="J87" i="1"/>
  <c r="C86" i="1" s="1"/>
  <c r="J85" i="1"/>
  <c r="J88" i="1"/>
  <c r="J89" i="1" s="1"/>
  <c r="J94" i="1" s="1"/>
  <c r="J90" i="1" l="1"/>
  <c r="J91" i="1" s="1"/>
  <c r="J92" i="1" s="1"/>
  <c r="J93" i="1" s="1"/>
  <c r="D88" i="1"/>
  <c r="J84" i="1"/>
  <c r="D86" i="1"/>
  <c r="J95" i="1" l="1"/>
  <c r="C87" i="1" s="1"/>
  <c r="G86" i="1" l="1"/>
  <c r="D66" i="1" s="1"/>
  <c r="D67" i="1" s="1"/>
  <c r="E86" i="1"/>
  <c r="J83" i="1"/>
  <c r="D87" i="1"/>
  <c r="I83" i="1" s="1"/>
  <c r="I84" i="1" s="1"/>
  <c r="F67" i="1" l="1"/>
  <c r="I82" i="1"/>
  <c r="C84" i="1" s="1"/>
</calcChain>
</file>

<file path=xl/sharedStrings.xml><?xml version="1.0" encoding="utf-8"?>
<sst xmlns="http://schemas.openxmlformats.org/spreadsheetml/2006/main" count="355" uniqueCount="232">
  <si>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</si>
  <si>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</si>
  <si>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</si>
  <si>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</si>
  <si>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</si>
  <si>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</si>
  <si>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</si>
  <si>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</si>
  <si>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</si>
  <si>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</si>
  <si>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</si>
  <si>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</si>
  <si>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</si>
  <si>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</si>
  <si>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</si>
  <si>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</si>
  <si>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</si>
  <si>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</si>
  <si>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</si>
  <si>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</si>
  <si>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</si>
  <si>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</si>
  <si>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</si>
  <si>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</si>
  <si>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</si>
  <si>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</si>
  <si>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</si>
  <si>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</si>
  <si>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</si>
  <si>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</si>
  <si>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</si>
  <si>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</si>
  <si>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</si>
  <si>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</si>
  <si>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</si>
  <si>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</si>
  <si>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</si>
  <si>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</si>
  <si>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</si>
  <si>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</si>
  <si>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</si>
  <si>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</si>
  <si>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</si>
  <si>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</si>
  <si>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</si>
  <si>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</si>
  <si>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</si>
  <si>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</si>
  <si>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</si>
  <si>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</si>
  <si>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</si>
  <si>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</si>
  <si>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</si>
  <si>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</si>
  <si>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</si>
  <si>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</si>
  <si>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</si>
  <si>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</si>
  <si>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</si>
  <si>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</si>
  <si>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</si>
  <si>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</si>
  <si>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</si>
  <si>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</si>
  <si>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</si>
  <si>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</si>
  <si>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</si>
  <si>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</si>
  <si>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</si>
  <si>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</si>
  <si>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</si>
  <si>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</si>
  <si>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</si>
  <si>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</si>
  <si>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</si>
  <si>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</si>
  <si>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</si>
  <si>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</si>
  <si>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</si>
  <si>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</si>
  <si>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</si>
  <si>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</si>
  <si>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</si>
  <si>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</si>
  <si>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</si>
  <si>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</si>
  <si>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</si>
  <si>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</si>
  <si>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</si>
  <si>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</si>
  <si>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</si>
  <si>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</si>
  <si>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</si>
  <si>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</si>
  <si>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</si>
  <si>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</si>
  <si>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</si>
  <si>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</si>
  <si>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</si>
  <si>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</si>
  <si>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</si>
  <si>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</si>
  <si>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</si>
  <si>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</si>
  <si>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</si>
  <si>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</si>
  <si>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</si>
  <si>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</si>
  <si>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</si>
  <si>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</si>
  <si>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</si>
  <si>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</si>
  <si>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</si>
  <si>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</si>
  <si>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</si>
  <si>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</si>
  <si>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</si>
  <si>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</si>
  <si>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</si>
  <si>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</si>
  <si>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</si>
  <si>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</si>
  <si>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</si>
  <si>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</si>
  <si>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</si>
  <si>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</si>
  <si>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</si>
  <si>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</si>
  <si>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</si>
  <si>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</si>
  <si>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</si>
  <si>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</si>
  <si>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</si>
  <si>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</si>
  <si>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</si>
  <si>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</si>
  <si>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</si>
  <si>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</si>
  <si>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</si>
  <si>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</si>
  <si>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</si>
  <si>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</si>
  <si>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</si>
  <si>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</si>
  <si>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</si>
  <si>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</si>
  <si>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</si>
  <si>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</si>
  <si>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</si>
  <si>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</si>
  <si>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</si>
  <si>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</si>
  <si>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</si>
  <si>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</si>
  <si>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</si>
  <si>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</si>
  <si>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</si>
  <si>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</si>
  <si>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</si>
  <si>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</si>
  <si>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</si>
  <si>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</si>
  <si>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</si>
  <si>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</si>
  <si>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</si>
  <si>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</si>
  <si>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</si>
  <si>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</si>
  <si>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</si>
  <si>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</si>
  <si>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</si>
  <si>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</si>
  <si>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</si>
  <si>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</si>
  <si>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</si>
  <si>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</si>
  <si>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</si>
  <si>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</si>
  <si>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</si>
  <si>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Approved Plans, CC</t>
  </si>
  <si>
    <t>Rajendra Giri - 9820248856</t>
  </si>
  <si>
    <t>Macrotech Developers Limited</t>
  </si>
  <si>
    <t>Eden E</t>
  </si>
  <si>
    <t>Survey No</t>
  </si>
  <si>
    <t>10/1, 10/4, 10/6, 10/8, 10/9, 10/10, 10/11, 12/1, 12/2, 12/3, 12/4, 12/15, 14/5, 14/6,14/7, 14/18, 14/10/10P, 14/11, 14/12, 14/13P, 14/14, 14/15, 14/16, 14/17, 15/3, 15/4, 15/7, 15/8, 15/9, 15/11, 15/12, 17/1, 17/2, 19/1, 19/2, 19/3, 19/4, 21, 22/1P, 23, 24, 25/1/2, 25/2 (pt), 26/1P, 26/2, 27/1P, 27/1P, 27/2, 28/12, 28/13, 28/14P, 34/1, 34/2P, 35/1P, 35/1P, 35/2, 37/3, 39/P, 40/7 &amp; 40/8 (pt) &amp; others</t>
  </si>
  <si>
    <t>https://goo.gl/maps/KcjPBWcz9DQr4Cjq8</t>
  </si>
  <si>
    <t>6.9 KM from Bhiwandi Railway Station</t>
  </si>
  <si>
    <t xml:space="preserve">Bhiwandi </t>
  </si>
  <si>
    <t>Bhiwandi</t>
  </si>
  <si>
    <t>Thane</t>
  </si>
  <si>
    <t>Surai</t>
  </si>
  <si>
    <t>Thane - Dombivli Link Road</t>
  </si>
  <si>
    <t>Casa Sereno</t>
  </si>
  <si>
    <t>Open Plot</t>
  </si>
  <si>
    <t>Casa Treetops</t>
  </si>
  <si>
    <t>Mumbai Metropolitan Region Development Authority</t>
  </si>
  <si>
    <t>SORT/BSNA/2501/BP/Amended/ITP-Anjur, Mankoli, Surai, Sarang &amp; Vehele/966/2022</t>
  </si>
  <si>
    <t>E Wing = G + 1st to 23rd Floor</t>
  </si>
  <si>
    <t>As per RERA - 31/05/2027</t>
  </si>
  <si>
    <t>Mangesh</t>
  </si>
  <si>
    <t>Football gound, Swimming Pool, Badminton Court, Walking path etc</t>
  </si>
  <si>
    <t>2BHK</t>
  </si>
  <si>
    <t>1BHK</t>
  </si>
  <si>
    <t>1st &amp; 2nd Floor</t>
  </si>
  <si>
    <t>3rd to 7th, 9th to 12th,
 14th to 17th Floor (15th to 18th Floor as per Builder)
19th to 23rd Floor (20th to 24th Floor as per Builder)</t>
  </si>
  <si>
    <t>8th,
13th Floor (14th Floor as per Builder)
18th Floor (19th Floor as per Builder)</t>
  </si>
  <si>
    <t>Refuge Area</t>
  </si>
  <si>
    <t>19.231084,73.051565</t>
  </si>
  <si>
    <t>Mr. Lalit : 9323076857.</t>
  </si>
  <si>
    <t>Upper Thane ­ Eden D &amp; E</t>
  </si>
  <si>
    <t>Cluster No.3.02 (B) Casa Eden E 
Cluster No.3.02 (C) Casa Eden D</t>
  </si>
  <si>
    <t>Upper Thane ­ Eden E = P51700051193
Upper Thane ­ Eden D = P51700053124</t>
  </si>
  <si>
    <t>D Wing = G + 1st to 23rd Floor</t>
  </si>
  <si>
    <t>SORT/BSNA/2501/BP/Amended/ITP-Anjur, Mankoli, Surai, Sarang &amp; Vehele/366/2023</t>
  </si>
  <si>
    <t>D &amp; E Wing = G + 1st to 23rd Floor</t>
  </si>
  <si>
    <t>Eden D</t>
  </si>
  <si>
    <t>Wing E</t>
  </si>
  <si>
    <t>Wing D</t>
  </si>
  <si>
    <t>Ground Floor For Residential, Entrance Lobby &amp; Part (Society Office, Meter Room, Store Room)</t>
  </si>
  <si>
    <t>3BHK</t>
  </si>
  <si>
    <t>Part Society Office, Meter Room, Store Room</t>
  </si>
  <si>
    <t>1st to 7th, 9th to 12th,
 14th to 17th Floor (15th to 18th Floor as per Builder)
19th to 23rd Floor (20th to 24th Floor as per Builder)</t>
  </si>
  <si>
    <t>We considered Gross carpet area = Net carpet.</t>
  </si>
  <si>
    <t>Since Project's Builtup Area is above 20000 Sq.M. Please check for Environment Clearance Certificate.</t>
  </si>
  <si>
    <t>We have updated approved CC &amp; Floor plan of wing D (on 17/11/2023)</t>
  </si>
  <si>
    <t>02 Building</t>
  </si>
  <si>
    <t xml:space="preserve">Wing D - 13049.30 &amp; Wing E - 9966.12 </t>
  </si>
  <si>
    <t>Flats - 280</t>
  </si>
  <si>
    <t>Recommended Rates/Other Charges of the Property have been revised on 07/04/2025.</t>
  </si>
  <si>
    <t>Rate 8000 Akash Mote verbal 07/04/2025</t>
  </si>
  <si>
    <t>Eden D &amp; E = Construction work is in process at the time of Visit. (Internal photographs not allowed.)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</si>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</sst>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1" xfId="0" applyFont="1" applyBorder="1"/>
    <xf numFmtId="0" fontId="24" fillId="0" borderId="4" xfId="0" applyFont="1" applyBorder="1"/>
    <xf numFmtId="1" fontId="7" fillId="0" borderId="1" xfId="0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9" fontId="7" fillId="0" borderId="2" xfId="8" applyFont="1" applyFill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30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554146</xdr:colOff>
      <xdr:row>292</xdr:row>
      <xdr:rowOff>38101</xdr:rowOff>
    </xdr:from>
    <xdr:to>
      <xdr:col>6</xdr:col>
      <xdr:colOff>273993</xdr:colOff>
      <xdr:row>314</xdr:row>
      <xdr:rowOff>86140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6024" y="62283562"/>
          <a:ext cx="4006926" cy="4421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744681</xdr:colOff>
      <xdr:row>264</xdr:row>
      <xdr:rowOff>94545</xdr:rowOff>
    </xdr:from>
    <xdr:to>
      <xdr:col>7</xdr:col>
      <xdr:colOff>194676</xdr:colOff>
      <xdr:row>282</xdr:row>
      <xdr:rowOff>86950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4681" y="54707431"/>
          <a:ext cx="5139018" cy="3577267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29949</xdr:colOff>
      <xdr:row>249</xdr:row>
      <xdr:rowOff>155864</xdr:rowOff>
    </xdr:from>
    <xdr:to>
      <xdr:col>5</xdr:col>
      <xdr:colOff>652081</xdr:colOff>
      <xdr:row>264</xdr:row>
      <xdr:rowOff>23318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8585" y="51781364"/>
          <a:ext cx="3193882" cy="2854843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893217</xdr:colOff>
      <xdr:row>264</xdr:row>
      <xdr:rowOff>188685</xdr:rowOff>
    </xdr:from>
    <xdr:to>
      <xdr:col>6</xdr:col>
      <xdr:colOff>123467</xdr:colOff>
      <xdr:row>267</xdr:row>
      <xdr:rowOff>28471</xdr:rowOff>
    </xdr:to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300444" y="54801571"/>
          <a:ext cx="1732728" cy="437264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 b="1">
              <a:solidFill>
                <a:srgbClr val="C00000"/>
              </a:solidFill>
            </a:rPr>
            <a:t>Cluster No.3.02 (C) Casa Eden D</a:t>
          </a:r>
          <a:endParaRPr lang="en-IN" sz="105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761181</xdr:colOff>
      <xdr:row>274</xdr:row>
      <xdr:rowOff>179089</xdr:rowOff>
    </xdr:from>
    <xdr:to>
      <xdr:col>4</xdr:col>
      <xdr:colOff>210212</xdr:colOff>
      <xdr:row>275</xdr:row>
      <xdr:rowOff>70719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3168408" y="56783566"/>
          <a:ext cx="392872" cy="9078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504551</xdr:colOff>
      <xdr:row>274</xdr:row>
      <xdr:rowOff>70930</xdr:rowOff>
    </xdr:from>
    <xdr:to>
      <xdr:col>3</xdr:col>
      <xdr:colOff>758623</xdr:colOff>
      <xdr:row>275</xdr:row>
      <xdr:rowOff>98676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1205373">
          <a:off x="2911778" y="56675407"/>
          <a:ext cx="254072" cy="22690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1</xdr:col>
      <xdr:colOff>298809</xdr:colOff>
      <xdr:row>315</xdr:row>
      <xdr:rowOff>82647</xdr:rowOff>
    </xdr:from>
    <xdr:to>
      <xdr:col>6</xdr:col>
      <xdr:colOff>589721</xdr:colOff>
      <xdr:row>331</xdr:row>
      <xdr:rowOff>184129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0687" y="66900108"/>
          <a:ext cx="4577991" cy="328200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2</xdr:col>
      <xdr:colOff>194544</xdr:colOff>
      <xdr:row>318</xdr:row>
      <xdr:rowOff>197442</xdr:rowOff>
    </xdr:from>
    <xdr:to>
      <xdr:col>3</xdr:col>
      <xdr:colOff>794593</xdr:colOff>
      <xdr:row>321</xdr:row>
      <xdr:rowOff>12099</xdr:rowOff>
    </xdr:to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753180" y="65963237"/>
          <a:ext cx="1448640" cy="4121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 b="1">
              <a:solidFill>
                <a:srgbClr val="FFFFFF"/>
              </a:solidFill>
            </a:rPr>
            <a:t>Cluster No.3.02 (C) Casa Eden D</a:t>
          </a:r>
          <a:endParaRPr lang="en-IN" sz="1050" b="1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540275</xdr:colOff>
      <xdr:row>322</xdr:row>
      <xdr:rowOff>32419</xdr:rowOff>
    </xdr:from>
    <xdr:to>
      <xdr:col>6</xdr:col>
      <xdr:colOff>237975</xdr:colOff>
      <xdr:row>324</xdr:row>
      <xdr:rowOff>46238</xdr:rowOff>
    </xdr:to>
    <xdr:sp macro="" textlink="">
      <xdr:nvSpPr>
        <xdr:cNvPr id="42" name="TextBox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891343" y="66594851"/>
          <a:ext cx="1256337" cy="4121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50" b="1">
              <a:solidFill>
                <a:srgbClr val="FFFFFF"/>
              </a:solidFill>
            </a:rPr>
            <a:t>Cluster No.3.02 (B) Casa Eden E </a:t>
          </a:r>
          <a:endParaRPr lang="en-IN" sz="1050" b="1">
            <a:solidFill>
              <a:srgbClr val="FFFFFF"/>
            </a:solidFill>
          </a:endParaRPr>
        </a:p>
      </xdr:txBody>
    </xdr:sp>
    <xdr:clientData/>
  </xdr:twoCellAnchor>
  <xdr:twoCellAnchor>
    <xdr:from>
      <xdr:col>3</xdr:col>
      <xdr:colOff>650118</xdr:colOff>
      <xdr:row>321</xdr:row>
      <xdr:rowOff>185688</xdr:rowOff>
    </xdr:from>
    <xdr:to>
      <xdr:col>4</xdr:col>
      <xdr:colOff>155224</xdr:colOff>
      <xdr:row>323</xdr:row>
      <xdr:rowOff>146008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3003051">
          <a:off x="3102500" y="66503806"/>
          <a:ext cx="358638" cy="44894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740878</xdr:colOff>
      <xdr:row>324</xdr:row>
      <xdr:rowOff>102871</xdr:rowOff>
    </xdr:from>
    <xdr:to>
      <xdr:col>4</xdr:col>
      <xdr:colOff>169830</xdr:colOff>
      <xdr:row>326</xdr:row>
      <xdr:rowOff>110177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394703">
          <a:off x="3148105" y="67063621"/>
          <a:ext cx="372793" cy="405624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72234</xdr:colOff>
      <xdr:row>321</xdr:row>
      <xdr:rowOff>12099</xdr:rowOff>
    </xdr:from>
    <xdr:to>
      <xdr:col>3</xdr:col>
      <xdr:colOff>675234</xdr:colOff>
      <xdr:row>322</xdr:row>
      <xdr:rowOff>14360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2479461" y="66375372"/>
          <a:ext cx="603000" cy="20142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218716</xdr:colOff>
      <xdr:row>324</xdr:row>
      <xdr:rowOff>46238</xdr:rowOff>
    </xdr:from>
    <xdr:to>
      <xdr:col>4</xdr:col>
      <xdr:colOff>557034</xdr:colOff>
      <xdr:row>325</xdr:row>
      <xdr:rowOff>61884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H="1">
          <a:off x="3569784" y="67006988"/>
          <a:ext cx="338318" cy="21480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286215</xdr:colOff>
      <xdr:row>273</xdr:row>
      <xdr:rowOff>83044</xdr:rowOff>
    </xdr:from>
    <xdr:to>
      <xdr:col>6</xdr:col>
      <xdr:colOff>454245</xdr:colOff>
      <xdr:row>275</xdr:row>
      <xdr:rowOff>114196</xdr:rowOff>
    </xdr:to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37283" y="56488362"/>
          <a:ext cx="1726667" cy="42947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 b="1">
              <a:solidFill>
                <a:srgbClr val="C00000"/>
              </a:solidFill>
            </a:rPr>
            <a:t>Cluster No.3.02 (B) Casa Eden E</a:t>
          </a:r>
          <a:endParaRPr lang="en-IN" sz="105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0</xdr:colOff>
      <xdr:row>207</xdr:row>
      <xdr:rowOff>0</xdr:rowOff>
    </xdr:from>
    <xdr:to>
      <xdr:col>10</xdr:col>
      <xdr:colOff>92749</xdr:colOff>
      <xdr:row>208</xdr:row>
      <xdr:rowOff>150863</xdr:rowOff>
    </xdr:to>
    <xdr:sp macro="" textlink="">
      <xdr:nvSpPr>
        <xdr:cNvPr id="29" name="TextBox 1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064500" y="44551600"/>
          <a:ext cx="892849" cy="34771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E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467967</xdr:colOff>
      <xdr:row>206</xdr:row>
      <xdr:rowOff>134454</xdr:rowOff>
    </xdr:from>
    <xdr:to>
      <xdr:col>15</xdr:col>
      <xdr:colOff>673933</xdr:colOff>
      <xdr:row>240</xdr:row>
      <xdr:rowOff>28112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200071" y="44900297"/>
          <a:ext cx="5970662" cy="6645641"/>
          <a:chOff x="361950" y="45408850"/>
          <a:chExt cx="6068673" cy="6580208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66468" y="49469058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074" y="49469058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3716" y="45408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52271" y="49469058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45408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212035</xdr:colOff>
      <xdr:row>208</xdr:row>
      <xdr:rowOff>53008</xdr:rowOff>
    </xdr:from>
    <xdr:to>
      <xdr:col>7</xdr:col>
      <xdr:colOff>662609</xdr:colOff>
      <xdr:row>242</xdr:row>
      <xdr:rowOff>145774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A09FC5-EDFF-56AB-EE6F-531D7035C4B6}"/>
            </a:ext>
          </a:extLst>
        </xdr:cNvPr>
        <xdr:cNvGrpSpPr/>
      </xdr:nvGrpSpPr>
      <xdr:grpSpPr>
        <a:xfrm>
          <a:off x="212035" y="45216417"/>
          <a:ext cx="6327913" cy="6844748"/>
          <a:chOff x="278961" y="267985"/>
          <a:chExt cx="6179197" cy="635282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AAE4CBE-5F42-35B8-7AAB-0D7C8CFD88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23543" y="4460809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A8B9648-80AB-539D-5AC3-EB472C63CC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5928" y="275419"/>
            <a:ext cx="3032230" cy="404672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EDCBA7DC-5FFB-9DF5-3E85-7215116E23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8961" y="267985"/>
            <a:ext cx="3032230" cy="404672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CC47ABA-0F09-01C1-0D2A-51AC8E3965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95037" y="4460809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cjPBWcz9DQr4Cjq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2"/>
  <sheetViews>
    <sheetView tabSelected="1" view="pageBreakPreview" topLeftCell="A80" zoomScale="115" zoomScaleNormal="100" zoomScaleSheetLayoutView="115" zoomScalePageLayoutView="85" workbookViewId="0">
      <selection activeCell="L89" sqref="L89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7" width="11.7773437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8" ht="46.5" customHeight="1" x14ac:dyDescent="0.3">
      <c r="A1" s="151" t="s">
        <v>173</v>
      </c>
      <c r="B1" s="151"/>
      <c r="C1" s="151"/>
      <c r="D1" s="151"/>
      <c r="E1" s="151"/>
      <c r="F1" s="151"/>
      <c r="G1" s="151"/>
      <c r="H1" s="151"/>
    </row>
    <row r="2" spans="1:8" ht="16.5" customHeight="1" x14ac:dyDescent="0.3">
      <c r="A2" s="135" t="s">
        <v>0</v>
      </c>
      <c r="B2" s="135"/>
      <c r="C2" s="135"/>
      <c r="D2" s="135"/>
      <c r="E2" s="135"/>
      <c r="F2" s="135"/>
      <c r="G2" s="135"/>
      <c r="H2" s="135"/>
    </row>
    <row r="3" spans="1:8" x14ac:dyDescent="0.3">
      <c r="A3" s="72" t="s">
        <v>1</v>
      </c>
      <c r="B3" s="72"/>
      <c r="C3" s="72"/>
      <c r="D3" s="72"/>
      <c r="E3" s="72" t="str">
        <f ca="1">TEXT(TODAY(),"DD/MM/YYYY")</f>
        <v>13/08/2025</v>
      </c>
      <c r="F3" s="72"/>
      <c r="G3" s="72"/>
      <c r="H3" s="72"/>
    </row>
    <row r="4" spans="1:8" ht="15" customHeight="1" x14ac:dyDescent="0.3">
      <c r="A4" s="72" t="s">
        <v>2</v>
      </c>
      <c r="B4" s="72"/>
      <c r="C4" s="72"/>
      <c r="D4" s="72"/>
      <c r="E4" s="72" t="s">
        <v>178</v>
      </c>
      <c r="F4" s="72"/>
      <c r="G4" s="72"/>
      <c r="H4" s="72"/>
    </row>
    <row r="5" spans="1:8" x14ac:dyDescent="0.3">
      <c r="A5" s="72" t="s">
        <v>3</v>
      </c>
      <c r="B5" s="72"/>
      <c r="C5" s="72"/>
      <c r="D5" s="72"/>
      <c r="E5" s="152">
        <v>45881</v>
      </c>
      <c r="F5" s="72"/>
      <c r="G5" s="72"/>
      <c r="H5" s="72"/>
    </row>
    <row r="6" spans="1:8" ht="16.5" customHeight="1" x14ac:dyDescent="0.3">
      <c r="A6" s="72" t="s">
        <v>4</v>
      </c>
      <c r="B6" s="72"/>
      <c r="C6" s="72"/>
      <c r="D6" s="72"/>
      <c r="E6" s="72" t="s">
        <v>181</v>
      </c>
      <c r="F6" s="72"/>
      <c r="G6" s="72"/>
      <c r="H6" s="72"/>
    </row>
    <row r="7" spans="1:8" ht="15" customHeight="1" x14ac:dyDescent="0.3">
      <c r="A7" s="72" t="s">
        <v>5</v>
      </c>
      <c r="B7" s="72"/>
      <c r="C7" s="72"/>
      <c r="D7" s="72"/>
      <c r="E7" s="72" t="str">
        <f>E6</f>
        <v>Macrotech Developers Limited</v>
      </c>
      <c r="F7" s="72"/>
      <c r="G7" s="72"/>
      <c r="H7" s="72"/>
    </row>
    <row r="8" spans="1:8" x14ac:dyDescent="0.3">
      <c r="A8" s="72" t="s">
        <v>6</v>
      </c>
      <c r="B8" s="72"/>
      <c r="C8" s="72"/>
      <c r="D8" s="72"/>
      <c r="E8" s="142" t="s">
        <v>209</v>
      </c>
      <c r="F8" s="142"/>
      <c r="G8" s="142"/>
      <c r="H8" s="142"/>
    </row>
    <row r="9" spans="1:8" x14ac:dyDescent="0.3">
      <c r="A9" s="72" t="s">
        <v>176</v>
      </c>
      <c r="B9" s="72"/>
      <c r="C9" s="72"/>
      <c r="D9" s="72"/>
      <c r="E9" s="72" t="s">
        <v>180</v>
      </c>
      <c r="F9" s="72"/>
      <c r="G9" s="72"/>
      <c r="H9" s="72"/>
    </row>
    <row r="10" spans="1:8" x14ac:dyDescent="0.3">
      <c r="A10" s="72" t="s">
        <v>177</v>
      </c>
      <c r="B10" s="72"/>
      <c r="C10" s="72"/>
      <c r="D10" s="72"/>
      <c r="E10" s="72" t="s">
        <v>208</v>
      </c>
      <c r="F10" s="72"/>
      <c r="G10" s="72"/>
      <c r="H10" s="72"/>
    </row>
    <row r="11" spans="1:8" ht="32.25" customHeight="1" x14ac:dyDescent="0.3">
      <c r="A11" s="72" t="s">
        <v>7</v>
      </c>
      <c r="B11" s="72"/>
      <c r="C11" s="72"/>
      <c r="D11" s="72"/>
      <c r="E11" s="73" t="s">
        <v>210</v>
      </c>
      <c r="F11" s="72"/>
      <c r="G11" s="72"/>
      <c r="H11" s="72"/>
    </row>
    <row r="12" spans="1:8" x14ac:dyDescent="0.3">
      <c r="A12" s="98" t="s">
        <v>8</v>
      </c>
      <c r="B12" s="98"/>
      <c r="C12" s="98"/>
      <c r="D12" s="98"/>
      <c r="E12" s="73" t="s">
        <v>179</v>
      </c>
      <c r="F12" s="73"/>
      <c r="G12" s="73"/>
      <c r="H12" s="73"/>
    </row>
    <row r="13" spans="1:8" ht="33" customHeight="1" x14ac:dyDescent="0.3">
      <c r="A13" s="98" t="s">
        <v>9</v>
      </c>
      <c r="B13" s="98"/>
      <c r="C13" s="98"/>
      <c r="D13" s="98"/>
      <c r="E13" s="73" t="s">
        <v>211</v>
      </c>
      <c r="F13" s="72"/>
      <c r="G13" s="72"/>
      <c r="H13" s="72"/>
    </row>
    <row r="14" spans="1:8" ht="110.55" customHeight="1" x14ac:dyDescent="0.3">
      <c r="A14" s="121" t="s">
        <v>10</v>
      </c>
      <c r="B14" s="121"/>
      <c r="C14" s="12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Upper Thane ­ Eden D &amp; E, Survey No.10/1, 10/4, 10/6, 10/8, 10/9, 10/10, 10/11, 12/1, 12/2, 12/3, 12/4, 12/15, 14/5, 14/6,14/7, 14/18, 14/10/10P, 14/11, 14/12, 14/13P, 14/14, 14/15, 14/16, 14/17, 15/3, 15/4, 15/7, 15/8, 15/9, 15/11, 15/12, 17/1, 17/2, 19/1, 19/2, 19/3, 19/4, 21, 22/1P, 23, 24, 25/1/2, 25/2 (pt), 26/1P, 26/2, 27/1P, 27/1P, 27/2, 28/12, 28/13, 28/14P, 34/1, 34/2P, 35/1P, 35/1P, 35/2, 37/3, 39/P, 40/7 &amp; 40/8 (pt) &amp; others, near Casa Sereno, Thane - Dombivli Link Road, , Surai, Bhiwandi , Bhiwandi, Thane - 421302.</v>
      </c>
      <c r="D14" s="121"/>
      <c r="E14" s="121"/>
      <c r="F14" s="121"/>
      <c r="G14" s="121"/>
      <c r="H14" s="121"/>
    </row>
    <row r="15" spans="1:8" ht="81.75" customHeight="1" x14ac:dyDescent="0.3">
      <c r="A15" s="73" t="s">
        <v>183</v>
      </c>
      <c r="B15" s="73"/>
      <c r="C15" s="73" t="s">
        <v>184</v>
      </c>
      <c r="D15" s="73"/>
      <c r="E15" s="73"/>
      <c r="F15" s="73"/>
      <c r="G15" s="73"/>
      <c r="H15" s="73"/>
    </row>
    <row r="16" spans="1:8" ht="15.75" customHeight="1" x14ac:dyDescent="0.3">
      <c r="A16" s="73" t="s">
        <v>171</v>
      </c>
      <c r="B16" s="73"/>
      <c r="C16" s="73" t="s">
        <v>30</v>
      </c>
      <c r="D16" s="73"/>
      <c r="E16" s="73"/>
      <c r="F16" s="73"/>
      <c r="G16" s="73"/>
      <c r="H16" s="73"/>
    </row>
    <row r="17" spans="1:8" ht="15.75" customHeight="1" x14ac:dyDescent="0.3">
      <c r="A17" s="121" t="s">
        <v>11</v>
      </c>
      <c r="B17" s="121"/>
      <c r="C17" s="72" t="s">
        <v>191</v>
      </c>
      <c r="D17" s="72"/>
      <c r="E17" s="121" t="s">
        <v>75</v>
      </c>
      <c r="F17" s="121"/>
      <c r="G17" s="73" t="s">
        <v>190</v>
      </c>
      <c r="H17" s="73"/>
    </row>
    <row r="18" spans="1:8" x14ac:dyDescent="0.3">
      <c r="A18" s="98" t="s">
        <v>13</v>
      </c>
      <c r="B18" s="98"/>
      <c r="C18" s="73" t="s">
        <v>187</v>
      </c>
      <c r="D18" s="73"/>
      <c r="E18" s="121" t="s">
        <v>12</v>
      </c>
      <c r="F18" s="121"/>
      <c r="G18" s="153" t="s">
        <v>189</v>
      </c>
      <c r="H18" s="153"/>
    </row>
    <row r="19" spans="1:8" x14ac:dyDescent="0.3">
      <c r="A19" s="98" t="s">
        <v>76</v>
      </c>
      <c r="B19" s="98"/>
      <c r="C19" s="73" t="s">
        <v>188</v>
      </c>
      <c r="D19" s="73"/>
      <c r="E19" s="121" t="s">
        <v>14</v>
      </c>
      <c r="F19" s="121"/>
      <c r="G19" s="73">
        <v>421302</v>
      </c>
      <c r="H19" s="73"/>
    </row>
    <row r="20" spans="1:8" ht="32.25" customHeight="1" x14ac:dyDescent="0.3">
      <c r="A20" s="98" t="s">
        <v>128</v>
      </c>
      <c r="B20" s="98"/>
      <c r="C20" s="73" t="s">
        <v>192</v>
      </c>
      <c r="D20" s="73"/>
      <c r="E20" s="121" t="s">
        <v>15</v>
      </c>
      <c r="F20" s="121"/>
      <c r="G20" s="73" t="s">
        <v>186</v>
      </c>
      <c r="H20" s="73"/>
    </row>
    <row r="21" spans="1:8" ht="15" customHeight="1" x14ac:dyDescent="0.3">
      <c r="A21" s="121" t="s">
        <v>79</v>
      </c>
      <c r="B21" s="121"/>
      <c r="C21" s="121"/>
      <c r="D21" s="121"/>
      <c r="E21" s="72" t="s">
        <v>16</v>
      </c>
      <c r="F21" s="72"/>
      <c r="G21" s="72"/>
      <c r="H21" s="72"/>
    </row>
    <row r="22" spans="1:8" ht="18.75" customHeight="1" x14ac:dyDescent="0.3">
      <c r="A22" s="121"/>
      <c r="B22" s="121"/>
      <c r="C22" s="121"/>
      <c r="D22" s="121"/>
      <c r="E22" s="72"/>
      <c r="F22" s="72"/>
      <c r="G22" s="72"/>
      <c r="H22" s="72"/>
    </row>
    <row r="23" spans="1:8" ht="15" customHeight="1" x14ac:dyDescent="0.3">
      <c r="A23" s="121" t="s">
        <v>17</v>
      </c>
      <c r="B23" s="121"/>
      <c r="C23" s="121"/>
      <c r="D23" s="121"/>
      <c r="E23" s="73" t="s">
        <v>18</v>
      </c>
      <c r="F23" s="73"/>
      <c r="G23" s="73"/>
      <c r="H23" s="73"/>
    </row>
    <row r="24" spans="1:8" ht="15" customHeight="1" x14ac:dyDescent="0.3">
      <c r="A24" s="98" t="s">
        <v>19</v>
      </c>
      <c r="B24" s="98"/>
      <c r="C24" s="98"/>
      <c r="D24" s="98"/>
      <c r="E24" s="73" t="str">
        <f>IF(AND(G18="Mumbai"),"Upper Class","Middle Class")</f>
        <v>Middle Class</v>
      </c>
      <c r="F24" s="73"/>
      <c r="G24" s="73"/>
      <c r="H24" s="73"/>
    </row>
    <row r="25" spans="1:8" x14ac:dyDescent="0.3">
      <c r="A25" s="98" t="s">
        <v>20</v>
      </c>
      <c r="B25" s="98"/>
      <c r="C25" s="98"/>
      <c r="D25" s="98"/>
      <c r="E25" s="73" t="s">
        <v>21</v>
      </c>
      <c r="F25" s="73"/>
      <c r="G25" s="73"/>
      <c r="H25" s="73"/>
    </row>
    <row r="26" spans="1:8" ht="15.75" customHeight="1" x14ac:dyDescent="0.3">
      <c r="A26" s="98" t="s">
        <v>22</v>
      </c>
      <c r="B26" s="98"/>
      <c r="C26" s="98"/>
      <c r="D26" s="98"/>
      <c r="E26" s="73" t="str">
        <f>IF(AND(G18="Mumbai"),"Developed","Developing")</f>
        <v>Developing</v>
      </c>
      <c r="F26" s="73"/>
      <c r="G26" s="73"/>
      <c r="H26" s="73"/>
    </row>
    <row r="27" spans="1:8" x14ac:dyDescent="0.3">
      <c r="A27" s="98" t="s">
        <v>23</v>
      </c>
      <c r="B27" s="98"/>
      <c r="C27" s="98"/>
      <c r="D27" s="98"/>
      <c r="E27" s="73" t="s">
        <v>24</v>
      </c>
      <c r="F27" s="73"/>
      <c r="G27" s="73"/>
      <c r="H27" s="73"/>
    </row>
    <row r="28" spans="1:8" ht="15.75" customHeight="1" x14ac:dyDescent="0.3">
      <c r="A28" s="98" t="s">
        <v>84</v>
      </c>
      <c r="B28" s="98"/>
      <c r="C28" s="98"/>
      <c r="D28" s="98"/>
      <c r="E28" s="73" t="s">
        <v>85</v>
      </c>
      <c r="F28" s="73"/>
      <c r="G28" s="73"/>
      <c r="H28" s="73"/>
    </row>
    <row r="29" spans="1:8" ht="15" customHeight="1" x14ac:dyDescent="0.3">
      <c r="A29" s="98" t="s">
        <v>33</v>
      </c>
      <c r="B29" s="98"/>
      <c r="C29" s="98"/>
      <c r="D29" s="98"/>
      <c r="E29" s="73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73"/>
      <c r="G29" s="73"/>
      <c r="H29" s="73"/>
    </row>
    <row r="30" spans="1:8" ht="15.75" customHeight="1" x14ac:dyDescent="0.3">
      <c r="A30" s="98" t="s">
        <v>96</v>
      </c>
      <c r="B30" s="98"/>
      <c r="C30" s="98"/>
      <c r="D30" s="98"/>
      <c r="E30" s="73" t="s">
        <v>34</v>
      </c>
      <c r="F30" s="73"/>
      <c r="G30" s="73"/>
      <c r="H30" s="73"/>
    </row>
    <row r="31" spans="1:8" s="22" customFormat="1" x14ac:dyDescent="0.3">
      <c r="A31" s="157" t="s">
        <v>97</v>
      </c>
      <c r="B31" s="157"/>
      <c r="C31" s="156" t="s">
        <v>29</v>
      </c>
      <c r="D31" s="156"/>
      <c r="E31" s="156"/>
      <c r="F31" s="156" t="s">
        <v>31</v>
      </c>
      <c r="G31" s="156"/>
      <c r="H31" s="156"/>
    </row>
    <row r="32" spans="1:8" s="22" customFormat="1" x14ac:dyDescent="0.3">
      <c r="A32" s="154" t="s">
        <v>25</v>
      </c>
      <c r="B32" s="154" t="s">
        <v>30</v>
      </c>
      <c r="C32" s="155" t="s">
        <v>30</v>
      </c>
      <c r="D32" s="155"/>
      <c r="E32" s="155"/>
      <c r="F32" s="155" t="s">
        <v>192</v>
      </c>
      <c r="G32" s="155"/>
      <c r="H32" s="155"/>
    </row>
    <row r="33" spans="1:8" x14ac:dyDescent="0.3">
      <c r="A33" s="154" t="s">
        <v>26</v>
      </c>
      <c r="B33" s="154" t="s">
        <v>30</v>
      </c>
      <c r="C33" s="155" t="s">
        <v>30</v>
      </c>
      <c r="D33" s="155"/>
      <c r="E33" s="155"/>
      <c r="F33" s="155" t="s">
        <v>193</v>
      </c>
      <c r="G33" s="155"/>
      <c r="H33" s="155"/>
    </row>
    <row r="34" spans="1:8" s="22" customFormat="1" x14ac:dyDescent="0.3">
      <c r="A34" s="154" t="s">
        <v>28</v>
      </c>
      <c r="B34" s="154" t="s">
        <v>30</v>
      </c>
      <c r="C34" s="155" t="s">
        <v>30</v>
      </c>
      <c r="D34" s="155"/>
      <c r="E34" s="155"/>
      <c r="F34" s="155" t="s">
        <v>193</v>
      </c>
      <c r="G34" s="155"/>
      <c r="H34" s="155"/>
    </row>
    <row r="35" spans="1:8" x14ac:dyDescent="0.3">
      <c r="A35" s="154" t="s">
        <v>27</v>
      </c>
      <c r="B35" s="154" t="s">
        <v>30</v>
      </c>
      <c r="C35" s="155" t="s">
        <v>30</v>
      </c>
      <c r="D35" s="155"/>
      <c r="E35" s="155"/>
      <c r="F35" s="155" t="s">
        <v>194</v>
      </c>
      <c r="G35" s="155"/>
      <c r="H35" s="155"/>
    </row>
    <row r="36" spans="1:8" x14ac:dyDescent="0.3">
      <c r="A36" s="98" t="s">
        <v>32</v>
      </c>
      <c r="B36" s="98"/>
      <c r="C36" s="98"/>
      <c r="D36" s="98"/>
      <c r="E36" s="98"/>
      <c r="F36" s="98"/>
      <c r="G36" s="98"/>
      <c r="H36" s="98"/>
    </row>
    <row r="37" spans="1:8" ht="15.75" customHeight="1" x14ac:dyDescent="0.3">
      <c r="A37" s="98" t="s">
        <v>174</v>
      </c>
      <c r="B37" s="98"/>
      <c r="C37" s="140" t="s">
        <v>207</v>
      </c>
      <c r="D37" s="140"/>
      <c r="E37" s="140"/>
      <c r="F37" s="140"/>
      <c r="G37" s="140"/>
      <c r="H37" s="140"/>
    </row>
    <row r="38" spans="1:8" x14ac:dyDescent="0.3">
      <c r="A38" s="98" t="s">
        <v>170</v>
      </c>
      <c r="B38" s="98"/>
      <c r="C38" s="165" t="s">
        <v>185</v>
      </c>
      <c r="D38" s="73"/>
      <c r="E38" s="73"/>
      <c r="F38" s="73"/>
      <c r="G38" s="73"/>
      <c r="H38" s="73"/>
    </row>
    <row r="39" spans="1:8" x14ac:dyDescent="0.3">
      <c r="A39" s="140" t="s">
        <v>35</v>
      </c>
      <c r="B39" s="140"/>
      <c r="C39" s="140"/>
      <c r="D39" s="140"/>
      <c r="E39" s="140"/>
      <c r="F39" s="140"/>
      <c r="G39" s="140"/>
      <c r="H39" s="140"/>
    </row>
    <row r="40" spans="1:8" x14ac:dyDescent="0.3">
      <c r="A40" s="98" t="s">
        <v>36</v>
      </c>
      <c r="B40" s="98"/>
      <c r="C40" s="98"/>
      <c r="D40" s="98"/>
      <c r="E40" s="158">
        <v>506642.89</v>
      </c>
      <c r="F40" s="158"/>
      <c r="G40" s="158"/>
      <c r="H40" s="158"/>
    </row>
    <row r="41" spans="1:8" x14ac:dyDescent="0.3">
      <c r="A41" s="98" t="s">
        <v>37</v>
      </c>
      <c r="B41" s="98"/>
      <c r="C41" s="98"/>
      <c r="D41" s="98"/>
      <c r="E41" s="97">
        <v>1.7</v>
      </c>
      <c r="F41" s="97"/>
      <c r="G41" s="97"/>
      <c r="H41" s="97"/>
    </row>
    <row r="42" spans="1:8" x14ac:dyDescent="0.3">
      <c r="A42" s="98" t="s">
        <v>38</v>
      </c>
      <c r="B42" s="98"/>
      <c r="C42" s="98"/>
      <c r="D42" s="98"/>
      <c r="E42" s="97">
        <f>E44/E40-E41</f>
        <v>0.13798712738276064</v>
      </c>
      <c r="F42" s="97"/>
      <c r="G42" s="97"/>
      <c r="H42" s="97"/>
    </row>
    <row r="43" spans="1:8" x14ac:dyDescent="0.3">
      <c r="A43" s="98" t="s">
        <v>39</v>
      </c>
      <c r="B43" s="98"/>
      <c r="C43" s="98"/>
      <c r="D43" s="98"/>
      <c r="E43" s="97">
        <f>E41+E42</f>
        <v>1.8379871273827606</v>
      </c>
      <c r="F43" s="97"/>
      <c r="G43" s="97"/>
      <c r="H43" s="97"/>
    </row>
    <row r="44" spans="1:8" x14ac:dyDescent="0.3">
      <c r="A44" s="98" t="s">
        <v>95</v>
      </c>
      <c r="B44" s="98"/>
      <c r="C44" s="98"/>
      <c r="D44" s="98"/>
      <c r="E44" s="159">
        <v>931203.11</v>
      </c>
      <c r="F44" s="159"/>
      <c r="G44" s="159"/>
      <c r="H44" s="159"/>
    </row>
    <row r="45" spans="1:8" x14ac:dyDescent="0.3">
      <c r="A45" s="72" t="s">
        <v>40</v>
      </c>
      <c r="B45" s="72"/>
      <c r="C45" s="72"/>
      <c r="D45" s="72"/>
      <c r="E45" s="72" t="s">
        <v>225</v>
      </c>
      <c r="F45" s="72"/>
      <c r="G45" s="72"/>
      <c r="H45" s="72"/>
    </row>
    <row r="46" spans="1:8" x14ac:dyDescent="0.3">
      <c r="A46" s="140" t="s">
        <v>41</v>
      </c>
      <c r="B46" s="140"/>
      <c r="C46" s="140"/>
      <c r="D46" s="140"/>
      <c r="E46" s="140"/>
      <c r="F46" s="140"/>
      <c r="G46" s="140"/>
      <c r="H46" s="140"/>
    </row>
    <row r="47" spans="1:8" ht="33.75" customHeight="1" x14ac:dyDescent="0.3">
      <c r="A47" s="112" t="s">
        <v>157</v>
      </c>
      <c r="B47" s="113"/>
      <c r="C47" s="166" t="s">
        <v>195</v>
      </c>
      <c r="D47" s="167"/>
      <c r="E47" s="167"/>
      <c r="F47" s="167"/>
      <c r="G47" s="167"/>
      <c r="H47" s="168"/>
    </row>
    <row r="48" spans="1:8" ht="48" customHeight="1" x14ac:dyDescent="0.3">
      <c r="A48" s="112" t="s">
        <v>42</v>
      </c>
      <c r="B48" s="113"/>
      <c r="C48" s="112" t="s">
        <v>196</v>
      </c>
      <c r="D48" s="114"/>
      <c r="E48" s="113"/>
      <c r="F48" s="18" t="s">
        <v>43</v>
      </c>
      <c r="G48" s="115">
        <v>44756</v>
      </c>
      <c r="H48" s="113"/>
    </row>
    <row r="49" spans="1:14" ht="48" customHeight="1" x14ac:dyDescent="0.3">
      <c r="A49" s="112" t="s">
        <v>44</v>
      </c>
      <c r="B49" s="113"/>
      <c r="C49" s="112" t="str">
        <f>C48</f>
        <v>SORT/BSNA/2501/BP/Amended/ITP-Anjur, Mankoli, Surai, Sarang &amp; Vehele/966/2022</v>
      </c>
      <c r="D49" s="114"/>
      <c r="E49" s="113"/>
      <c r="F49" s="18" t="s">
        <v>43</v>
      </c>
      <c r="G49" s="115">
        <f>G48</f>
        <v>44756</v>
      </c>
      <c r="H49" s="116"/>
    </row>
    <row r="50" spans="1:14" s="23" customFormat="1" ht="48.75" customHeight="1" x14ac:dyDescent="0.3">
      <c r="A50" s="124" t="s">
        <v>161</v>
      </c>
      <c r="B50" s="125"/>
      <c r="C50" s="112" t="str">
        <f>C49</f>
        <v>SORT/BSNA/2501/BP/Amended/ITP-Anjur, Mankoli, Surai, Sarang &amp; Vehele/966/2022</v>
      </c>
      <c r="D50" s="114"/>
      <c r="E50" s="113"/>
      <c r="F50" s="18" t="s">
        <v>43</v>
      </c>
      <c r="G50" s="115">
        <f>G49</f>
        <v>44756</v>
      </c>
      <c r="H50" s="116"/>
    </row>
    <row r="51" spans="1:14" s="23" customFormat="1" ht="16.5" customHeight="1" x14ac:dyDescent="0.3">
      <c r="A51" s="126"/>
      <c r="B51" s="127"/>
      <c r="C51" s="112" t="s">
        <v>197</v>
      </c>
      <c r="D51" s="114"/>
      <c r="E51" s="114"/>
      <c r="F51" s="114"/>
      <c r="G51" s="114"/>
      <c r="H51" s="113"/>
    </row>
    <row r="52" spans="1:14" s="23" customFormat="1" ht="48.75" customHeight="1" x14ac:dyDescent="0.3">
      <c r="A52" s="124" t="s">
        <v>161</v>
      </c>
      <c r="B52" s="125"/>
      <c r="C52" s="112" t="s">
        <v>213</v>
      </c>
      <c r="D52" s="114"/>
      <c r="E52" s="113"/>
      <c r="F52" s="18" t="s">
        <v>43</v>
      </c>
      <c r="G52" s="115">
        <v>44988</v>
      </c>
      <c r="H52" s="116"/>
    </row>
    <row r="53" spans="1:14" s="23" customFormat="1" ht="16.5" customHeight="1" x14ac:dyDescent="0.3">
      <c r="A53" s="126"/>
      <c r="B53" s="127"/>
      <c r="C53" s="112" t="s">
        <v>212</v>
      </c>
      <c r="D53" s="114"/>
      <c r="E53" s="114"/>
      <c r="F53" s="114"/>
      <c r="G53" s="114"/>
      <c r="H53" s="113"/>
    </row>
    <row r="54" spans="1:14" ht="33" customHeight="1" x14ac:dyDescent="0.3">
      <c r="A54" s="117" t="s">
        <v>45</v>
      </c>
      <c r="B54" s="118"/>
      <c r="C54" s="117" t="s">
        <v>109</v>
      </c>
      <c r="D54" s="119"/>
      <c r="E54" s="118"/>
      <c r="F54" s="46" t="s">
        <v>43</v>
      </c>
      <c r="G54" s="122" t="s">
        <v>30</v>
      </c>
      <c r="H54" s="123"/>
    </row>
    <row r="55" spans="1:14" x14ac:dyDescent="0.3">
      <c r="A55" s="120" t="s">
        <v>47</v>
      </c>
      <c r="B55" s="120"/>
      <c r="C55" s="120"/>
      <c r="D55" s="120"/>
      <c r="E55" s="120"/>
      <c r="F55" s="120"/>
      <c r="G55" s="120"/>
      <c r="H55" s="120"/>
    </row>
    <row r="56" spans="1:14" x14ac:dyDescent="0.3">
      <c r="A56" s="121" t="s">
        <v>94</v>
      </c>
      <c r="B56" s="121"/>
      <c r="C56" s="121"/>
      <c r="D56" s="98" t="s">
        <v>226</v>
      </c>
      <c r="E56" s="98"/>
      <c r="F56" s="98"/>
      <c r="G56" s="98"/>
      <c r="H56" s="98"/>
    </row>
    <row r="57" spans="1:14" x14ac:dyDescent="0.3">
      <c r="A57" s="73" t="s">
        <v>48</v>
      </c>
      <c r="B57" s="72"/>
      <c r="C57" s="72"/>
      <c r="D57" s="72" t="s">
        <v>227</v>
      </c>
      <c r="E57" s="72"/>
      <c r="F57" s="72"/>
      <c r="G57" s="72"/>
      <c r="H57" s="72"/>
      <c r="I57" s="24"/>
    </row>
    <row r="58" spans="1:14" x14ac:dyDescent="0.3">
      <c r="A58" s="73" t="s">
        <v>49</v>
      </c>
      <c r="B58" s="73"/>
      <c r="C58" s="73"/>
      <c r="D58" s="73" t="s">
        <v>214</v>
      </c>
      <c r="E58" s="72"/>
      <c r="F58" s="72"/>
      <c r="G58" s="72"/>
      <c r="H58" s="72"/>
    </row>
    <row r="59" spans="1:14" ht="15.75" customHeight="1" x14ac:dyDescent="0.3">
      <c r="A59" s="73" t="s">
        <v>92</v>
      </c>
      <c r="B59" s="73"/>
      <c r="C59" s="73"/>
      <c r="D59" s="72" t="s">
        <v>212</v>
      </c>
      <c r="E59" s="72"/>
      <c r="F59" s="72"/>
      <c r="G59" s="72"/>
      <c r="H59" s="72"/>
    </row>
    <row r="60" spans="1:14" ht="15.75" customHeight="1" x14ac:dyDescent="0.3">
      <c r="A60" s="73"/>
      <c r="B60" s="73"/>
      <c r="C60" s="73"/>
      <c r="D60" s="72" t="s">
        <v>197</v>
      </c>
      <c r="E60" s="72"/>
      <c r="F60" s="72"/>
      <c r="G60" s="72"/>
      <c r="H60" s="72"/>
    </row>
    <row r="61" spans="1:14" ht="15.75" customHeight="1" x14ac:dyDescent="0.3">
      <c r="A61" s="98" t="s">
        <v>46</v>
      </c>
      <c r="B61" s="98"/>
      <c r="C61" s="98"/>
      <c r="D61" s="121" t="s">
        <v>198</v>
      </c>
      <c r="E61" s="121"/>
      <c r="F61" s="121"/>
      <c r="G61" s="121"/>
      <c r="H61" s="121"/>
      <c r="J61" s="25"/>
      <c r="K61" s="24"/>
      <c r="N61" s="24"/>
    </row>
    <row r="62" spans="1:14" ht="15.75" customHeight="1" x14ac:dyDescent="0.3">
      <c r="A62" s="98" t="s">
        <v>90</v>
      </c>
      <c r="B62" s="98"/>
      <c r="C62" s="98"/>
      <c r="D62" s="163" t="str">
        <f>(IF(G54="NA","60 Years After Completion",IF(G54&lt;&gt;"NA",""&amp;60-ROUNDDOWN((E3-G54)/360,0)&amp;" Years"," ")))</f>
        <v>60 Years After Completion</v>
      </c>
      <c r="E62" s="163"/>
      <c r="F62" s="163"/>
      <c r="G62" s="163"/>
      <c r="H62" s="163"/>
      <c r="N62" s="24"/>
    </row>
    <row r="63" spans="1:14" ht="15.75" customHeight="1" x14ac:dyDescent="0.3">
      <c r="A63" s="98" t="s">
        <v>91</v>
      </c>
      <c r="B63" s="98"/>
      <c r="C63" s="98"/>
      <c r="D63" s="121" t="s">
        <v>24</v>
      </c>
      <c r="E63" s="121"/>
      <c r="F63" s="121"/>
      <c r="G63" s="121"/>
      <c r="H63" s="121"/>
      <c r="J63" s="26"/>
      <c r="K63" s="26"/>
    </row>
    <row r="64" spans="1:14" x14ac:dyDescent="0.3">
      <c r="A64" s="98" t="s">
        <v>77</v>
      </c>
      <c r="B64" s="98"/>
      <c r="C64" s="98"/>
      <c r="D64" s="73" t="s">
        <v>200</v>
      </c>
      <c r="E64" s="121"/>
      <c r="F64" s="121"/>
      <c r="G64" s="121"/>
      <c r="H64" s="121"/>
    </row>
    <row r="65" spans="1:14" x14ac:dyDescent="0.3">
      <c r="A65" s="121" t="s">
        <v>154</v>
      </c>
      <c r="B65" s="121"/>
      <c r="C65" s="121"/>
      <c r="D65" s="121" t="s">
        <v>30</v>
      </c>
      <c r="E65" s="121"/>
      <c r="F65" s="121"/>
      <c r="G65" s="121"/>
      <c r="H65" s="121"/>
      <c r="I65" s="27"/>
      <c r="J65" s="27"/>
      <c r="K65" s="27"/>
      <c r="L65" s="27"/>
      <c r="M65" s="27"/>
      <c r="N65" s="27"/>
    </row>
    <row r="66" spans="1:14" ht="15.75" customHeight="1" x14ac:dyDescent="0.3">
      <c r="A66" s="150" t="s">
        <v>89</v>
      </c>
      <c r="B66" s="150"/>
      <c r="C66" s="150"/>
      <c r="D66" s="149" t="str">
        <f ca="1">(IF(G86&gt;95%,"Nothing",IF(G86&gt;0%,"Cement, Aggregate, Steel, etc",IF(G86=0%,"Work not yet Started"))))</f>
        <v>Cement, Aggregate, Steel, etc</v>
      </c>
      <c r="E66" s="149"/>
      <c r="F66" s="149"/>
      <c r="G66" s="149"/>
      <c r="H66" s="149"/>
      <c r="J66" s="26"/>
    </row>
    <row r="67" spans="1:14" ht="33.75" customHeight="1" thickBot="1" x14ac:dyDescent="0.35">
      <c r="A67" s="148" t="s">
        <v>122</v>
      </c>
      <c r="B67" s="148"/>
      <c r="C67" s="148"/>
      <c r="D67" s="149" t="str">
        <f ca="1">(IF(D66="Nothing","Yes",IF(D66="Cement, Aggregate, Steel, etc","Under Construction",IF(D66="Work not yet Started","Work not yet Started"))))</f>
        <v>Under Construction</v>
      </c>
      <c r="E67" s="149"/>
      <c r="F67" s="149" t="str">
        <f ca="1">(IF(D66="Nothing","Yes",IF(D66="Cement, Aggregate, Steel, etc","Under Construction",IF(D66="Work not yet Started","Work not yet Started"))))</f>
        <v>Under Construction</v>
      </c>
      <c r="G67" s="149"/>
      <c r="H67" s="149"/>
    </row>
    <row r="68" spans="1:14" ht="15.75" customHeight="1" x14ac:dyDescent="0.3">
      <c r="A68" s="143" t="s">
        <v>146</v>
      </c>
      <c r="B68" s="144"/>
      <c r="C68" s="145" t="str">
        <f>D59</f>
        <v>D Wing = G + 1st to 23rd Floor</v>
      </c>
      <c r="D68" s="146"/>
      <c r="E68" s="146"/>
      <c r="F68" s="146"/>
      <c r="G68" s="146"/>
      <c r="H68" s="147"/>
      <c r="I68" s="48" t="str">
        <f ca="1">IF(D81=100%,"All work Completed. Possession granted to the Building.",IF(D80=100%,"All work Completed, Waiting for OC",I69&amp;""&amp;I70&amp;""&amp;J69&amp;""&amp;J68&amp;" "&amp;J70))</f>
        <v>Excavation, Plinth Completed, RCC upto 14 Slab, Brickwork upto 13 Floor, Internal Plaster upto 9.75 Floor, External Plaster upto 9.1 Floor Completed</v>
      </c>
      <c r="J68" s="49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14 Slab, Brickwork upto 13 Floor, Internal Plaster upto 9.75 Floor, External Plaster upto 9.1 Floor</v>
      </c>
    </row>
    <row r="69" spans="1:14" s="23" customFormat="1" x14ac:dyDescent="0.3">
      <c r="A69" s="16" t="s">
        <v>148</v>
      </c>
      <c r="B69" s="52">
        <f>IF(AND(ISNUMBER(SEARCH("1B",C68))),1,IF(AND(ISNUMBER(SEARCH("2B",C68))),2,IF(AND(ISNUMBER(SEARCH("3B",C68))),3,IF(AND(ISNUMBER(SEARCH("4B",C68))),4,IF(ISNUMBER(SEARCH("5B",C68)),5,0)))))</f>
        <v>0</v>
      </c>
      <c r="C69" s="52" t="s">
        <v>74</v>
      </c>
      <c r="D69" s="52">
        <v>1</v>
      </c>
      <c r="E69" s="52" t="s">
        <v>73</v>
      </c>
      <c r="F69" s="52">
        <v>0</v>
      </c>
      <c r="G69" s="52" t="s">
        <v>83</v>
      </c>
      <c r="H69" s="17">
        <f ca="1">--TRIM(RIGHT(SUBSTITUTE(LEFT(C68,_xlfn.AGGREGATE(16,6,FIND({0,1,2,3,4,5,6,7,8,9},C68,ROW(INDIRECT("1:"&amp;LEN(C68)))),1))," ",REPT(" ",LEN(C68))),LEN(C68)))</f>
        <v>23</v>
      </c>
      <c r="I69" s="53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4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1.5" customHeight="1" x14ac:dyDescent="0.3">
      <c r="A70" s="141" t="s">
        <v>93</v>
      </c>
      <c r="B70" s="142"/>
      <c r="C70" s="77" t="str">
        <f ca="1">I68</f>
        <v>Excavation, Plinth Completed, RCC upto 14 Slab, Brickwork upto 13 Floor, Internal Plaster upto 9.75 Floor, External Plaster upto 9.1 Floor Completed</v>
      </c>
      <c r="D70" s="77"/>
      <c r="E70" s="77"/>
      <c r="F70" s="77"/>
      <c r="G70" s="77"/>
      <c r="H70" s="78"/>
      <c r="I70" s="50" t="str">
        <f ca="1">IF(I69&lt;&gt;""," Completed","")</f>
        <v xml:space="preserve"> Completed</v>
      </c>
      <c r="J70" s="51" t="str">
        <f ca="1">IF(J68&lt;&gt;"","Completed","")</f>
        <v>Completed</v>
      </c>
    </row>
    <row r="71" spans="1:14" ht="15.75" customHeight="1" x14ac:dyDescent="0.3">
      <c r="A71" s="79" t="s">
        <v>50</v>
      </c>
      <c r="B71" s="80"/>
      <c r="C71" s="44" t="s">
        <v>145</v>
      </c>
      <c r="D71" s="44" t="s">
        <v>86</v>
      </c>
      <c r="E71" s="80" t="s">
        <v>88</v>
      </c>
      <c r="F71" s="80"/>
      <c r="G71" s="80" t="s">
        <v>87</v>
      </c>
      <c r="H71" s="81"/>
      <c r="I71" s="14" t="s">
        <v>147</v>
      </c>
      <c r="J71" s="28">
        <f ca="1">H69*25%</f>
        <v>5.75</v>
      </c>
    </row>
    <row r="72" spans="1:14" x14ac:dyDescent="0.3">
      <c r="A72" s="79" t="s">
        <v>134</v>
      </c>
      <c r="B72" s="80"/>
      <c r="C72" s="44">
        <v>23</v>
      </c>
      <c r="D72" s="19">
        <f ca="1">((100/H69)*C72)/100</f>
        <v>1</v>
      </c>
      <c r="E72" s="82">
        <f ca="1">(((C73/H69*10)+(40/(D69+F69+H69)*C74)+(7.5/(H69)*C75)+(7.5/(H69)*C76)+(10/H69*C77)+(10/H69*C78)+(5/H69*C79)+(5/H69*C80)+(5/H69*C81))/100)</f>
        <v>0.44708333333333333</v>
      </c>
      <c r="F72" s="83"/>
      <c r="G72" s="82">
        <f ca="1">((((C72/H69)*20)+((C73/H69)*25)+(30/(H69+F69+D69)*C74)+(5/H69*C75)+(5/H69*C76)+(5/H69*C77)+(5/H69*C78)+(0/H69*C79)+(0/H69*C80)+(5/H69*C81))/100)</f>
        <v>0.69423913043478247</v>
      </c>
      <c r="H72" s="88"/>
      <c r="I72" s="14" t="s">
        <v>104</v>
      </c>
      <c r="J72" s="29">
        <f ca="1">H69*50%</f>
        <v>11.5</v>
      </c>
    </row>
    <row r="73" spans="1:14" x14ac:dyDescent="0.3">
      <c r="A73" s="79" t="s">
        <v>51</v>
      </c>
      <c r="B73" s="80"/>
      <c r="C73" s="56">
        <f ca="1">J81</f>
        <v>23</v>
      </c>
      <c r="D73" s="19">
        <f ca="1">((100/H69)*C73)/100</f>
        <v>1</v>
      </c>
      <c r="E73" s="84"/>
      <c r="F73" s="85"/>
      <c r="G73" s="84"/>
      <c r="H73" s="89"/>
      <c r="I73" s="14" t="s">
        <v>105</v>
      </c>
      <c r="J73" s="29">
        <f ca="1">H69</f>
        <v>23</v>
      </c>
    </row>
    <row r="74" spans="1:14" ht="15.75" customHeight="1" x14ac:dyDescent="0.3">
      <c r="A74" s="79" t="s">
        <v>135</v>
      </c>
      <c r="B74" s="80"/>
      <c r="C74" s="44">
        <v>14</v>
      </c>
      <c r="D74" s="19">
        <f ca="1">((100/(D69+F69+H69))*C74)/100</f>
        <v>0.58333333333333337</v>
      </c>
      <c r="E74" s="84"/>
      <c r="F74" s="85"/>
      <c r="G74" s="84"/>
      <c r="H74" s="89"/>
      <c r="I74" s="14" t="s">
        <v>106</v>
      </c>
      <c r="J74" s="30">
        <f ca="1">(IF(B69&gt;1,(H69/(B69+2)),H69/4))</f>
        <v>5.75</v>
      </c>
      <c r="K74" s="21">
        <f>0.25*24</f>
        <v>6</v>
      </c>
    </row>
    <row r="75" spans="1:14" ht="15.75" customHeight="1" x14ac:dyDescent="0.3">
      <c r="A75" s="79" t="s">
        <v>142</v>
      </c>
      <c r="B75" s="80" t="s">
        <v>136</v>
      </c>
      <c r="C75" s="44">
        <f>C74-1</f>
        <v>13</v>
      </c>
      <c r="D75" s="19">
        <f ca="1">((100/H69)*C75)/100</f>
        <v>0.56521739130434778</v>
      </c>
      <c r="E75" s="84"/>
      <c r="F75" s="85"/>
      <c r="G75" s="84"/>
      <c r="H75" s="89"/>
      <c r="I75" s="14" t="s">
        <v>107</v>
      </c>
      <c r="J75" s="30">
        <f ca="1">(IF(B69&gt;1,(H69/(B69+2)+J74),H69/4+J74))</f>
        <v>11.5</v>
      </c>
    </row>
    <row r="76" spans="1:14" ht="15.75" customHeight="1" x14ac:dyDescent="0.3">
      <c r="A76" s="79" t="s">
        <v>143</v>
      </c>
      <c r="B76" s="80" t="s">
        <v>136</v>
      </c>
      <c r="C76" s="56">
        <f>C75*0.75</f>
        <v>9.75</v>
      </c>
      <c r="D76" s="19">
        <f ca="1">((100/H69)*C76)/100</f>
        <v>0.42391304347826086</v>
      </c>
      <c r="E76" s="84"/>
      <c r="F76" s="85"/>
      <c r="G76" s="84"/>
      <c r="H76" s="89"/>
      <c r="I76" s="14" t="s">
        <v>152</v>
      </c>
      <c r="J76" s="30">
        <f>(IF(B69&gt;1,(H69/(B69+2)+J75),0))</f>
        <v>0</v>
      </c>
    </row>
    <row r="77" spans="1:14" ht="15" customHeight="1" x14ac:dyDescent="0.3">
      <c r="A77" s="79" t="s">
        <v>141</v>
      </c>
      <c r="B77" s="80" t="s">
        <v>138</v>
      </c>
      <c r="C77" s="56">
        <f>C75*0.7</f>
        <v>9.1</v>
      </c>
      <c r="D77" s="19">
        <f ca="1">((100/(H69))*C77)/100</f>
        <v>0.39565217391304341</v>
      </c>
      <c r="E77" s="84"/>
      <c r="F77" s="85"/>
      <c r="G77" s="84"/>
      <c r="H77" s="89"/>
      <c r="I77" s="14" t="s">
        <v>149</v>
      </c>
      <c r="J77" s="30">
        <f>(IF(B69&gt;2,(H69/(B69+2)+J76),0))</f>
        <v>0</v>
      </c>
    </row>
    <row r="78" spans="1:14" ht="15.75" customHeight="1" x14ac:dyDescent="0.3">
      <c r="A78" s="79" t="s">
        <v>137</v>
      </c>
      <c r="B78" s="80" t="s">
        <v>137</v>
      </c>
      <c r="C78" s="44">
        <v>0</v>
      </c>
      <c r="D78" s="19">
        <f ca="1">((100/H69)*C78)/100</f>
        <v>0</v>
      </c>
      <c r="E78" s="84"/>
      <c r="F78" s="85"/>
      <c r="G78" s="84"/>
      <c r="H78" s="89"/>
      <c r="I78" s="14" t="s">
        <v>150</v>
      </c>
      <c r="J78" s="31">
        <f>(IF(B69&gt;3,(H69/(B69+2)+J77),0))</f>
        <v>0</v>
      </c>
    </row>
    <row r="79" spans="1:14" ht="15.75" customHeight="1" x14ac:dyDescent="0.3">
      <c r="A79" s="79" t="s">
        <v>144</v>
      </c>
      <c r="B79" s="80"/>
      <c r="C79" s="44">
        <v>0</v>
      </c>
      <c r="D79" s="19">
        <f ca="1">((100/H69)*C79)/100</f>
        <v>0</v>
      </c>
      <c r="E79" s="84"/>
      <c r="F79" s="85"/>
      <c r="G79" s="84"/>
      <c r="H79" s="89"/>
      <c r="I79" s="14" t="s">
        <v>151</v>
      </c>
      <c r="J79" s="30">
        <f>(IF(B69&gt;4,(H69/(B69+2)+J78),0))</f>
        <v>0</v>
      </c>
    </row>
    <row r="80" spans="1:14" ht="15.75" customHeight="1" x14ac:dyDescent="0.3">
      <c r="A80" s="79" t="s">
        <v>139</v>
      </c>
      <c r="B80" s="80" t="s">
        <v>139</v>
      </c>
      <c r="C80" s="44">
        <v>0</v>
      </c>
      <c r="D80" s="19">
        <f ca="1">((100/(H69))*C80)/100</f>
        <v>0</v>
      </c>
      <c r="E80" s="84"/>
      <c r="F80" s="85"/>
      <c r="G80" s="84"/>
      <c r="H80" s="89"/>
      <c r="I80" s="14" t="s">
        <v>153</v>
      </c>
      <c r="J80" s="30">
        <f ca="1">(IF(B69=1,(H69/(B69+3)+J75),IF(B69=0,(H69/4+J75),IF(B69&gt;1,0))))</f>
        <v>17.25</v>
      </c>
    </row>
    <row r="81" spans="1:10" ht="16.2" thickBot="1" x14ac:dyDescent="0.35">
      <c r="A81" s="91" t="s">
        <v>140</v>
      </c>
      <c r="B81" s="92"/>
      <c r="C81" s="45">
        <v>0</v>
      </c>
      <c r="D81" s="20">
        <f ca="1">((100/(H69))*C81)/100</f>
        <v>0</v>
      </c>
      <c r="E81" s="86"/>
      <c r="F81" s="87"/>
      <c r="G81" s="86"/>
      <c r="H81" s="90"/>
      <c r="I81" s="15" t="s">
        <v>108</v>
      </c>
      <c r="J81" s="32">
        <f ca="1">(IF(B69&gt;1.5,(H69/(B69+2)+J75+MAX(0,J76-J75)+MAX(0,J77-J76)+MAX(0,J78-J77)+MAX(0,J79-J78)+MAX(0,J80-J79)),IF(B69=1,(H69/(B69+3)+J80),IF(B69=0,H69/4+J80))))</f>
        <v>23</v>
      </c>
    </row>
    <row r="82" spans="1:10" ht="15.75" customHeight="1" x14ac:dyDescent="0.3">
      <c r="A82" s="143" t="s">
        <v>146</v>
      </c>
      <c r="B82" s="144"/>
      <c r="C82" s="145" t="str">
        <f>D60</f>
        <v>E Wing = G + 1st to 23rd Floor</v>
      </c>
      <c r="D82" s="146"/>
      <c r="E82" s="146"/>
      <c r="F82" s="146"/>
      <c r="G82" s="146"/>
      <c r="H82" s="147"/>
      <c r="I82" s="48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Plaster, External Plaster Completed, Flooring upto 15 Floor, Painting upto 9 Floor Completed</v>
      </c>
      <c r="J82" s="49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Flooring upto 15 Floor, Painting upto 9 Floor</v>
      </c>
    </row>
    <row r="83" spans="1:10" s="23" customFormat="1" x14ac:dyDescent="0.3">
      <c r="A83" s="16" t="s">
        <v>148</v>
      </c>
      <c r="B83" s="52">
        <f>IF(AND(ISNUMBER(SEARCH("1B",C82))),1,IF(AND(ISNUMBER(SEARCH("2B",C82))),2,IF(AND(ISNUMBER(SEARCH("3B",C82))),3,IF(AND(ISNUMBER(SEARCH("4B",C82))),4,IF(ISNUMBER(SEARCH("5B",C82)),5,0)))))</f>
        <v>0</v>
      </c>
      <c r="C83" s="52" t="s">
        <v>74</v>
      </c>
      <c r="D83" s="52">
        <v>1</v>
      </c>
      <c r="E83" s="52" t="s">
        <v>73</v>
      </c>
      <c r="F83" s="52">
        <v>0</v>
      </c>
      <c r="G83" s="52" t="s">
        <v>83</v>
      </c>
      <c r="H83" s="17">
        <f ca="1">--TRIM(RIGHT(SUBSTITUTE(LEFT(C82,_xlfn.AGGREGATE(16,6,FIND({0,1,2,3,4,5,6,7,8,9},C82,ROW(INDIRECT("1:"&amp;LEN(C82)))),1))," ",REPT(" ",LEN(C82))),LEN(C82)))</f>
        <v>23</v>
      </c>
      <c r="I83" s="53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</v>
      </c>
      <c r="J83" s="54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6.6" customHeight="1" x14ac:dyDescent="0.3">
      <c r="A84" s="141" t="s">
        <v>93</v>
      </c>
      <c r="B84" s="142"/>
      <c r="C84" s="77" t="str">
        <f ca="1">I82</f>
        <v>Excavation, Plinth, RCC Slab, Brickwork, Internal Plaster, External Plaster Completed, Flooring upto 15 Floor, Painting upto 9 Floor Completed</v>
      </c>
      <c r="D84" s="77"/>
      <c r="E84" s="77"/>
      <c r="F84" s="77"/>
      <c r="G84" s="77"/>
      <c r="H84" s="78"/>
      <c r="I84" s="50" t="str">
        <f ca="1">IF(I83&lt;&gt;""," Completed","")</f>
        <v xml:space="preserve"> Completed</v>
      </c>
      <c r="J84" s="51" t="str">
        <f ca="1">IF(J82&lt;&gt;"","Completed","")</f>
        <v>Completed</v>
      </c>
    </row>
    <row r="85" spans="1:10" ht="15.75" customHeight="1" x14ac:dyDescent="0.3">
      <c r="A85" s="79" t="s">
        <v>50</v>
      </c>
      <c r="B85" s="80"/>
      <c r="C85" s="44" t="s">
        <v>145</v>
      </c>
      <c r="D85" s="44" t="s">
        <v>86</v>
      </c>
      <c r="E85" s="80" t="s">
        <v>88</v>
      </c>
      <c r="F85" s="80"/>
      <c r="G85" s="80" t="s">
        <v>87</v>
      </c>
      <c r="H85" s="81"/>
      <c r="I85" s="14" t="s">
        <v>147</v>
      </c>
      <c r="J85" s="28">
        <f ca="1">H83*25%</f>
        <v>5.75</v>
      </c>
    </row>
    <row r="86" spans="1:10" x14ac:dyDescent="0.3">
      <c r="A86" s="79" t="s">
        <v>134</v>
      </c>
      <c r="B86" s="80"/>
      <c r="C86" s="44">
        <f ca="1">J87</f>
        <v>23</v>
      </c>
      <c r="D86" s="19">
        <f ca="1">((100/H83)*C86)/100</f>
        <v>1</v>
      </c>
      <c r="E86" s="82">
        <f ca="1">(((C87/H83*10)+(40/(D83+F83+H83)*C88)+(7.5/(H83)*C89)+(7.5/(H83)*C90)+(10/H83*C91)+(10/H83*C92)+(5/H83*C93)+(5/H83*C94)+(5/H83*C95))/100)</f>
        <v>0.83478260869565224</v>
      </c>
      <c r="F86" s="83"/>
      <c r="G86" s="82">
        <f ca="1">((((C86/H83)*20)+((C87/H83)*25)+(30/(H83+F83+D83)*C88)+(5/H83*C89)+(5/H83*C90)+(5/H83*C91)+(5/H83*C92)+(0/H83*C93)+(0/H83*C94)+(5/H83*C95))/100)</f>
        <v>0.93260869565217386</v>
      </c>
      <c r="H86" s="88"/>
      <c r="I86" s="14" t="s">
        <v>104</v>
      </c>
      <c r="J86" s="29">
        <f ca="1">H83*50%</f>
        <v>11.5</v>
      </c>
    </row>
    <row r="87" spans="1:10" x14ac:dyDescent="0.3">
      <c r="A87" s="79" t="s">
        <v>51</v>
      </c>
      <c r="B87" s="80"/>
      <c r="C87" s="44">
        <f ca="1">J95</f>
        <v>23</v>
      </c>
      <c r="D87" s="19">
        <f ca="1">((100/H83)*C87)/100</f>
        <v>1</v>
      </c>
      <c r="E87" s="84"/>
      <c r="F87" s="85"/>
      <c r="G87" s="84"/>
      <c r="H87" s="89"/>
      <c r="I87" s="14" t="s">
        <v>105</v>
      </c>
      <c r="J87" s="29">
        <f ca="1">H83</f>
        <v>23</v>
      </c>
    </row>
    <row r="88" spans="1:10" ht="15.75" customHeight="1" x14ac:dyDescent="0.3">
      <c r="A88" s="79" t="s">
        <v>135</v>
      </c>
      <c r="B88" s="80"/>
      <c r="C88" s="44">
        <v>24</v>
      </c>
      <c r="D88" s="19">
        <f ca="1">((100/(D83+F83+H83))*C88)/100</f>
        <v>1</v>
      </c>
      <c r="E88" s="84"/>
      <c r="F88" s="85"/>
      <c r="G88" s="84"/>
      <c r="H88" s="89"/>
      <c r="I88" s="14" t="s">
        <v>106</v>
      </c>
      <c r="J88" s="30">
        <f ca="1">(IF(B83&gt;1,(H83/(B83+2)),H83/4))</f>
        <v>5.75</v>
      </c>
    </row>
    <row r="89" spans="1:10" ht="15.75" customHeight="1" x14ac:dyDescent="0.3">
      <c r="A89" s="79" t="s">
        <v>142</v>
      </c>
      <c r="B89" s="80" t="s">
        <v>136</v>
      </c>
      <c r="C89" s="44">
        <f>C88-1</f>
        <v>23</v>
      </c>
      <c r="D89" s="19">
        <f ca="1">((100/H83)*C89)/100</f>
        <v>1</v>
      </c>
      <c r="E89" s="84"/>
      <c r="F89" s="85"/>
      <c r="G89" s="84"/>
      <c r="H89" s="89"/>
      <c r="I89" s="14" t="s">
        <v>107</v>
      </c>
      <c r="J89" s="30">
        <f ca="1">(IF(B83&gt;1,(H83/(B83+2)+J88),H83/4+J88))</f>
        <v>11.5</v>
      </c>
    </row>
    <row r="90" spans="1:10" ht="15.75" customHeight="1" x14ac:dyDescent="0.3">
      <c r="A90" s="79" t="s">
        <v>143</v>
      </c>
      <c r="B90" s="80" t="s">
        <v>136</v>
      </c>
      <c r="C90" s="56">
        <v>23</v>
      </c>
      <c r="D90" s="19">
        <f ca="1">((100/H83)*C90)/100</f>
        <v>1</v>
      </c>
      <c r="E90" s="84"/>
      <c r="F90" s="85"/>
      <c r="G90" s="84"/>
      <c r="H90" s="89"/>
      <c r="I90" s="14" t="s">
        <v>152</v>
      </c>
      <c r="J90" s="30">
        <f>(IF(B83&gt;1,(H83/(B83+2)+J89),0))</f>
        <v>0</v>
      </c>
    </row>
    <row r="91" spans="1:10" ht="15" customHeight="1" x14ac:dyDescent="0.3">
      <c r="A91" s="79" t="s">
        <v>141</v>
      </c>
      <c r="B91" s="80" t="s">
        <v>138</v>
      </c>
      <c r="C91" s="56">
        <v>23</v>
      </c>
      <c r="D91" s="19">
        <f ca="1">((100/(H83))*C91)/100</f>
        <v>1</v>
      </c>
      <c r="E91" s="84"/>
      <c r="F91" s="85"/>
      <c r="G91" s="84"/>
      <c r="H91" s="89"/>
      <c r="I91" s="14" t="s">
        <v>149</v>
      </c>
      <c r="J91" s="30">
        <f>(IF(B83&gt;2,(H83/(B83+2)+J90),0))</f>
        <v>0</v>
      </c>
    </row>
    <row r="92" spans="1:10" ht="15.75" customHeight="1" x14ac:dyDescent="0.3">
      <c r="A92" s="79" t="s">
        <v>137</v>
      </c>
      <c r="B92" s="80" t="s">
        <v>137</v>
      </c>
      <c r="C92" s="44">
        <v>15</v>
      </c>
      <c r="D92" s="19">
        <f ca="1">((100/H83)*C92)/100</f>
        <v>0.65217391304347827</v>
      </c>
      <c r="E92" s="84"/>
      <c r="F92" s="85"/>
      <c r="G92" s="84"/>
      <c r="H92" s="89"/>
      <c r="I92" s="14" t="s">
        <v>150</v>
      </c>
      <c r="J92" s="31">
        <f>(IF(B83&gt;3,(H83/(B83+2)+J91),0))</f>
        <v>0</v>
      </c>
    </row>
    <row r="93" spans="1:10" ht="15.75" customHeight="1" x14ac:dyDescent="0.3">
      <c r="A93" s="79" t="s">
        <v>144</v>
      </c>
      <c r="B93" s="80"/>
      <c r="C93" s="44">
        <v>9</v>
      </c>
      <c r="D93" s="19">
        <f ca="1">((100/H83)*C93)/100</f>
        <v>0.39130434782608697</v>
      </c>
      <c r="E93" s="84"/>
      <c r="F93" s="85"/>
      <c r="G93" s="84"/>
      <c r="H93" s="89"/>
      <c r="I93" s="14" t="s">
        <v>151</v>
      </c>
      <c r="J93" s="30">
        <f>(IF(B83&gt;4,(H83/(B83+2)+J92),0))</f>
        <v>0</v>
      </c>
    </row>
    <row r="94" spans="1:10" ht="15.75" customHeight="1" x14ac:dyDescent="0.3">
      <c r="A94" s="79" t="s">
        <v>139</v>
      </c>
      <c r="B94" s="80" t="s">
        <v>139</v>
      </c>
      <c r="C94" s="44">
        <v>0</v>
      </c>
      <c r="D94" s="19">
        <f ca="1">((100/(H83))*C94)/100</f>
        <v>0</v>
      </c>
      <c r="E94" s="84"/>
      <c r="F94" s="85"/>
      <c r="G94" s="84"/>
      <c r="H94" s="89"/>
      <c r="I94" s="14" t="s">
        <v>153</v>
      </c>
      <c r="J94" s="30">
        <f ca="1">(IF(B83=1,(H83/(B83+3)+J89),IF(B83=0,(H83/4+J89),IF(B83&gt;1,0))))</f>
        <v>17.25</v>
      </c>
    </row>
    <row r="95" spans="1:10" ht="16.2" thickBot="1" x14ac:dyDescent="0.35">
      <c r="A95" s="161" t="s">
        <v>140</v>
      </c>
      <c r="B95" s="162"/>
      <c r="C95" s="57">
        <v>0</v>
      </c>
      <c r="D95" s="58">
        <f ca="1">((100/(H83))*C95)/100</f>
        <v>0</v>
      </c>
      <c r="E95" s="84"/>
      <c r="F95" s="85"/>
      <c r="G95" s="84"/>
      <c r="H95" s="89"/>
      <c r="I95" s="15" t="s">
        <v>108</v>
      </c>
      <c r="J95" s="32">
        <f ca="1">(IF(B83&gt;1.5,(H83/(B83+2)+J89+MAX(0,J90-J89)+MAX(0,J91-J90)+MAX(0,J92-J91)+MAX(0,J93-J92)+MAX(0,J94-J93)),IF(B83=1,(H83/(B83+3)+J94),IF(B83=0,H83/4+J94))))</f>
        <v>23</v>
      </c>
    </row>
    <row r="96" spans="1:10" x14ac:dyDescent="0.3">
      <c r="A96" s="140" t="s">
        <v>163</v>
      </c>
      <c r="B96" s="140"/>
      <c r="C96" s="140"/>
      <c r="D96" s="140"/>
      <c r="E96" s="140"/>
      <c r="F96" s="135" t="s">
        <v>168</v>
      </c>
      <c r="G96" s="135"/>
      <c r="H96" s="135"/>
    </row>
    <row r="97" spans="1:9" x14ac:dyDescent="0.3">
      <c r="A97" s="98" t="s">
        <v>166</v>
      </c>
      <c r="B97" s="98"/>
      <c r="C97" s="98"/>
      <c r="D97" s="98"/>
      <c r="E97" s="98"/>
      <c r="F97" s="108">
        <v>8000</v>
      </c>
      <c r="G97" s="108"/>
      <c r="H97" s="108"/>
      <c r="I97" s="21" t="s">
        <v>229</v>
      </c>
    </row>
    <row r="98" spans="1:9" hidden="1" x14ac:dyDescent="0.3">
      <c r="A98" s="98" t="s">
        <v>165</v>
      </c>
      <c r="B98" s="98"/>
      <c r="C98" s="98"/>
      <c r="D98" s="98"/>
      <c r="E98" s="98"/>
      <c r="F98" s="108"/>
      <c r="G98" s="108"/>
      <c r="H98" s="108"/>
    </row>
    <row r="99" spans="1:9" hidden="1" x14ac:dyDescent="0.3">
      <c r="A99" s="98" t="s">
        <v>167</v>
      </c>
      <c r="B99" s="98"/>
      <c r="C99" s="98"/>
      <c r="D99" s="98"/>
      <c r="E99" s="98"/>
      <c r="F99" s="108"/>
      <c r="G99" s="108"/>
      <c r="H99" s="108"/>
    </row>
    <row r="100" spans="1:9" s="33" customFormat="1" hidden="1" x14ac:dyDescent="0.25">
      <c r="A100" s="98" t="s">
        <v>164</v>
      </c>
      <c r="B100" s="98"/>
      <c r="C100" s="98"/>
      <c r="D100" s="98"/>
      <c r="E100" s="98"/>
      <c r="F100" s="108"/>
      <c r="G100" s="108"/>
      <c r="H100" s="108"/>
    </row>
    <row r="101" spans="1:9" s="33" customFormat="1" hidden="1" x14ac:dyDescent="0.25">
      <c r="A101" s="98" t="s">
        <v>98</v>
      </c>
      <c r="B101" s="98"/>
      <c r="C101" s="98"/>
      <c r="D101" s="98"/>
      <c r="E101" s="98"/>
      <c r="F101" s="108"/>
      <c r="G101" s="108"/>
      <c r="H101" s="108"/>
    </row>
    <row r="102" spans="1:9" s="33" customFormat="1" hidden="1" x14ac:dyDescent="0.25">
      <c r="A102" s="98" t="s">
        <v>99</v>
      </c>
      <c r="B102" s="98"/>
      <c r="C102" s="98"/>
      <c r="D102" s="98"/>
      <c r="E102" s="98"/>
      <c r="F102" s="108"/>
      <c r="G102" s="108"/>
      <c r="H102" s="108"/>
    </row>
    <row r="103" spans="1:9" s="33" customFormat="1" hidden="1" x14ac:dyDescent="0.25">
      <c r="A103" s="98" t="s">
        <v>169</v>
      </c>
      <c r="B103" s="98"/>
      <c r="C103" s="98"/>
      <c r="D103" s="98"/>
      <c r="E103" s="98"/>
      <c r="F103" s="108"/>
      <c r="G103" s="108"/>
      <c r="H103" s="108"/>
    </row>
    <row r="104" spans="1:9" s="33" customFormat="1" hidden="1" x14ac:dyDescent="0.25">
      <c r="A104" s="98" t="s">
        <v>100</v>
      </c>
      <c r="B104" s="98"/>
      <c r="C104" s="98"/>
      <c r="D104" s="98"/>
      <c r="E104" s="98"/>
      <c r="F104" s="108"/>
      <c r="G104" s="108"/>
      <c r="H104" s="108"/>
    </row>
    <row r="105" spans="1:9" s="33" customFormat="1" hidden="1" x14ac:dyDescent="0.25">
      <c r="A105" s="98" t="s">
        <v>101</v>
      </c>
      <c r="B105" s="98"/>
      <c r="C105" s="98"/>
      <c r="D105" s="98"/>
      <c r="E105" s="98"/>
      <c r="F105" s="108"/>
      <c r="G105" s="108"/>
      <c r="H105" s="108"/>
    </row>
    <row r="106" spans="1:9" s="33" customFormat="1" hidden="1" x14ac:dyDescent="0.25">
      <c r="A106" s="98" t="s">
        <v>102</v>
      </c>
      <c r="B106" s="98"/>
      <c r="C106" s="98"/>
      <c r="D106" s="98"/>
      <c r="E106" s="98"/>
      <c r="F106" s="108"/>
      <c r="G106" s="108"/>
      <c r="H106" s="108"/>
    </row>
    <row r="107" spans="1:9" s="33" customFormat="1" hidden="1" x14ac:dyDescent="0.25">
      <c r="A107" s="98" t="s">
        <v>103</v>
      </c>
      <c r="B107" s="98"/>
      <c r="C107" s="98"/>
      <c r="D107" s="98"/>
      <c r="E107" s="98"/>
      <c r="F107" s="108"/>
      <c r="G107" s="108"/>
      <c r="H107" s="108"/>
    </row>
    <row r="108" spans="1:9" x14ac:dyDescent="0.3">
      <c r="A108" s="98" t="s">
        <v>52</v>
      </c>
      <c r="B108" s="98"/>
      <c r="C108" s="98"/>
      <c r="D108" s="98"/>
      <c r="E108" s="98"/>
      <c r="F108" s="108">
        <v>400000</v>
      </c>
      <c r="G108" s="108"/>
      <c r="H108" s="108"/>
    </row>
    <row r="109" spans="1:9" s="34" customFormat="1" x14ac:dyDescent="0.3">
      <c r="A109" s="140" t="s">
        <v>53</v>
      </c>
      <c r="B109" s="140"/>
      <c r="C109" s="140"/>
      <c r="D109" s="140"/>
      <c r="E109" s="140"/>
      <c r="F109" s="108">
        <f>F97*0.8</f>
        <v>6400</v>
      </c>
      <c r="G109" s="108"/>
      <c r="H109" s="108"/>
    </row>
    <row r="110" spans="1:9" s="35" customFormat="1" ht="15.75" hidden="1" customHeight="1" x14ac:dyDescent="0.3">
      <c r="A110" s="93" t="s">
        <v>78</v>
      </c>
      <c r="B110" s="93"/>
      <c r="C110" s="93"/>
      <c r="D110" s="93"/>
      <c r="E110" s="93"/>
      <c r="F110" s="93"/>
      <c r="G110" s="93"/>
      <c r="H110" s="93"/>
    </row>
    <row r="111" spans="1:9" s="35" customFormat="1" ht="15.75" hidden="1" customHeight="1" x14ac:dyDescent="0.3">
      <c r="A111" s="96" t="s">
        <v>54</v>
      </c>
      <c r="B111" s="96"/>
      <c r="C111" s="94" t="s">
        <v>81</v>
      </c>
      <c r="D111" s="94"/>
      <c r="E111" s="110" t="s">
        <v>55</v>
      </c>
      <c r="F111" s="110"/>
      <c r="G111" s="96" t="s">
        <v>56</v>
      </c>
      <c r="H111" s="96"/>
    </row>
    <row r="112" spans="1:9" s="35" customFormat="1" hidden="1" x14ac:dyDescent="0.3">
      <c r="A112" s="111"/>
      <c r="B112" s="111"/>
      <c r="C112" s="136"/>
      <c r="D112" s="136"/>
      <c r="E112" s="137"/>
      <c r="F112" s="137"/>
      <c r="G112" s="109"/>
      <c r="H112" s="109"/>
    </row>
    <row r="113" spans="1:14" s="35" customFormat="1" hidden="1" x14ac:dyDescent="0.3">
      <c r="A113" s="111"/>
      <c r="B113" s="111"/>
      <c r="C113" s="136"/>
      <c r="D113" s="136"/>
      <c r="E113" s="137"/>
      <c r="F113" s="137"/>
      <c r="G113" s="109"/>
      <c r="H113" s="109"/>
    </row>
    <row r="114" spans="1:14" s="35" customFormat="1" hidden="1" x14ac:dyDescent="0.3">
      <c r="A114" s="93" t="s">
        <v>156</v>
      </c>
      <c r="B114" s="93"/>
      <c r="C114" s="94"/>
      <c r="D114" s="94"/>
      <c r="E114" s="110"/>
      <c r="F114" s="110"/>
      <c r="G114" s="96"/>
      <c r="H114" s="96"/>
    </row>
    <row r="115" spans="1:14" s="35" customFormat="1" x14ac:dyDescent="0.3">
      <c r="A115" s="93" t="s">
        <v>72</v>
      </c>
      <c r="B115" s="93"/>
      <c r="C115" s="93"/>
      <c r="D115" s="93"/>
      <c r="E115" s="93"/>
      <c r="F115" s="93"/>
      <c r="G115" s="93"/>
      <c r="H115" s="93"/>
    </row>
    <row r="116" spans="1:14" s="35" customFormat="1" ht="15.75" customHeight="1" x14ac:dyDescent="0.3">
      <c r="A116" s="96" t="s">
        <v>54</v>
      </c>
      <c r="B116" s="96"/>
      <c r="C116" s="94" t="s">
        <v>81</v>
      </c>
      <c r="D116" s="94"/>
      <c r="E116" s="110" t="s">
        <v>55</v>
      </c>
      <c r="F116" s="110"/>
      <c r="G116" s="96" t="s">
        <v>56</v>
      </c>
      <c r="H116" s="96"/>
    </row>
    <row r="117" spans="1:14" s="35" customFormat="1" x14ac:dyDescent="0.3">
      <c r="A117" s="111" t="s">
        <v>182</v>
      </c>
      <c r="B117" s="111"/>
      <c r="C117" s="136">
        <f>COUNT(D157:D161)+COUNT(D163:D168)*2+COUNT(D170:D175)*18+COUNT(D177:D179,D181:D182)*3</f>
        <v>140</v>
      </c>
      <c r="D117" s="136"/>
      <c r="E117" s="160">
        <f>SUM(D157:D161)+SUM(D163:D168)*2+SUM(D170:D175)*18+SUM(D177:D179,D181:D182)*3</f>
        <v>80302.453919999985</v>
      </c>
      <c r="F117" s="160"/>
      <c r="G117" s="160">
        <f>SUM(F157:F161)+SUM(F163:F168)*2+SUM(F170:F175)*18+SUM(F177:F179,F181:F182)*3</f>
        <v>120453.68087999997</v>
      </c>
      <c r="H117" s="160"/>
    </row>
    <row r="118" spans="1:14" s="35" customFormat="1" x14ac:dyDescent="0.3">
      <c r="A118" s="111" t="s">
        <v>215</v>
      </c>
      <c r="B118" s="111"/>
      <c r="C118" s="136">
        <v>140</v>
      </c>
      <c r="D118" s="136"/>
      <c r="E118" s="160">
        <f>SUM(D135:D137,D139:D140)+SUM(D142:D147)*20+SUM(D149:D151,D153:D154)*3</f>
        <v>106723.66068</v>
      </c>
      <c r="F118" s="160"/>
      <c r="G118" s="160">
        <f>SUM(F135:F137,F139:F140)+SUM(F142:F147)*20+SUM(F149:F151,F153:F154)*3</f>
        <v>160085.49102000002</v>
      </c>
      <c r="H118" s="160"/>
    </row>
    <row r="119" spans="1:14" s="35" customFormat="1" hidden="1" x14ac:dyDescent="0.3">
      <c r="A119" s="93" t="s">
        <v>156</v>
      </c>
      <c r="B119" s="93"/>
      <c r="C119" s="94">
        <f>C117+C118</f>
        <v>280</v>
      </c>
      <c r="D119" s="94"/>
      <c r="E119" s="95">
        <f>E118+E117</f>
        <v>187026.11459999997</v>
      </c>
      <c r="F119" s="110"/>
      <c r="G119" s="95">
        <f>G118+G117</f>
        <v>280539.17189999996</v>
      </c>
      <c r="H119" s="110"/>
    </row>
    <row r="120" spans="1:14" s="35" customFormat="1" x14ac:dyDescent="0.3">
      <c r="A120" s="93" t="s">
        <v>175</v>
      </c>
      <c r="B120" s="93"/>
      <c r="C120" s="94">
        <f>C114+C119</f>
        <v>280</v>
      </c>
      <c r="D120" s="94"/>
      <c r="E120" s="95">
        <f>E114+E119</f>
        <v>187026.11459999997</v>
      </c>
      <c r="F120" s="95"/>
      <c r="G120" s="96">
        <f>G114+G119</f>
        <v>280539.17189999996</v>
      </c>
      <c r="H120" s="96"/>
    </row>
    <row r="121" spans="1:14" s="34" customFormat="1" x14ac:dyDescent="0.3">
      <c r="A121" s="134" t="s">
        <v>57</v>
      </c>
      <c r="B121" s="134"/>
      <c r="C121" s="134"/>
      <c r="D121" s="134"/>
      <c r="E121" s="134"/>
      <c r="F121" s="134"/>
      <c r="G121" s="134"/>
      <c r="H121" s="134"/>
    </row>
    <row r="122" spans="1:14" x14ac:dyDescent="0.3">
      <c r="A122" s="135" t="s">
        <v>58</v>
      </c>
      <c r="B122" s="135"/>
      <c r="C122" s="135"/>
      <c r="D122" s="135"/>
      <c r="E122" s="135"/>
      <c r="F122" s="135"/>
      <c r="G122" s="135"/>
      <c r="H122" s="135"/>
    </row>
    <row r="123" spans="1:14" ht="47.25" hidden="1" customHeight="1" x14ac:dyDescent="0.3">
      <c r="A123" s="100" t="s">
        <v>125</v>
      </c>
      <c r="B123" s="100" t="s">
        <v>124</v>
      </c>
      <c r="C123" s="100" t="s">
        <v>59</v>
      </c>
      <c r="D123" s="100" t="s">
        <v>60</v>
      </c>
      <c r="E123" s="102" t="s">
        <v>162</v>
      </c>
      <c r="F123" s="43" t="s">
        <v>155</v>
      </c>
      <c r="G123" s="104" t="s">
        <v>62</v>
      </c>
      <c r="H123" s="105"/>
    </row>
    <row r="124" spans="1:14" s="37" customFormat="1" hidden="1" x14ac:dyDescent="0.3">
      <c r="A124" s="101"/>
      <c r="B124" s="101"/>
      <c r="C124" s="101"/>
      <c r="D124" s="101"/>
      <c r="E124" s="103"/>
      <c r="F124" s="13">
        <v>0.6</v>
      </c>
      <c r="G124" s="106"/>
      <c r="H124" s="107"/>
    </row>
    <row r="125" spans="1:14" s="37" customFormat="1" hidden="1" x14ac:dyDescent="0.3">
      <c r="A125" s="74" t="s">
        <v>123</v>
      </c>
      <c r="B125" s="75"/>
      <c r="C125" s="75"/>
      <c r="D125" s="75"/>
      <c r="E125" s="75"/>
      <c r="F125" s="75"/>
      <c r="G125" s="75"/>
      <c r="H125" s="76"/>
      <c r="J125" s="36"/>
    </row>
    <row r="126" spans="1:14" s="37" customFormat="1" hidden="1" x14ac:dyDescent="0.3">
      <c r="A126" s="59">
        <v>1</v>
      </c>
      <c r="B126" s="61"/>
      <c r="C126" s="42"/>
      <c r="D126" s="42"/>
      <c r="E126" s="42">
        <v>0</v>
      </c>
      <c r="F126" s="42">
        <f>(D126+E126)*(($F$124)+1)</f>
        <v>0</v>
      </c>
      <c r="G126" s="59" t="str">
        <f>A125</f>
        <v>Ground Floor</v>
      </c>
      <c r="H126" s="61"/>
      <c r="I126" s="36"/>
      <c r="L126" s="62"/>
      <c r="M126" s="62"/>
      <c r="N126" s="36"/>
    </row>
    <row r="127" spans="1:14" s="37" customFormat="1" hidden="1" x14ac:dyDescent="0.3">
      <c r="A127" s="59">
        <f t="shared" ref="A127:A129" si="0">A126+1</f>
        <v>2</v>
      </c>
      <c r="B127" s="61"/>
      <c r="C127" s="42"/>
      <c r="D127" s="42"/>
      <c r="E127" s="42">
        <v>0</v>
      </c>
      <c r="F127" s="42">
        <f t="shared" ref="F127:F129" si="1">(D127+E127)*(($F$124)+1)</f>
        <v>0</v>
      </c>
      <c r="G127" s="59" t="str">
        <f t="shared" ref="G127:G129" si="2">G126</f>
        <v>Ground Floor</v>
      </c>
      <c r="H127" s="61"/>
      <c r="I127" s="36"/>
      <c r="L127" s="62"/>
      <c r="M127" s="62"/>
      <c r="N127" s="36"/>
    </row>
    <row r="128" spans="1:14" s="37" customFormat="1" hidden="1" x14ac:dyDescent="0.3">
      <c r="A128" s="59">
        <f t="shared" si="0"/>
        <v>3</v>
      </c>
      <c r="B128" s="61"/>
      <c r="C128" s="42"/>
      <c r="D128" s="42"/>
      <c r="E128" s="42">
        <v>0</v>
      </c>
      <c r="F128" s="42">
        <f t="shared" si="1"/>
        <v>0</v>
      </c>
      <c r="G128" s="59" t="str">
        <f t="shared" si="2"/>
        <v>Ground Floor</v>
      </c>
      <c r="H128" s="61"/>
      <c r="I128" s="36"/>
      <c r="L128" s="62"/>
      <c r="M128" s="62"/>
      <c r="N128" s="36"/>
    </row>
    <row r="129" spans="1:14" s="37" customFormat="1" hidden="1" x14ac:dyDescent="0.3">
      <c r="A129" s="59">
        <f t="shared" si="0"/>
        <v>4</v>
      </c>
      <c r="B129" s="61"/>
      <c r="C129" s="42"/>
      <c r="D129" s="42"/>
      <c r="E129" s="42">
        <v>0</v>
      </c>
      <c r="F129" s="42">
        <f t="shared" si="1"/>
        <v>0</v>
      </c>
      <c r="G129" s="59" t="str">
        <f t="shared" si="2"/>
        <v>Ground Floor</v>
      </c>
      <c r="H129" s="61"/>
      <c r="I129" s="36"/>
      <c r="L129" s="62"/>
      <c r="M129" s="62"/>
      <c r="N129" s="36"/>
    </row>
    <row r="130" spans="1:14" s="37" customFormat="1" hidden="1" x14ac:dyDescent="0.3">
      <c r="A130" s="59"/>
      <c r="B130" s="60"/>
      <c r="C130" s="60"/>
      <c r="D130" s="60"/>
      <c r="E130" s="60"/>
      <c r="F130" s="60"/>
      <c r="G130" s="60"/>
      <c r="H130" s="61"/>
      <c r="I130" s="36"/>
      <c r="N130" s="36"/>
    </row>
    <row r="131" spans="1:14" ht="47.25" customHeight="1" x14ac:dyDescent="0.3">
      <c r="A131" s="104" t="s">
        <v>126</v>
      </c>
      <c r="B131" s="104" t="s">
        <v>127</v>
      </c>
      <c r="C131" s="100" t="s">
        <v>59</v>
      </c>
      <c r="D131" s="100" t="s">
        <v>60</v>
      </c>
      <c r="E131" s="102" t="s">
        <v>61</v>
      </c>
      <c r="F131" s="43" t="s">
        <v>155</v>
      </c>
      <c r="G131" s="104" t="s">
        <v>62</v>
      </c>
      <c r="H131" s="105"/>
      <c r="I131" s="36"/>
    </row>
    <row r="132" spans="1:14" s="37" customFormat="1" x14ac:dyDescent="0.3">
      <c r="A132" s="106"/>
      <c r="B132" s="106"/>
      <c r="C132" s="101"/>
      <c r="D132" s="101"/>
      <c r="E132" s="103"/>
      <c r="F132" s="13">
        <v>0.5</v>
      </c>
      <c r="G132" s="106"/>
      <c r="H132" s="107"/>
      <c r="I132" s="36"/>
    </row>
    <row r="133" spans="1:14" s="37" customFormat="1" x14ac:dyDescent="0.3">
      <c r="A133" s="74" t="s">
        <v>217</v>
      </c>
      <c r="B133" s="75"/>
      <c r="C133" s="75"/>
      <c r="D133" s="75"/>
      <c r="E133" s="75"/>
      <c r="F133" s="75"/>
      <c r="G133" s="75"/>
      <c r="H133" s="76"/>
      <c r="J133" s="36"/>
    </row>
    <row r="134" spans="1:14" s="37" customFormat="1" x14ac:dyDescent="0.3">
      <c r="A134" s="74" t="s">
        <v>218</v>
      </c>
      <c r="B134" s="75"/>
      <c r="C134" s="75"/>
      <c r="D134" s="75"/>
      <c r="E134" s="75"/>
      <c r="F134" s="75"/>
      <c r="G134" s="75"/>
      <c r="H134" s="76"/>
      <c r="J134" s="36"/>
    </row>
    <row r="135" spans="1:14" s="37" customFormat="1" x14ac:dyDescent="0.3">
      <c r="A135" s="59">
        <v>1</v>
      </c>
      <c r="B135" s="61"/>
      <c r="C135" s="42" t="s">
        <v>219</v>
      </c>
      <c r="D135" s="55">
        <f>(67.65)*10.764</f>
        <v>728.18460000000005</v>
      </c>
      <c r="E135" s="42">
        <v>0</v>
      </c>
      <c r="F135" s="42">
        <f>D135*(($F$132)+1)+(IF(E135&lt;101,E135,IF(E135&lt;201,E135/2,IF(E135&lt;=301,E135/3,E135/4))))</f>
        <v>1092.2769000000001</v>
      </c>
      <c r="G135" s="59" t="str">
        <f>A134</f>
        <v>Ground Floor For Residential, Entrance Lobby &amp; Part (Society Office, Meter Room, Store Room)</v>
      </c>
      <c r="H135" s="61"/>
      <c r="I135" s="36"/>
      <c r="L135" s="62"/>
      <c r="M135" s="62"/>
      <c r="N135" s="36"/>
    </row>
    <row r="136" spans="1:14" s="37" customFormat="1" x14ac:dyDescent="0.3">
      <c r="A136" s="59">
        <f t="shared" ref="A136:A140" si="3">A135+1</f>
        <v>2</v>
      </c>
      <c r="B136" s="61"/>
      <c r="C136" s="42" t="s">
        <v>219</v>
      </c>
      <c r="D136" s="55">
        <f>(67.65)*10.764</f>
        <v>728.18460000000005</v>
      </c>
      <c r="E136" s="42">
        <v>0</v>
      </c>
      <c r="F136" s="42">
        <f>D136*(($F$132)+1)+(IF(E136&lt;101,E136,IF(E136&lt;201,E136/2,IF(E136&lt;=301,E136/3,E136/4))))</f>
        <v>1092.2769000000001</v>
      </c>
      <c r="G136" s="59" t="str">
        <f t="shared" ref="G136:G140" si="4">G135</f>
        <v>Ground Floor For Residential, Entrance Lobby &amp; Part (Society Office, Meter Room, Store Room)</v>
      </c>
      <c r="H136" s="61"/>
      <c r="I136" s="36"/>
      <c r="L136" s="62"/>
      <c r="M136" s="62"/>
      <c r="N136" s="36"/>
    </row>
    <row r="137" spans="1:14" s="37" customFormat="1" x14ac:dyDescent="0.3">
      <c r="A137" s="59">
        <f t="shared" si="3"/>
        <v>3</v>
      </c>
      <c r="B137" s="61"/>
      <c r="C137" s="42" t="s">
        <v>201</v>
      </c>
      <c r="D137" s="55">
        <f>(61.23)*10.764</f>
        <v>659.07971999999995</v>
      </c>
      <c r="E137" s="42">
        <v>0</v>
      </c>
      <c r="F137" s="42">
        <f>D137*(($F$132)+1)+(IF(E137&lt;101,E137,IF(E137&lt;201,E137/2,IF(E137&lt;=301,E137/3,E137/4))))</f>
        <v>988.61957999999993</v>
      </c>
      <c r="G137" s="59" t="str">
        <f t="shared" si="4"/>
        <v>Ground Floor For Residential, Entrance Lobby &amp; Part (Society Office, Meter Room, Store Room)</v>
      </c>
      <c r="H137" s="61"/>
      <c r="I137" s="36"/>
      <c r="L137" s="62"/>
      <c r="M137" s="62"/>
      <c r="N137" s="36"/>
    </row>
    <row r="138" spans="1:14" s="37" customFormat="1" x14ac:dyDescent="0.3">
      <c r="A138" s="59">
        <f t="shared" si="3"/>
        <v>4</v>
      </c>
      <c r="B138" s="61"/>
      <c r="C138" s="59" t="s">
        <v>220</v>
      </c>
      <c r="D138" s="60"/>
      <c r="E138" s="60"/>
      <c r="F138" s="61"/>
      <c r="G138" s="59" t="str">
        <f t="shared" si="4"/>
        <v>Ground Floor For Residential, Entrance Lobby &amp; Part (Society Office, Meter Room, Store Room)</v>
      </c>
      <c r="H138" s="61"/>
      <c r="I138" s="36"/>
      <c r="L138" s="62"/>
      <c r="M138" s="62"/>
      <c r="N138" s="36"/>
    </row>
    <row r="139" spans="1:14" s="37" customFormat="1" x14ac:dyDescent="0.3">
      <c r="A139" s="59">
        <f t="shared" si="3"/>
        <v>5</v>
      </c>
      <c r="B139" s="61"/>
      <c r="C139" s="42" t="s">
        <v>202</v>
      </c>
      <c r="D139" s="55">
        <f>(52.35)*10.764</f>
        <v>563.49540000000002</v>
      </c>
      <c r="E139" s="42">
        <v>0</v>
      </c>
      <c r="F139" s="42">
        <f>D139*(($F$132)+1)+(IF(E139&lt;101,E139,IF(E139&lt;201,E139/2,IF(E139&lt;=301,E139/3,E139/4))))</f>
        <v>845.24310000000003</v>
      </c>
      <c r="G139" s="59" t="str">
        <f t="shared" si="4"/>
        <v>Ground Floor For Residential, Entrance Lobby &amp; Part (Society Office, Meter Room, Store Room)</v>
      </c>
      <c r="H139" s="61"/>
      <c r="I139" s="36"/>
      <c r="L139" s="62"/>
      <c r="M139" s="62"/>
      <c r="N139" s="36"/>
    </row>
    <row r="140" spans="1:14" s="37" customFormat="1" x14ac:dyDescent="0.3">
      <c r="A140" s="59">
        <f t="shared" si="3"/>
        <v>6</v>
      </c>
      <c r="B140" s="61"/>
      <c r="C140" s="42" t="s">
        <v>219</v>
      </c>
      <c r="D140" s="55">
        <f>(67.37)*10.764</f>
        <v>725.17068000000006</v>
      </c>
      <c r="E140" s="42">
        <v>0</v>
      </c>
      <c r="F140" s="42">
        <f>D140*(($F$132)+1)+(IF(E140&lt;101,E140,IF(E140&lt;201,E140/2,IF(E140&lt;=301,E140/3,E140/4))))</f>
        <v>1087.75602</v>
      </c>
      <c r="G140" s="59" t="str">
        <f t="shared" si="4"/>
        <v>Ground Floor For Residential, Entrance Lobby &amp; Part (Society Office, Meter Room, Store Room)</v>
      </c>
      <c r="H140" s="61"/>
      <c r="I140" s="36"/>
      <c r="L140" s="62"/>
      <c r="M140" s="62"/>
      <c r="N140" s="36"/>
    </row>
    <row r="141" spans="1:14" s="37" customFormat="1" ht="52.5" customHeight="1" x14ac:dyDescent="0.3">
      <c r="A141" s="64" t="s">
        <v>221</v>
      </c>
      <c r="B141" s="64"/>
      <c r="C141" s="64"/>
      <c r="D141" s="64"/>
      <c r="E141" s="64"/>
      <c r="F141" s="64"/>
      <c r="G141" s="64"/>
      <c r="H141" s="64"/>
      <c r="I141" s="36"/>
      <c r="L141" s="62"/>
      <c r="M141" s="62"/>
    </row>
    <row r="142" spans="1:14" s="37" customFormat="1" ht="15.75" customHeight="1" x14ac:dyDescent="0.3">
      <c r="A142" s="65">
        <v>1</v>
      </c>
      <c r="B142" s="65"/>
      <c r="C142" s="42" t="s">
        <v>219</v>
      </c>
      <c r="D142" s="55">
        <f>(71.12)*10.764</f>
        <v>765.53567999999996</v>
      </c>
      <c r="E142" s="42">
        <v>0</v>
      </c>
      <c r="F142" s="42">
        <f t="shared" ref="F142:F143" si="5">D142*(($F$132)+1)+(IF(E142&lt;101,E142,IF(E142&lt;201,E142/2,IF(E142&lt;=301,E142/3,E142/4))))</f>
        <v>1148.3035199999999</v>
      </c>
      <c r="G142" s="66" t="str">
        <f>A141</f>
        <v>1st to 7th, 9th to 12th,
 14th to 17th Floor (15th to 18th Floor as per Builder)
19th to 23rd Floor (20th to 24th Floor as per Builder)</v>
      </c>
      <c r="H142" s="67"/>
      <c r="I142" s="36"/>
      <c r="N142" s="36"/>
    </row>
    <row r="143" spans="1:14" s="37" customFormat="1" ht="15.75" customHeight="1" x14ac:dyDescent="0.3">
      <c r="A143" s="65">
        <v>2</v>
      </c>
      <c r="B143" s="65"/>
      <c r="C143" s="42" t="s">
        <v>219</v>
      </c>
      <c r="D143" s="55">
        <f>(71.12)*10.764</f>
        <v>765.53567999999996</v>
      </c>
      <c r="E143" s="42">
        <v>0</v>
      </c>
      <c r="F143" s="42">
        <f t="shared" si="5"/>
        <v>1148.3035199999999</v>
      </c>
      <c r="G143" s="68"/>
      <c r="H143" s="69"/>
      <c r="I143" s="36"/>
      <c r="N143" s="36"/>
    </row>
    <row r="144" spans="1:14" s="37" customFormat="1" ht="15.75" customHeight="1" x14ac:dyDescent="0.3">
      <c r="A144" s="65">
        <f>A143+1</f>
        <v>3</v>
      </c>
      <c r="B144" s="65"/>
      <c r="C144" s="42" t="s">
        <v>219</v>
      </c>
      <c r="D144" s="55">
        <f>(71.12)*10.764</f>
        <v>765.53567999999996</v>
      </c>
      <c r="E144" s="42">
        <v>0</v>
      </c>
      <c r="F144" s="42">
        <f>D144*(($F$132)+1)+(IF(E144&lt;101,E144,IF(E144&lt;201,E144/2,IF(E144&lt;=301,E144/3,E144/4))))</f>
        <v>1148.3035199999999</v>
      </c>
      <c r="G144" s="68"/>
      <c r="H144" s="69"/>
      <c r="I144" s="36"/>
      <c r="N144" s="36"/>
    </row>
    <row r="145" spans="1:14" s="37" customFormat="1" ht="15.75" customHeight="1" x14ac:dyDescent="0.3">
      <c r="A145" s="65">
        <f>A144+1</f>
        <v>4</v>
      </c>
      <c r="B145" s="65"/>
      <c r="C145" s="42" t="s">
        <v>219</v>
      </c>
      <c r="D145" s="55">
        <f>(71.06)*10.764</f>
        <v>764.88983999999994</v>
      </c>
      <c r="E145" s="42">
        <v>0</v>
      </c>
      <c r="F145" s="42">
        <f>D145*(($F$132)+1)+(IF(E145&lt;101,E145,IF(E145&lt;201,E145/2,IF(E145&lt;=301,E145/3,E145/4))))</f>
        <v>1147.33476</v>
      </c>
      <c r="G145" s="68"/>
      <c r="H145" s="69"/>
      <c r="I145" s="36"/>
      <c r="N145" s="36"/>
    </row>
    <row r="146" spans="1:14" s="37" customFormat="1" ht="15.75" customHeight="1" x14ac:dyDescent="0.3">
      <c r="A146" s="65">
        <v>5</v>
      </c>
      <c r="B146" s="65"/>
      <c r="C146" s="42" t="s">
        <v>219</v>
      </c>
      <c r="D146" s="55">
        <f>(71.06)*10.764</f>
        <v>764.88983999999994</v>
      </c>
      <c r="E146" s="42">
        <v>0</v>
      </c>
      <c r="F146" s="42">
        <f>D146*(($F$132)+1)+(IF(E146&lt;101,E146,IF(E146&lt;201,E146/2,IF(E146&lt;=301,E146/3,E146/4))))</f>
        <v>1147.33476</v>
      </c>
      <c r="G146" s="68"/>
      <c r="H146" s="69"/>
      <c r="I146" s="36"/>
      <c r="N146" s="36"/>
    </row>
    <row r="147" spans="1:14" s="37" customFormat="1" ht="15.75" customHeight="1" x14ac:dyDescent="0.3">
      <c r="A147" s="65">
        <v>6</v>
      </c>
      <c r="B147" s="65"/>
      <c r="C147" s="42" t="s">
        <v>219</v>
      </c>
      <c r="D147" s="55">
        <f>(71.12)*10.764</f>
        <v>765.53567999999996</v>
      </c>
      <c r="E147" s="42">
        <v>0</v>
      </c>
      <c r="F147" s="42">
        <f>D147*(($F$132)+1)+(IF(E147&lt;101,E147,IF(E147&lt;201,E147/2,IF(E147&lt;=301,E147/3,E147/4))))</f>
        <v>1148.3035199999999</v>
      </c>
      <c r="G147" s="70"/>
      <c r="H147" s="71"/>
      <c r="I147" s="36"/>
      <c r="N147" s="36"/>
    </row>
    <row r="148" spans="1:14" s="37" customFormat="1" ht="52.5" customHeight="1" x14ac:dyDescent="0.3">
      <c r="A148" s="64" t="s">
        <v>205</v>
      </c>
      <c r="B148" s="64"/>
      <c r="C148" s="64"/>
      <c r="D148" s="64"/>
      <c r="E148" s="64"/>
      <c r="F148" s="64"/>
      <c r="G148" s="64"/>
      <c r="H148" s="64"/>
      <c r="I148" s="36"/>
      <c r="L148" s="62"/>
      <c r="M148" s="62"/>
    </row>
    <row r="149" spans="1:14" s="37" customFormat="1" ht="15.75" customHeight="1" x14ac:dyDescent="0.3">
      <c r="A149" s="65">
        <v>1</v>
      </c>
      <c r="B149" s="65"/>
      <c r="C149" s="42" t="s">
        <v>219</v>
      </c>
      <c r="D149" s="55">
        <f>(71.12)*10.764</f>
        <v>765.53567999999996</v>
      </c>
      <c r="E149" s="42">
        <v>0</v>
      </c>
      <c r="F149" s="42">
        <f t="shared" ref="F149:F150" si="6">D149*(($F$132)+1)+(IF(E149&lt;101,E149,IF(E149&lt;201,E149/2,IF(E149&lt;=301,E149/3,E149/4))))</f>
        <v>1148.3035199999999</v>
      </c>
      <c r="G149" s="66" t="str">
        <f>A148</f>
        <v>8th,
13th Floor (14th Floor as per Builder)
18th Floor (19th Floor as per Builder)</v>
      </c>
      <c r="H149" s="67"/>
      <c r="I149" s="36"/>
      <c r="N149" s="36"/>
    </row>
    <row r="150" spans="1:14" s="37" customFormat="1" ht="15.75" customHeight="1" x14ac:dyDescent="0.3">
      <c r="A150" s="65">
        <v>2</v>
      </c>
      <c r="B150" s="65"/>
      <c r="C150" s="42" t="s">
        <v>219</v>
      </c>
      <c r="D150" s="55">
        <f>(71.12)*10.764</f>
        <v>765.53567999999996</v>
      </c>
      <c r="E150" s="42">
        <v>0</v>
      </c>
      <c r="F150" s="42">
        <f t="shared" si="6"/>
        <v>1148.3035199999999</v>
      </c>
      <c r="G150" s="68"/>
      <c r="H150" s="69"/>
      <c r="I150" s="36">
        <f>6500000/F149</f>
        <v>5660.5243185181562</v>
      </c>
      <c r="N150" s="36"/>
    </row>
    <row r="151" spans="1:14" s="37" customFormat="1" ht="15.75" customHeight="1" x14ac:dyDescent="0.3">
      <c r="A151" s="65">
        <f>A150+1</f>
        <v>3</v>
      </c>
      <c r="B151" s="65"/>
      <c r="C151" s="42" t="s">
        <v>219</v>
      </c>
      <c r="D151" s="55">
        <f>(71.12)*10.764</f>
        <v>765.53567999999996</v>
      </c>
      <c r="E151" s="42">
        <v>0</v>
      </c>
      <c r="F151" s="42">
        <f>D151*(($F$132)+1)+(IF(E151&lt;101,E151,IF(E151&lt;201,E151/2,IF(E151&lt;=301,E151/3,E151/4))))</f>
        <v>1148.3035199999999</v>
      </c>
      <c r="G151" s="68"/>
      <c r="H151" s="69"/>
      <c r="I151" s="36"/>
      <c r="N151" s="36"/>
    </row>
    <row r="152" spans="1:14" s="37" customFormat="1" ht="15.75" customHeight="1" x14ac:dyDescent="0.3">
      <c r="A152" s="65">
        <f>A151+1</f>
        <v>4</v>
      </c>
      <c r="B152" s="65"/>
      <c r="C152" s="59" t="s">
        <v>206</v>
      </c>
      <c r="D152" s="60"/>
      <c r="E152" s="60"/>
      <c r="F152" s="61"/>
      <c r="G152" s="68"/>
      <c r="H152" s="69"/>
      <c r="I152" s="36"/>
      <c r="N152" s="36"/>
    </row>
    <row r="153" spans="1:14" s="37" customFormat="1" ht="15.75" customHeight="1" x14ac:dyDescent="0.3">
      <c r="A153" s="65">
        <v>5</v>
      </c>
      <c r="B153" s="65"/>
      <c r="C153" s="42" t="s">
        <v>219</v>
      </c>
      <c r="D153" s="55">
        <f>(71.06)*10.764</f>
        <v>764.88983999999994</v>
      </c>
      <c r="E153" s="42">
        <v>0</v>
      </c>
      <c r="F153" s="42">
        <f>D153*(($F$132)+1)+(IF(E153&lt;101,E153,IF(E153&lt;201,E153/2,IF(E153&lt;=301,E153/3,E153/4))))</f>
        <v>1147.33476</v>
      </c>
      <c r="G153" s="68"/>
      <c r="H153" s="69"/>
      <c r="I153" s="36"/>
      <c r="N153" s="36"/>
    </row>
    <row r="154" spans="1:14" s="37" customFormat="1" ht="15.75" customHeight="1" x14ac:dyDescent="0.3">
      <c r="A154" s="65">
        <v>6</v>
      </c>
      <c r="B154" s="65"/>
      <c r="C154" s="42" t="s">
        <v>219</v>
      </c>
      <c r="D154" s="55">
        <f>(71.12)*10.764</f>
        <v>765.53567999999996</v>
      </c>
      <c r="E154" s="42">
        <v>0</v>
      </c>
      <c r="F154" s="42">
        <f>D154*(($F$132)+1)+(IF(E154&lt;101,E154,IF(E154&lt;201,E154/2,IF(E154&lt;=301,E154/3,E154/4))))</f>
        <v>1148.3035199999999</v>
      </c>
      <c r="G154" s="70"/>
      <c r="H154" s="71"/>
      <c r="I154" s="36"/>
      <c r="N154" s="36"/>
    </row>
    <row r="155" spans="1:14" s="37" customFormat="1" x14ac:dyDescent="0.3">
      <c r="A155" s="74" t="s">
        <v>216</v>
      </c>
      <c r="B155" s="75"/>
      <c r="C155" s="75"/>
      <c r="D155" s="75"/>
      <c r="E155" s="75"/>
      <c r="F155" s="75"/>
      <c r="G155" s="75"/>
      <c r="H155" s="76"/>
      <c r="J155" s="36"/>
    </row>
    <row r="156" spans="1:14" s="37" customFormat="1" x14ac:dyDescent="0.3">
      <c r="A156" s="64" t="s">
        <v>123</v>
      </c>
      <c r="B156" s="64"/>
      <c r="C156" s="64"/>
      <c r="D156" s="64"/>
      <c r="E156" s="64"/>
      <c r="F156" s="64"/>
      <c r="G156" s="64"/>
      <c r="H156" s="64"/>
      <c r="J156" s="36"/>
    </row>
    <row r="157" spans="1:14" s="37" customFormat="1" x14ac:dyDescent="0.3">
      <c r="A157" s="65">
        <v>1</v>
      </c>
      <c r="B157" s="65"/>
      <c r="C157" s="42" t="s">
        <v>201</v>
      </c>
      <c r="D157" s="42">
        <f>50.37*10.764</f>
        <v>542.18267999999989</v>
      </c>
      <c r="E157" s="42">
        <v>0</v>
      </c>
      <c r="F157" s="42">
        <f>D157*(($F$132)+1)+(IF(E157&lt;101,E157,IF(E157&lt;201,E157/2,IF(E157&lt;=301,E157/3,E157/4))))</f>
        <v>813.27401999999984</v>
      </c>
      <c r="G157" s="65" t="str">
        <f>A156</f>
        <v>Ground Floor</v>
      </c>
      <c r="H157" s="65"/>
      <c r="I157" s="36"/>
      <c r="L157" s="62"/>
      <c r="M157" s="62"/>
      <c r="N157" s="36"/>
    </row>
    <row r="158" spans="1:14" s="37" customFormat="1" x14ac:dyDescent="0.3">
      <c r="A158" s="65">
        <f t="shared" ref="A158:A161" si="7">A157+1</f>
        <v>2</v>
      </c>
      <c r="B158" s="65"/>
      <c r="C158" s="42" t="s">
        <v>201</v>
      </c>
      <c r="D158" s="42">
        <f>50.37*10.764</f>
        <v>542.18267999999989</v>
      </c>
      <c r="E158" s="42">
        <v>0</v>
      </c>
      <c r="F158" s="42">
        <f>D158*(($F$132)+1)+(IF(E158&lt;101,E158,IF(E158&lt;201,E158/2,IF(E158&lt;=301,E158/3,E158/4))))</f>
        <v>813.27401999999984</v>
      </c>
      <c r="G158" s="65" t="str">
        <f t="shared" ref="G158:G161" si="8">G157</f>
        <v>Ground Floor</v>
      </c>
      <c r="H158" s="65"/>
      <c r="I158" s="36"/>
      <c r="L158" s="62"/>
      <c r="M158" s="62"/>
      <c r="N158" s="36"/>
    </row>
    <row r="159" spans="1:14" s="37" customFormat="1" x14ac:dyDescent="0.3">
      <c r="A159" s="65">
        <f t="shared" si="7"/>
        <v>3</v>
      </c>
      <c r="B159" s="65"/>
      <c r="C159" s="42" t="s">
        <v>201</v>
      </c>
      <c r="D159" s="42">
        <f>50.47*10.764</f>
        <v>543.25907999999993</v>
      </c>
      <c r="E159" s="42">
        <v>0</v>
      </c>
      <c r="F159" s="42">
        <f>D159*(($F$132)+1)+(IF(E159&lt;101,E159,IF(E159&lt;201,E159/2,IF(E159&lt;=301,E159/3,E159/4))))</f>
        <v>814.88861999999995</v>
      </c>
      <c r="G159" s="65" t="str">
        <f t="shared" si="8"/>
        <v>Ground Floor</v>
      </c>
      <c r="H159" s="65"/>
      <c r="I159" s="36"/>
      <c r="L159" s="62"/>
      <c r="M159" s="62"/>
      <c r="N159" s="36"/>
    </row>
    <row r="160" spans="1:14" s="37" customFormat="1" x14ac:dyDescent="0.3">
      <c r="A160" s="65">
        <f t="shared" si="7"/>
        <v>4</v>
      </c>
      <c r="B160" s="65"/>
      <c r="C160" s="42" t="s">
        <v>201</v>
      </c>
      <c r="D160" s="42">
        <f>50.47*10.764</f>
        <v>543.25907999999993</v>
      </c>
      <c r="E160" s="42">
        <v>0</v>
      </c>
      <c r="F160" s="42">
        <f>D160*(($F$132)+1)+(IF(E160&lt;101,E160,IF(E160&lt;201,E160/2,IF(E160&lt;=301,E160/3,E160/4))))</f>
        <v>814.88861999999995</v>
      </c>
      <c r="G160" s="65" t="str">
        <f t="shared" si="8"/>
        <v>Ground Floor</v>
      </c>
      <c r="H160" s="65"/>
      <c r="I160" s="36"/>
      <c r="L160" s="62"/>
      <c r="M160" s="62"/>
      <c r="N160" s="36"/>
    </row>
    <row r="161" spans="1:14" s="37" customFormat="1" x14ac:dyDescent="0.3">
      <c r="A161" s="65">
        <f t="shared" si="7"/>
        <v>5</v>
      </c>
      <c r="B161" s="65"/>
      <c r="C161" s="42" t="s">
        <v>202</v>
      </c>
      <c r="D161" s="42">
        <f>44.38*10.764</f>
        <v>477.70632000000001</v>
      </c>
      <c r="E161" s="42">
        <v>0</v>
      </c>
      <c r="F161" s="42">
        <f>D161*(($F$132)+1)+(IF(E161&lt;101,E161,IF(E161&lt;201,E161/2,IF(E161&lt;=301,E161/3,E161/4))))</f>
        <v>716.55948000000001</v>
      </c>
      <c r="G161" s="65" t="str">
        <f t="shared" si="8"/>
        <v>Ground Floor</v>
      </c>
      <c r="H161" s="65"/>
      <c r="I161" s="36"/>
      <c r="L161" s="62"/>
      <c r="M161" s="62"/>
      <c r="N161" s="36"/>
    </row>
    <row r="162" spans="1:14" s="37" customFormat="1" x14ac:dyDescent="0.3">
      <c r="A162" s="64" t="s">
        <v>203</v>
      </c>
      <c r="B162" s="64"/>
      <c r="C162" s="64"/>
      <c r="D162" s="64"/>
      <c r="E162" s="64"/>
      <c r="F162" s="64"/>
      <c r="G162" s="64"/>
      <c r="H162" s="64"/>
      <c r="I162" s="36"/>
      <c r="L162" s="62"/>
      <c r="M162" s="62"/>
    </row>
    <row r="163" spans="1:14" s="37" customFormat="1" x14ac:dyDescent="0.3">
      <c r="A163" s="65">
        <v>1</v>
      </c>
      <c r="B163" s="65"/>
      <c r="C163" s="42" t="s">
        <v>201</v>
      </c>
      <c r="D163" s="42">
        <f>53.32*10.764</f>
        <v>573.93647999999996</v>
      </c>
      <c r="E163" s="42">
        <v>0</v>
      </c>
      <c r="F163" s="42">
        <f t="shared" ref="F163:F164" si="9">D163*(($F$132)+1)+(IF(E163&lt;101,E163,IF(E163&lt;201,E163/2,IF(E163&lt;=301,E163/3,E163/4))))</f>
        <v>860.90472</v>
      </c>
      <c r="G163" s="65" t="str">
        <f>A162</f>
        <v>1st &amp; 2nd Floor</v>
      </c>
      <c r="H163" s="65"/>
      <c r="I163" s="36"/>
      <c r="N163" s="36"/>
    </row>
    <row r="164" spans="1:14" s="37" customFormat="1" x14ac:dyDescent="0.3">
      <c r="A164" s="65">
        <v>2</v>
      </c>
      <c r="B164" s="65"/>
      <c r="C164" s="42" t="s">
        <v>201</v>
      </c>
      <c r="D164" s="42">
        <f>53.32*10.764</f>
        <v>573.93647999999996</v>
      </c>
      <c r="E164" s="42">
        <v>0</v>
      </c>
      <c r="F164" s="42">
        <f t="shared" si="9"/>
        <v>860.90472</v>
      </c>
      <c r="G164" s="65" t="str">
        <f>G163</f>
        <v>1st &amp; 2nd Floor</v>
      </c>
      <c r="H164" s="65"/>
      <c r="I164" s="36"/>
      <c r="N164" s="36"/>
    </row>
    <row r="165" spans="1:14" s="37" customFormat="1" x14ac:dyDescent="0.3">
      <c r="A165" s="65">
        <f>A164+1</f>
        <v>3</v>
      </c>
      <c r="B165" s="65"/>
      <c r="C165" s="42" t="s">
        <v>201</v>
      </c>
      <c r="D165" s="42">
        <f>53.5*10.764</f>
        <v>575.87399999999991</v>
      </c>
      <c r="E165" s="42">
        <v>0</v>
      </c>
      <c r="F165" s="42">
        <f>D165*(($F$132)+1)+(IF(E165&lt;101,E165,IF(E165&lt;201,E165/2,IF(E165&lt;=301,E165/3,E165/4))))</f>
        <v>863.81099999999992</v>
      </c>
      <c r="G165" s="65" t="str">
        <f>G164</f>
        <v>1st &amp; 2nd Floor</v>
      </c>
      <c r="H165" s="65"/>
      <c r="I165" s="36"/>
      <c r="N165" s="36"/>
    </row>
    <row r="166" spans="1:14" s="37" customFormat="1" x14ac:dyDescent="0.3">
      <c r="A166" s="65">
        <f>A165+1</f>
        <v>4</v>
      </c>
      <c r="B166" s="65"/>
      <c r="C166" s="42" t="s">
        <v>201</v>
      </c>
      <c r="D166" s="42">
        <f t="shared" ref="D166:D168" si="10">53.5*10.764</f>
        <v>575.87399999999991</v>
      </c>
      <c r="E166" s="42">
        <v>0</v>
      </c>
      <c r="F166" s="42">
        <f>D166*(($F$132)+1)+(IF(E166&lt;101,E166,IF(E166&lt;201,E166/2,IF(E166&lt;=301,E166/3,E166/4))))</f>
        <v>863.81099999999992</v>
      </c>
      <c r="G166" s="65" t="str">
        <f>G165</f>
        <v>1st &amp; 2nd Floor</v>
      </c>
      <c r="H166" s="65"/>
      <c r="I166" s="36"/>
      <c r="N166" s="36"/>
    </row>
    <row r="167" spans="1:14" s="37" customFormat="1" x14ac:dyDescent="0.3">
      <c r="A167" s="65">
        <v>5</v>
      </c>
      <c r="B167" s="65"/>
      <c r="C167" s="42" t="s">
        <v>201</v>
      </c>
      <c r="D167" s="42">
        <f t="shared" si="10"/>
        <v>575.87399999999991</v>
      </c>
      <c r="E167" s="42">
        <v>0</v>
      </c>
      <c r="F167" s="42">
        <f>D167*(($F$132)+1)+(IF(E167&lt;101,E167,IF(E167&lt;201,E167/2,IF(E167&lt;=301,E167/3,E167/4))))</f>
        <v>863.81099999999992</v>
      </c>
      <c r="G167" s="65" t="str">
        <f>G165</f>
        <v>1st &amp; 2nd Floor</v>
      </c>
      <c r="H167" s="65"/>
      <c r="I167" s="36"/>
      <c r="N167" s="36"/>
    </row>
    <row r="168" spans="1:14" s="37" customFormat="1" x14ac:dyDescent="0.3">
      <c r="A168" s="65">
        <v>6</v>
      </c>
      <c r="B168" s="65"/>
      <c r="C168" s="42" t="s">
        <v>201</v>
      </c>
      <c r="D168" s="42">
        <f t="shared" si="10"/>
        <v>575.87399999999991</v>
      </c>
      <c r="E168" s="42">
        <v>0</v>
      </c>
      <c r="F168" s="42">
        <f>D168*(($F$132)+1)+(IF(E168&lt;101,E168,IF(E168&lt;201,E168/2,IF(E168&lt;=301,E168/3,E168/4))))</f>
        <v>863.81099999999992</v>
      </c>
      <c r="G168" s="65" t="str">
        <f>G166</f>
        <v>1st &amp; 2nd Floor</v>
      </c>
      <c r="H168" s="65"/>
      <c r="I168" s="36"/>
      <c r="N168" s="36"/>
    </row>
    <row r="169" spans="1:14" s="37" customFormat="1" ht="52.5" customHeight="1" x14ac:dyDescent="0.3">
      <c r="A169" s="64" t="s">
        <v>204</v>
      </c>
      <c r="B169" s="64"/>
      <c r="C169" s="64"/>
      <c r="D169" s="64"/>
      <c r="E169" s="64"/>
      <c r="F169" s="64"/>
      <c r="G169" s="64"/>
      <c r="H169" s="64"/>
      <c r="I169" s="36"/>
      <c r="L169" s="62"/>
      <c r="M169" s="62"/>
    </row>
    <row r="170" spans="1:14" s="37" customFormat="1" ht="15.75" customHeight="1" x14ac:dyDescent="0.3">
      <c r="A170" s="65">
        <v>1</v>
      </c>
      <c r="B170" s="65"/>
      <c r="C170" s="42" t="s">
        <v>201</v>
      </c>
      <c r="D170" s="42">
        <f>53.32*10.764</f>
        <v>573.93647999999996</v>
      </c>
      <c r="E170" s="42">
        <v>0</v>
      </c>
      <c r="F170" s="42">
        <f t="shared" ref="F170:F171" si="11">D170*(($F$132)+1)+(IF(E170&lt;101,E170,IF(E170&lt;201,E170/2,IF(E170&lt;=301,E170/3,E170/4))))</f>
        <v>860.90472</v>
      </c>
      <c r="G170" s="66" t="str">
        <f>A169</f>
        <v>3rd to 7th, 9th to 12th,
 14th to 17th Floor (15th to 18th Floor as per Builder)
19th to 23rd Floor (20th to 24th Floor as per Builder)</v>
      </c>
      <c r="H170" s="67"/>
      <c r="I170" s="36"/>
      <c r="N170" s="36"/>
    </row>
    <row r="171" spans="1:14" s="37" customFormat="1" ht="15.75" customHeight="1" x14ac:dyDescent="0.3">
      <c r="A171" s="65">
        <v>2</v>
      </c>
      <c r="B171" s="65"/>
      <c r="C171" s="42" t="s">
        <v>201</v>
      </c>
      <c r="D171" s="42">
        <f>53.32*10.764</f>
        <v>573.93647999999996</v>
      </c>
      <c r="E171" s="42">
        <v>0</v>
      </c>
      <c r="F171" s="42">
        <f t="shared" si="11"/>
        <v>860.90472</v>
      </c>
      <c r="G171" s="68"/>
      <c r="H171" s="69"/>
      <c r="I171" s="36"/>
      <c r="N171" s="36"/>
    </row>
    <row r="172" spans="1:14" s="37" customFormat="1" ht="15.75" customHeight="1" x14ac:dyDescent="0.3">
      <c r="A172" s="65">
        <f>A171+1</f>
        <v>3</v>
      </c>
      <c r="B172" s="65"/>
      <c r="C172" s="42" t="s">
        <v>201</v>
      </c>
      <c r="D172" s="42">
        <f>53.5*10.764</f>
        <v>575.87399999999991</v>
      </c>
      <c r="E172" s="42">
        <v>0</v>
      </c>
      <c r="F172" s="42">
        <f>D172*(($F$132)+1)+(IF(E172&lt;101,E172,IF(E172&lt;201,E172/2,IF(E172&lt;=301,E172/3,E172/4))))</f>
        <v>863.81099999999992</v>
      </c>
      <c r="G172" s="68"/>
      <c r="H172" s="69"/>
      <c r="I172" s="36"/>
      <c r="N172" s="36"/>
    </row>
    <row r="173" spans="1:14" s="37" customFormat="1" ht="15.75" customHeight="1" x14ac:dyDescent="0.3">
      <c r="A173" s="65">
        <f>A172+1</f>
        <v>4</v>
      </c>
      <c r="B173" s="65"/>
      <c r="C173" s="42" t="s">
        <v>201</v>
      </c>
      <c r="D173" s="42">
        <f t="shared" ref="D173:D175" si="12">53.5*10.764</f>
        <v>575.87399999999991</v>
      </c>
      <c r="E173" s="42">
        <v>0</v>
      </c>
      <c r="F173" s="42">
        <f>D173*(($F$132)+1)+(IF(E173&lt;101,E173,IF(E173&lt;201,E173/2,IF(E173&lt;=301,E173/3,E173/4))))</f>
        <v>863.81099999999992</v>
      </c>
      <c r="G173" s="68"/>
      <c r="H173" s="69"/>
      <c r="I173" s="36"/>
      <c r="N173" s="36"/>
    </row>
    <row r="174" spans="1:14" s="37" customFormat="1" ht="15.75" customHeight="1" x14ac:dyDescent="0.3">
      <c r="A174" s="65">
        <v>5</v>
      </c>
      <c r="B174" s="65"/>
      <c r="C174" s="42" t="s">
        <v>201</v>
      </c>
      <c r="D174" s="42">
        <f t="shared" si="12"/>
        <v>575.87399999999991</v>
      </c>
      <c r="E174" s="42">
        <v>0</v>
      </c>
      <c r="F174" s="42">
        <f>D174*(($F$132)+1)+(IF(E174&lt;101,E174,IF(E174&lt;201,E174/2,IF(E174&lt;=301,E174/3,E174/4))))</f>
        <v>863.81099999999992</v>
      </c>
      <c r="G174" s="68"/>
      <c r="H174" s="69"/>
      <c r="I174" s="36"/>
      <c r="N174" s="36"/>
    </row>
    <row r="175" spans="1:14" s="37" customFormat="1" ht="15.75" customHeight="1" x14ac:dyDescent="0.3">
      <c r="A175" s="65">
        <v>6</v>
      </c>
      <c r="B175" s="65"/>
      <c r="C175" s="42" t="s">
        <v>201</v>
      </c>
      <c r="D175" s="42">
        <f t="shared" si="12"/>
        <v>575.87399999999991</v>
      </c>
      <c r="E175" s="42">
        <v>0</v>
      </c>
      <c r="F175" s="42">
        <f>D175*(($F$132)+1)+(IF(E175&lt;101,E175,IF(E175&lt;201,E175/2,IF(E175&lt;=301,E175/3,E175/4))))</f>
        <v>863.81099999999992</v>
      </c>
      <c r="G175" s="70"/>
      <c r="H175" s="71"/>
      <c r="I175" s="36"/>
      <c r="N175" s="36"/>
    </row>
    <row r="176" spans="1:14" s="37" customFormat="1" ht="52.5" customHeight="1" x14ac:dyDescent="0.3">
      <c r="A176" s="64" t="s">
        <v>205</v>
      </c>
      <c r="B176" s="64"/>
      <c r="C176" s="64"/>
      <c r="D176" s="64"/>
      <c r="E176" s="64"/>
      <c r="F176" s="64"/>
      <c r="G176" s="64"/>
      <c r="H176" s="64"/>
      <c r="I176" s="36"/>
      <c r="L176" s="62"/>
      <c r="M176" s="62"/>
    </row>
    <row r="177" spans="1:14" s="37" customFormat="1" ht="15.75" customHeight="1" x14ac:dyDescent="0.3">
      <c r="A177" s="65">
        <v>1</v>
      </c>
      <c r="B177" s="65"/>
      <c r="C177" s="42" t="s">
        <v>201</v>
      </c>
      <c r="D177" s="42">
        <f>53.32*10.764</f>
        <v>573.93647999999996</v>
      </c>
      <c r="E177" s="42">
        <v>0</v>
      </c>
      <c r="F177" s="42">
        <f t="shared" ref="F177:F178" si="13">D177*(($F$132)+1)+(IF(E177&lt;101,E177,IF(E177&lt;201,E177/2,IF(E177&lt;=301,E177/3,E177/4))))</f>
        <v>860.90472</v>
      </c>
      <c r="G177" s="66" t="str">
        <f>A176</f>
        <v>8th,
13th Floor (14th Floor as per Builder)
18th Floor (19th Floor as per Builder)</v>
      </c>
      <c r="H177" s="67"/>
      <c r="I177" s="36"/>
      <c r="N177" s="36"/>
    </row>
    <row r="178" spans="1:14" s="37" customFormat="1" ht="15.75" customHeight="1" x14ac:dyDescent="0.3">
      <c r="A178" s="65">
        <v>2</v>
      </c>
      <c r="B178" s="65"/>
      <c r="C178" s="42" t="s">
        <v>201</v>
      </c>
      <c r="D178" s="42">
        <f>53.32*10.764</f>
        <v>573.93647999999996</v>
      </c>
      <c r="E178" s="42">
        <v>0</v>
      </c>
      <c r="F178" s="42">
        <f t="shared" si="13"/>
        <v>860.90472</v>
      </c>
      <c r="G178" s="68"/>
      <c r="H178" s="69"/>
      <c r="I178" s="36">
        <f>6500000/F177</f>
        <v>7550.1967279259425</v>
      </c>
      <c r="N178" s="36"/>
    </row>
    <row r="179" spans="1:14" s="37" customFormat="1" ht="15.75" customHeight="1" x14ac:dyDescent="0.3">
      <c r="A179" s="65">
        <f>A178+1</f>
        <v>3</v>
      </c>
      <c r="B179" s="65"/>
      <c r="C179" s="42" t="s">
        <v>201</v>
      </c>
      <c r="D179" s="42">
        <f>53.5*10.764</f>
        <v>575.87399999999991</v>
      </c>
      <c r="E179" s="42">
        <v>0</v>
      </c>
      <c r="F179" s="42">
        <f>D179*(($F$132)+1)+(IF(E179&lt;101,E179,IF(E179&lt;201,E179/2,IF(E179&lt;=301,E179/3,E179/4))))</f>
        <v>863.81099999999992</v>
      </c>
      <c r="G179" s="68"/>
      <c r="H179" s="69"/>
      <c r="I179" s="36"/>
      <c r="N179" s="36"/>
    </row>
    <row r="180" spans="1:14" s="37" customFormat="1" ht="15.75" customHeight="1" x14ac:dyDescent="0.3">
      <c r="A180" s="65">
        <f>A179+1</f>
        <v>4</v>
      </c>
      <c r="B180" s="65"/>
      <c r="C180" s="59" t="s">
        <v>206</v>
      </c>
      <c r="D180" s="60"/>
      <c r="E180" s="60"/>
      <c r="F180" s="61"/>
      <c r="G180" s="68"/>
      <c r="H180" s="69"/>
      <c r="I180" s="36"/>
      <c r="N180" s="36"/>
    </row>
    <row r="181" spans="1:14" s="37" customFormat="1" ht="15.75" customHeight="1" x14ac:dyDescent="0.3">
      <c r="A181" s="65">
        <v>5</v>
      </c>
      <c r="B181" s="65"/>
      <c r="C181" s="42" t="s">
        <v>201</v>
      </c>
      <c r="D181" s="42">
        <f t="shared" ref="D181:D182" si="14">53.5*10.764</f>
        <v>575.87399999999991</v>
      </c>
      <c r="E181" s="42">
        <v>0</v>
      </c>
      <c r="F181" s="42">
        <f>D181*(($F$132)+1)+(IF(E181&lt;101,E181,IF(E181&lt;201,E181/2,IF(E181&lt;=301,E181/3,E181/4))))</f>
        <v>863.81099999999992</v>
      </c>
      <c r="G181" s="68"/>
      <c r="H181" s="69"/>
      <c r="I181" s="36"/>
      <c r="N181" s="36"/>
    </row>
    <row r="182" spans="1:14" s="37" customFormat="1" ht="15.75" customHeight="1" x14ac:dyDescent="0.3">
      <c r="A182" s="65">
        <v>6</v>
      </c>
      <c r="B182" s="65"/>
      <c r="C182" s="42" t="s">
        <v>201</v>
      </c>
      <c r="D182" s="42">
        <f t="shared" si="14"/>
        <v>575.87399999999991</v>
      </c>
      <c r="E182" s="42">
        <v>0</v>
      </c>
      <c r="F182" s="42">
        <f>D182*(($F$132)+1)+(IF(E182&lt;101,E182,IF(E182&lt;201,E182/2,IF(E182&lt;=301,E182/3,E182/4))))</f>
        <v>863.81099999999992</v>
      </c>
      <c r="G182" s="70"/>
      <c r="H182" s="71"/>
      <c r="I182" s="36"/>
      <c r="N182" s="36"/>
    </row>
    <row r="183" spans="1:14" s="35" customFormat="1" x14ac:dyDescent="0.3">
      <c r="A183" s="164" t="s">
        <v>70</v>
      </c>
      <c r="B183" s="164"/>
      <c r="C183" s="164"/>
      <c r="D183" s="164"/>
      <c r="E183" s="164"/>
      <c r="F183" s="164"/>
      <c r="G183" s="164"/>
      <c r="H183" s="164"/>
    </row>
    <row r="184" spans="1:14" s="35" customFormat="1" ht="33" customHeight="1" x14ac:dyDescent="0.3">
      <c r="A184" s="47" t="s">
        <v>159</v>
      </c>
      <c r="B184" s="131" t="s">
        <v>230</v>
      </c>
      <c r="C184" s="132"/>
      <c r="D184" s="132"/>
      <c r="E184" s="132"/>
      <c r="F184" s="132"/>
      <c r="G184" s="132"/>
      <c r="H184" s="133"/>
    </row>
    <row r="185" spans="1:14" s="35" customFormat="1" x14ac:dyDescent="0.3">
      <c r="A185" s="47" t="s">
        <v>159</v>
      </c>
      <c r="B185" s="131" t="str">
        <f>(IF(F131="Saleable area Loading :","We have considered Saleable area of Flats as per our Calculation.","We considered Saleable area of Flat as per Builder area Sheet."))</f>
        <v>We have considered Saleable area of Flats as per our Calculation.</v>
      </c>
      <c r="C185" s="132"/>
      <c r="D185" s="132"/>
      <c r="E185" s="132"/>
      <c r="F185" s="132"/>
      <c r="G185" s="132"/>
      <c r="H185" s="133"/>
    </row>
    <row r="186" spans="1:14" s="35" customFormat="1" x14ac:dyDescent="0.3">
      <c r="A186" s="47" t="s">
        <v>159</v>
      </c>
      <c r="B186" s="131" t="str">
        <f>(IF(F123="Saleable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6" s="132"/>
      <c r="D186" s="132"/>
      <c r="E186" s="132"/>
      <c r="F186" s="132"/>
      <c r="G186" s="132"/>
      <c r="H186" s="133"/>
    </row>
    <row r="187" spans="1:14" s="35" customFormat="1" x14ac:dyDescent="0.3">
      <c r="A187" s="47" t="s">
        <v>159</v>
      </c>
      <c r="B187" s="128" t="s">
        <v>129</v>
      </c>
      <c r="C187" s="129"/>
      <c r="D187" s="129"/>
      <c r="E187" s="129"/>
      <c r="F187" s="129"/>
      <c r="G187" s="129"/>
      <c r="H187" s="130"/>
    </row>
    <row r="188" spans="1:14" s="35" customFormat="1" x14ac:dyDescent="0.3">
      <c r="A188" s="47" t="s">
        <v>159</v>
      </c>
      <c r="B188" s="128" t="s">
        <v>222</v>
      </c>
      <c r="C188" s="129"/>
      <c r="D188" s="129"/>
      <c r="E188" s="129"/>
      <c r="F188" s="129"/>
      <c r="G188" s="129"/>
      <c r="H188" s="130"/>
    </row>
    <row r="189" spans="1:14" s="35" customFormat="1" x14ac:dyDescent="0.3">
      <c r="A189" s="47" t="s">
        <v>159</v>
      </c>
      <c r="B189" s="128" t="s">
        <v>158</v>
      </c>
      <c r="C189" s="129"/>
      <c r="D189" s="129"/>
      <c r="E189" s="129"/>
      <c r="F189" s="129"/>
      <c r="G189" s="129"/>
      <c r="H189" s="130"/>
    </row>
    <row r="190" spans="1:14" s="35" customFormat="1" x14ac:dyDescent="0.3">
      <c r="A190" s="47" t="s">
        <v>159</v>
      </c>
      <c r="B190" s="128" t="s">
        <v>130</v>
      </c>
      <c r="C190" s="129"/>
      <c r="D190" s="129"/>
      <c r="E190" s="129"/>
      <c r="F190" s="129"/>
      <c r="G190" s="129"/>
      <c r="H190" s="130"/>
    </row>
    <row r="191" spans="1:14" s="35" customFormat="1" ht="34.5" customHeight="1" x14ac:dyDescent="0.3">
      <c r="A191" s="47" t="s">
        <v>159</v>
      </c>
      <c r="B191" s="63" t="s">
        <v>160</v>
      </c>
      <c r="C191" s="63"/>
      <c r="D191" s="63"/>
      <c r="E191" s="63"/>
      <c r="F191" s="63"/>
      <c r="G191" s="63"/>
      <c r="H191" s="63"/>
    </row>
    <row r="192" spans="1:14" s="35" customFormat="1" x14ac:dyDescent="0.3">
      <c r="A192" s="47" t="s">
        <v>159</v>
      </c>
      <c r="B192" s="63" t="s">
        <v>131</v>
      </c>
      <c r="C192" s="63"/>
      <c r="D192" s="63"/>
      <c r="E192" s="63"/>
      <c r="F192" s="63"/>
      <c r="G192" s="63"/>
      <c r="H192" s="63"/>
    </row>
    <row r="193" spans="1:8" s="35" customFormat="1" x14ac:dyDescent="0.3">
      <c r="A193" s="47" t="s">
        <v>159</v>
      </c>
      <c r="B193" s="63" t="s">
        <v>223</v>
      </c>
      <c r="C193" s="63"/>
      <c r="D193" s="63"/>
      <c r="E193" s="63"/>
      <c r="F193" s="63"/>
      <c r="G193" s="63"/>
      <c r="H193" s="63"/>
    </row>
    <row r="194" spans="1:8" s="35" customFormat="1" x14ac:dyDescent="0.3">
      <c r="A194" s="47" t="s">
        <v>159</v>
      </c>
      <c r="B194" s="63" t="s">
        <v>224</v>
      </c>
      <c r="C194" s="63"/>
      <c r="D194" s="63"/>
      <c r="E194" s="63"/>
      <c r="F194" s="63"/>
      <c r="G194" s="63"/>
      <c r="H194" s="63"/>
    </row>
    <row r="195" spans="1:8" s="35" customFormat="1" x14ac:dyDescent="0.3">
      <c r="A195" s="47" t="s">
        <v>159</v>
      </c>
      <c r="B195" s="63" t="s">
        <v>228</v>
      </c>
      <c r="C195" s="63"/>
      <c r="D195" s="63"/>
      <c r="E195" s="63"/>
      <c r="F195" s="63"/>
      <c r="G195" s="63"/>
      <c r="H195" s="63"/>
    </row>
    <row r="196" spans="1:8" x14ac:dyDescent="0.3">
      <c r="A196" s="120" t="s">
        <v>63</v>
      </c>
      <c r="B196" s="120"/>
      <c r="C196" s="120"/>
      <c r="D196" s="120"/>
      <c r="E196" s="120"/>
      <c r="F196" s="120"/>
      <c r="G196" s="120"/>
      <c r="H196" s="120"/>
    </row>
    <row r="197" spans="1:8" x14ac:dyDescent="0.3">
      <c r="A197" s="98" t="s">
        <v>64</v>
      </c>
      <c r="B197" s="98"/>
      <c r="C197" s="98"/>
      <c r="D197" s="98"/>
      <c r="E197" s="98"/>
      <c r="F197" s="98"/>
      <c r="G197" s="98"/>
      <c r="H197" s="98"/>
    </row>
    <row r="198" spans="1:8" ht="15.75" customHeight="1" x14ac:dyDescent="0.3">
      <c r="A198" s="99" t="s">
        <v>65</v>
      </c>
      <c r="B198" s="99"/>
      <c r="C198" s="99"/>
      <c r="D198" s="99"/>
      <c r="E198" s="99"/>
      <c r="F198" s="99"/>
      <c r="G198" s="99"/>
      <c r="H198" s="99"/>
    </row>
    <row r="199" spans="1:8" x14ac:dyDescent="0.3">
      <c r="A199" s="98" t="s">
        <v>66</v>
      </c>
      <c r="B199" s="98"/>
      <c r="C199" s="98"/>
      <c r="D199" s="98"/>
      <c r="E199" s="98"/>
      <c r="F199" s="98"/>
      <c r="G199" s="98"/>
      <c r="H199" s="98"/>
    </row>
    <row r="200" spans="1:8" x14ac:dyDescent="0.3">
      <c r="A200" s="98" t="s">
        <v>67</v>
      </c>
      <c r="B200" s="98"/>
      <c r="C200" s="98"/>
      <c r="D200" s="98"/>
      <c r="E200" s="98"/>
      <c r="F200" s="98"/>
      <c r="G200" s="98"/>
      <c r="H200" s="98"/>
    </row>
    <row r="201" spans="1:8" x14ac:dyDescent="0.3">
      <c r="A201" s="98" t="s">
        <v>132</v>
      </c>
      <c r="B201" s="98"/>
      <c r="C201" s="98"/>
      <c r="D201" s="98"/>
      <c r="E201" s="98"/>
      <c r="F201" s="98"/>
      <c r="G201" s="98"/>
      <c r="H201" s="98"/>
    </row>
    <row r="202" spans="1:8" x14ac:dyDescent="0.3">
      <c r="A202" s="121" t="s">
        <v>133</v>
      </c>
      <c r="B202" s="121"/>
      <c r="C202" s="121"/>
      <c r="D202" s="121"/>
      <c r="E202" s="121"/>
      <c r="F202" s="121"/>
      <c r="G202" s="121"/>
      <c r="H202" s="121"/>
    </row>
    <row r="203" spans="1:8" x14ac:dyDescent="0.3">
      <c r="A203" s="139" t="s">
        <v>80</v>
      </c>
      <c r="B203" s="139"/>
      <c r="C203" s="139" t="s">
        <v>199</v>
      </c>
      <c r="D203" s="139"/>
      <c r="E203" s="139" t="s">
        <v>110</v>
      </c>
      <c r="F203" s="139"/>
      <c r="G203" s="139" t="s">
        <v>231</v>
      </c>
      <c r="H203" s="139"/>
    </row>
    <row r="204" spans="1:8" x14ac:dyDescent="0.3">
      <c r="A204" s="138" t="s">
        <v>82</v>
      </c>
      <c r="B204" s="138"/>
      <c r="C204" s="138"/>
      <c r="D204" s="138"/>
      <c r="E204" s="138"/>
      <c r="F204" s="138"/>
      <c r="G204" s="138"/>
      <c r="H204" s="138"/>
    </row>
    <row r="205" spans="1:8" x14ac:dyDescent="0.3">
      <c r="A205" s="138"/>
      <c r="B205" s="138"/>
      <c r="C205" s="138"/>
      <c r="D205" s="138"/>
      <c r="E205" s="138"/>
      <c r="F205" s="138"/>
      <c r="G205" s="138"/>
      <c r="H205" s="138"/>
    </row>
    <row r="206" spans="1:8" x14ac:dyDescent="0.3">
      <c r="A206" s="138"/>
      <c r="B206" s="138"/>
      <c r="C206" s="138"/>
      <c r="D206" s="138"/>
      <c r="E206" s="138"/>
      <c r="F206" s="138"/>
      <c r="G206" s="138"/>
      <c r="H206" s="138"/>
    </row>
    <row r="207" spans="1:8" x14ac:dyDescent="0.3">
      <c r="A207" s="138"/>
      <c r="B207" s="138"/>
      <c r="C207" s="138"/>
      <c r="D207" s="138"/>
      <c r="E207" s="138"/>
      <c r="F207" s="138"/>
      <c r="G207" s="138"/>
      <c r="H207" s="138"/>
    </row>
    <row r="208" spans="1:8" x14ac:dyDescent="0.3">
      <c r="A208" s="38" t="s">
        <v>68</v>
      </c>
      <c r="B208" s="39"/>
      <c r="C208" s="39"/>
      <c r="D208" s="38" t="str">
        <f>E8</f>
        <v>Upper Thane ­ Eden D &amp; E</v>
      </c>
      <c r="F208" s="39"/>
      <c r="G208" s="39"/>
      <c r="H208" s="39"/>
    </row>
    <row r="209" spans="1:8" x14ac:dyDescent="0.3">
      <c r="A209" s="39"/>
      <c r="B209" s="39"/>
      <c r="C209" s="39"/>
      <c r="D209" s="39"/>
      <c r="E209" s="39"/>
      <c r="F209" s="39"/>
      <c r="G209" s="39"/>
      <c r="H209" s="39"/>
    </row>
    <row r="210" spans="1:8" x14ac:dyDescent="0.3">
      <c r="A210" s="39"/>
      <c r="B210" s="39"/>
      <c r="C210" s="39"/>
      <c r="D210" s="39"/>
      <c r="E210" s="39"/>
      <c r="F210" s="39"/>
      <c r="G210" s="39"/>
      <c r="H210" s="39"/>
    </row>
    <row r="211" spans="1:8" ht="15" customHeight="1" x14ac:dyDescent="0.3"/>
    <row r="250" spans="1:1" x14ac:dyDescent="0.3">
      <c r="A250" s="41" t="s">
        <v>172</v>
      </c>
    </row>
    <row r="292" spans="1:1" x14ac:dyDescent="0.3">
      <c r="A292" s="41" t="s">
        <v>69</v>
      </c>
    </row>
  </sheetData>
  <mergeCells count="388">
    <mergeCell ref="B194:H194"/>
    <mergeCell ref="A176:H176"/>
    <mergeCell ref="L176:M176"/>
    <mergeCell ref="A177:B177"/>
    <mergeCell ref="G177:H182"/>
    <mergeCell ref="A178:B178"/>
    <mergeCell ref="A179:B179"/>
    <mergeCell ref="A180:B180"/>
    <mergeCell ref="A181:B181"/>
    <mergeCell ref="A182:B182"/>
    <mergeCell ref="C180:F180"/>
    <mergeCell ref="A171:B171"/>
    <mergeCell ref="A172:B172"/>
    <mergeCell ref="A173:B173"/>
    <mergeCell ref="A174:B174"/>
    <mergeCell ref="A175:B175"/>
    <mergeCell ref="G170:H175"/>
    <mergeCell ref="A161:B161"/>
    <mergeCell ref="G161:H161"/>
    <mergeCell ref="L161:M161"/>
    <mergeCell ref="A167:B167"/>
    <mergeCell ref="G167:H167"/>
    <mergeCell ref="A169:H169"/>
    <mergeCell ref="L169:M169"/>
    <mergeCell ref="A170:B170"/>
    <mergeCell ref="L162:M162"/>
    <mergeCell ref="A101:E101"/>
    <mergeCell ref="A119:B119"/>
    <mergeCell ref="E119:F119"/>
    <mergeCell ref="A38:B38"/>
    <mergeCell ref="C38:H38"/>
    <mergeCell ref="B191:H191"/>
    <mergeCell ref="A47:B47"/>
    <mergeCell ref="C47:H47"/>
    <mergeCell ref="B189:H189"/>
    <mergeCell ref="F98:H98"/>
    <mergeCell ref="A98:E98"/>
    <mergeCell ref="G166:H166"/>
    <mergeCell ref="G163:H163"/>
    <mergeCell ref="D123:D124"/>
    <mergeCell ref="A100:E100"/>
    <mergeCell ref="A126:B126"/>
    <mergeCell ref="A127:B127"/>
    <mergeCell ref="A128:B128"/>
    <mergeCell ref="A102:E102"/>
    <mergeCell ref="F102:H102"/>
    <mergeCell ref="A103:E103"/>
    <mergeCell ref="A105:E105"/>
    <mergeCell ref="F99:H99"/>
    <mergeCell ref="A104:E104"/>
    <mergeCell ref="A99:E99"/>
    <mergeCell ref="A96:E96"/>
    <mergeCell ref="F100:H100"/>
    <mergeCell ref="B187:H187"/>
    <mergeCell ref="B188:H188"/>
    <mergeCell ref="A183:H183"/>
    <mergeCell ref="C123:C124"/>
    <mergeCell ref="B131:B132"/>
    <mergeCell ref="A160:B160"/>
    <mergeCell ref="A157:B157"/>
    <mergeCell ref="A129:B129"/>
    <mergeCell ref="A166:B166"/>
    <mergeCell ref="G168:H168"/>
    <mergeCell ref="F96:H96"/>
    <mergeCell ref="F101:H101"/>
    <mergeCell ref="A130:H130"/>
    <mergeCell ref="A131:A132"/>
    <mergeCell ref="A168:B168"/>
    <mergeCell ref="A164:B164"/>
    <mergeCell ref="A165:B165"/>
    <mergeCell ref="A107:E107"/>
    <mergeCell ref="G119:H119"/>
    <mergeCell ref="C113:D113"/>
    <mergeCell ref="E113:F113"/>
    <mergeCell ref="L160:M160"/>
    <mergeCell ref="G157:H157"/>
    <mergeCell ref="L157:M157"/>
    <mergeCell ref="A158:B158"/>
    <mergeCell ref="G158:H158"/>
    <mergeCell ref="L158:M158"/>
    <mergeCell ref="A159:B159"/>
    <mergeCell ref="G159:H159"/>
    <mergeCell ref="L159:M159"/>
    <mergeCell ref="A114:B114"/>
    <mergeCell ref="C114:D114"/>
    <mergeCell ref="E114:F114"/>
    <mergeCell ref="G114:H114"/>
    <mergeCell ref="A118:B118"/>
    <mergeCell ref="C118:D118"/>
    <mergeCell ref="E118:F118"/>
    <mergeCell ref="G118:H118"/>
    <mergeCell ref="C116:D116"/>
    <mergeCell ref="G116:H116"/>
    <mergeCell ref="C37:H37"/>
    <mergeCell ref="A44:D44"/>
    <mergeCell ref="L129:M129"/>
    <mergeCell ref="L128:M128"/>
    <mergeCell ref="L127:M127"/>
    <mergeCell ref="L126:M126"/>
    <mergeCell ref="A93:B93"/>
    <mergeCell ref="C117:D117"/>
    <mergeCell ref="E117:F117"/>
    <mergeCell ref="G117:H117"/>
    <mergeCell ref="F103:H103"/>
    <mergeCell ref="A97:E97"/>
    <mergeCell ref="A125:H125"/>
    <mergeCell ref="E123:E124"/>
    <mergeCell ref="G123:H124"/>
    <mergeCell ref="A62:C62"/>
    <mergeCell ref="E86:F95"/>
    <mergeCell ref="G86:H95"/>
    <mergeCell ref="A94:B94"/>
    <mergeCell ref="A95:B95"/>
    <mergeCell ref="D62:H62"/>
    <mergeCell ref="A92:B92"/>
    <mergeCell ref="A85:B85"/>
    <mergeCell ref="G113:H113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D61:H61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8:H58"/>
    <mergeCell ref="A58:C58"/>
    <mergeCell ref="G49:H49"/>
    <mergeCell ref="A50:B51"/>
    <mergeCell ref="A37:B37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88:B88"/>
    <mergeCell ref="A84:B84"/>
    <mergeCell ref="A82:B82"/>
    <mergeCell ref="C82:H82"/>
    <mergeCell ref="A90:B90"/>
    <mergeCell ref="A63:C63"/>
    <mergeCell ref="D63:H63"/>
    <mergeCell ref="C84:H84"/>
    <mergeCell ref="A87:B87"/>
    <mergeCell ref="A89:B89"/>
    <mergeCell ref="E85:F85"/>
    <mergeCell ref="A64:C64"/>
    <mergeCell ref="D64:H64"/>
    <mergeCell ref="A67:C67"/>
    <mergeCell ref="D67:H67"/>
    <mergeCell ref="A65:C65"/>
    <mergeCell ref="D65:H65"/>
    <mergeCell ref="A66:C66"/>
    <mergeCell ref="D66:H66"/>
    <mergeCell ref="A86:B86"/>
    <mergeCell ref="G85:H85"/>
    <mergeCell ref="A68:B68"/>
    <mergeCell ref="C68:H68"/>
    <mergeCell ref="A70:B70"/>
    <mergeCell ref="A204:H207"/>
    <mergeCell ref="A203:B203"/>
    <mergeCell ref="E203:F203"/>
    <mergeCell ref="C203:D203"/>
    <mergeCell ref="G203:H203"/>
    <mergeCell ref="A110:H110"/>
    <mergeCell ref="A108:E108"/>
    <mergeCell ref="F108:H108"/>
    <mergeCell ref="A109:E109"/>
    <mergeCell ref="F109:H109"/>
    <mergeCell ref="A162:H162"/>
    <mergeCell ref="A117:B117"/>
    <mergeCell ref="A112:B112"/>
    <mergeCell ref="A199:H199"/>
    <mergeCell ref="A115:H115"/>
    <mergeCell ref="A202:H202"/>
    <mergeCell ref="A200:H200"/>
    <mergeCell ref="A196:H196"/>
    <mergeCell ref="A197:H197"/>
    <mergeCell ref="E116:F116"/>
    <mergeCell ref="B192:H192"/>
    <mergeCell ref="G128:H128"/>
    <mergeCell ref="G126:H126"/>
    <mergeCell ref="G127:H127"/>
    <mergeCell ref="G129:H129"/>
    <mergeCell ref="B190:H190"/>
    <mergeCell ref="B186:H186"/>
    <mergeCell ref="A121:H121"/>
    <mergeCell ref="G165:H165"/>
    <mergeCell ref="B184:H184"/>
    <mergeCell ref="B185:H185"/>
    <mergeCell ref="F104:H104"/>
    <mergeCell ref="C111:D111"/>
    <mergeCell ref="F107:H107"/>
    <mergeCell ref="F105:H105"/>
    <mergeCell ref="A122:H122"/>
    <mergeCell ref="G111:H111"/>
    <mergeCell ref="A106:E106"/>
    <mergeCell ref="C112:D112"/>
    <mergeCell ref="E112:F112"/>
    <mergeCell ref="G164:H164"/>
    <mergeCell ref="B123:B124"/>
    <mergeCell ref="A123:A124"/>
    <mergeCell ref="C131:C132"/>
    <mergeCell ref="C119:D119"/>
    <mergeCell ref="A156:H156"/>
    <mergeCell ref="G160:H160"/>
    <mergeCell ref="F106:H106"/>
    <mergeCell ref="C50:E50"/>
    <mergeCell ref="D59:H59"/>
    <mergeCell ref="C49:E49"/>
    <mergeCell ref="A54:B54"/>
    <mergeCell ref="C54:E54"/>
    <mergeCell ref="A49:B49"/>
    <mergeCell ref="A55:H55"/>
    <mergeCell ref="A56:C56"/>
    <mergeCell ref="A57:C57"/>
    <mergeCell ref="D57:H57"/>
    <mergeCell ref="G54:H54"/>
    <mergeCell ref="C51:H51"/>
    <mergeCell ref="A52:B53"/>
    <mergeCell ref="C52:E52"/>
    <mergeCell ref="G52:H52"/>
    <mergeCell ref="C53:H53"/>
    <mergeCell ref="A120:B120"/>
    <mergeCell ref="C120:D120"/>
    <mergeCell ref="E120:F120"/>
    <mergeCell ref="G120:H120"/>
    <mergeCell ref="E41:H41"/>
    <mergeCell ref="A41:D41"/>
    <mergeCell ref="A201:H201"/>
    <mergeCell ref="A198:H198"/>
    <mergeCell ref="A163:B163"/>
    <mergeCell ref="A116:B116"/>
    <mergeCell ref="D131:D132"/>
    <mergeCell ref="E131:E132"/>
    <mergeCell ref="G131:H132"/>
    <mergeCell ref="A91:B91"/>
    <mergeCell ref="F97:H97"/>
    <mergeCell ref="G112:H112"/>
    <mergeCell ref="E111:F111"/>
    <mergeCell ref="A111:B111"/>
    <mergeCell ref="A113:B113"/>
    <mergeCell ref="A48:B48"/>
    <mergeCell ref="C48:E48"/>
    <mergeCell ref="G48:H48"/>
    <mergeCell ref="G50:H50"/>
    <mergeCell ref="D56:H56"/>
    <mergeCell ref="G71:H71"/>
    <mergeCell ref="A72:B72"/>
    <mergeCell ref="E72:F81"/>
    <mergeCell ref="G72:H81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147:B147"/>
    <mergeCell ref="D60:H60"/>
    <mergeCell ref="A59:C60"/>
    <mergeCell ref="A155:H155"/>
    <mergeCell ref="A133:H133"/>
    <mergeCell ref="A134:H134"/>
    <mergeCell ref="A135:B135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G138:H138"/>
    <mergeCell ref="L138:M138"/>
    <mergeCell ref="A139:B139"/>
    <mergeCell ref="G139:H139"/>
    <mergeCell ref="L139:M139"/>
    <mergeCell ref="C70:H70"/>
    <mergeCell ref="A71:B71"/>
    <mergeCell ref="E71:F71"/>
    <mergeCell ref="C138:F138"/>
    <mergeCell ref="A140:B140"/>
    <mergeCell ref="G140:H140"/>
    <mergeCell ref="L140:M140"/>
    <mergeCell ref="B193:H193"/>
    <mergeCell ref="B195:H195"/>
    <mergeCell ref="A148:H148"/>
    <mergeCell ref="L148:M148"/>
    <mergeCell ref="A149:B149"/>
    <mergeCell ref="G149:H154"/>
    <mergeCell ref="A150:B150"/>
    <mergeCell ref="A151:B151"/>
    <mergeCell ref="A152:B152"/>
    <mergeCell ref="C152:F152"/>
    <mergeCell ref="A153:B153"/>
    <mergeCell ref="A154:B154"/>
    <mergeCell ref="A141:H141"/>
    <mergeCell ref="L141:M141"/>
    <mergeCell ref="A142:B142"/>
    <mergeCell ref="G142:H147"/>
    <mergeCell ref="A143:B143"/>
    <mergeCell ref="A144:B144"/>
    <mergeCell ref="A145:B145"/>
    <mergeCell ref="A146:B146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95" max="7" man="1"/>
    <brk id="182" max="7" man="1"/>
    <brk id="207" max="16383" man="1"/>
    <brk id="249" max="16383" man="1"/>
    <brk id="29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9" zoomScale="85" zoomScaleNormal="85" workbookViewId="0">
      <selection activeCell="B16" sqref="B16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69" t="s">
        <v>111</v>
      </c>
      <c r="C3" s="169"/>
      <c r="D3" s="169"/>
      <c r="E3" s="169"/>
      <c r="F3" s="169"/>
      <c r="G3" s="169"/>
      <c r="H3" s="169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2025-08-13T09:42:32Z</cp:lastPrinted>
  <dcterms:created xsi:type="dcterms:W3CDTF">2019-07-16T09:29:46Z</dcterms:created>
  <dcterms:modified xsi:type="dcterms:W3CDTF">2025-08-13T09:42:37Z</dcterms:modified>
</cp:coreProperties>
</file>