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EDFC31BF-CE3F-4EA8-9B69-5BC4007C188F}" xr6:coauthVersionLast="47" xr6:coauthVersionMax="47" xr10:uidLastSave="{00000000-0000-0000-0000-000000000000}"/>
  <bookViews>
    <workbookView xWindow="11424" yWindow="0" windowWidth="11712" windowHeight="12336" tabRatio="725" xr2:uid="{00000000-000D-0000-FFFF-FFFF00000000}"/>
  </bookViews>
  <sheets>
    <sheet name="Report" sheetId="1" r:id="rId1"/>
    <sheet name="Sheet1" sheetId="6" r:id="rId2"/>
    <sheet name="valuation" sheetId="5" r:id="rId3"/>
    <sheet name="Note" sheetId="4" r:id="rId4"/>
  </sheets>
  <definedNames>
    <definedName name="_xlnm.Print_Area" localSheetId="0">Report!$A$1:$H$502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C14" i="1" l="1"/>
  <c r="D381" i="1"/>
  <c r="I281" i="1"/>
  <c r="I313" i="1"/>
  <c r="I312" i="1"/>
  <c r="C83" i="1"/>
  <c r="D268" i="1" l="1"/>
  <c r="D267" i="1"/>
  <c r="D266" i="1"/>
  <c r="D323" i="1"/>
  <c r="F323" i="1" s="1"/>
  <c r="D322" i="1"/>
  <c r="F322" i="1" s="1"/>
  <c r="D320" i="1"/>
  <c r="F320" i="1" s="1"/>
  <c r="D319" i="1"/>
  <c r="F319" i="1" s="1"/>
  <c r="D318" i="1"/>
  <c r="F318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A319" i="1"/>
  <c r="A320" i="1" s="1"/>
  <c r="A322" i="1" s="1"/>
  <c r="A323" i="1" s="1"/>
  <c r="G318" i="1"/>
  <c r="A312" i="1"/>
  <c r="A313" i="1" s="1"/>
  <c r="A314" i="1" s="1"/>
  <c r="A315" i="1" s="1"/>
  <c r="A316" i="1" s="1"/>
  <c r="G311" i="1"/>
  <c r="G136" i="1" l="1"/>
  <c r="E136" i="1"/>
  <c r="C136" i="1"/>
  <c r="D308" i="1"/>
  <c r="F308" i="1" s="1"/>
  <c r="I307" i="1"/>
  <c r="D307" i="1"/>
  <c r="F307" i="1" s="1"/>
  <c r="D306" i="1"/>
  <c r="F306" i="1" s="1"/>
  <c r="D305" i="1"/>
  <c r="F305" i="1" s="1"/>
  <c r="D304" i="1"/>
  <c r="F304" i="1" s="1"/>
  <c r="I304" i="1" s="1"/>
  <c r="D303" i="1"/>
  <c r="F303" i="1" s="1"/>
  <c r="A303" i="1"/>
  <c r="A304" i="1" s="1"/>
  <c r="A305" i="1" s="1"/>
  <c r="A306" i="1" s="1"/>
  <c r="A307" i="1" s="1"/>
  <c r="A308" i="1" s="1"/>
  <c r="G302" i="1"/>
  <c r="D302" i="1"/>
  <c r="F302" i="1" s="1"/>
  <c r="I302" i="1" s="1"/>
  <c r="D292" i="1"/>
  <c r="D291" i="1"/>
  <c r="D289" i="1"/>
  <c r="D288" i="1"/>
  <c r="D287" i="1"/>
  <c r="D286" i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A295" i="1"/>
  <c r="A296" i="1" s="1"/>
  <c r="A297" i="1" s="1"/>
  <c r="A298" i="1" s="1"/>
  <c r="A299" i="1" s="1"/>
  <c r="A300" i="1" s="1"/>
  <c r="G294" i="1"/>
  <c r="D294" i="1"/>
  <c r="F294" i="1" s="1"/>
  <c r="D284" i="1"/>
  <c r="D282" i="1"/>
  <c r="D274" i="1"/>
  <c r="D281" i="1"/>
  <c r="D280" i="1"/>
  <c r="D279" i="1"/>
  <c r="D283" i="1"/>
  <c r="D278" i="1"/>
  <c r="D276" i="1"/>
  <c r="D275" i="1"/>
  <c r="D273" i="1"/>
  <c r="D272" i="1"/>
  <c r="D271" i="1"/>
  <c r="D270" i="1"/>
  <c r="D243" i="1"/>
  <c r="F243" i="1" s="1"/>
  <c r="D221" i="1"/>
  <c r="F221" i="1" s="1"/>
  <c r="I221" i="1" s="1"/>
  <c r="D222" i="1"/>
  <c r="F222" i="1" s="1"/>
  <c r="I222" i="1" s="1"/>
  <c r="D244" i="1"/>
  <c r="F244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30" i="1"/>
  <c r="F230" i="1" s="1"/>
  <c r="I230" i="1" s="1"/>
  <c r="D229" i="1"/>
  <c r="F229" i="1" s="1"/>
  <c r="I229" i="1" s="1"/>
  <c r="D228" i="1"/>
  <c r="F228" i="1" s="1"/>
  <c r="D227" i="1"/>
  <c r="F227" i="1" s="1"/>
  <c r="I227" i="1" s="1"/>
  <c r="D226" i="1"/>
  <c r="F226" i="1" s="1"/>
  <c r="K226" i="1" s="1"/>
  <c r="D225" i="1"/>
  <c r="F225" i="1" s="1"/>
  <c r="D224" i="1"/>
  <c r="F224" i="1" s="1"/>
  <c r="D223" i="1"/>
  <c r="F223" i="1" s="1"/>
  <c r="K228" i="1" s="1"/>
  <c r="A244" i="1"/>
  <c r="A245" i="1" s="1"/>
  <c r="A246" i="1" s="1"/>
  <c r="A247" i="1" s="1"/>
  <c r="A248" i="1" s="1"/>
  <c r="A249" i="1" s="1"/>
  <c r="A250" i="1" s="1"/>
  <c r="A251" i="1" s="1"/>
  <c r="A252" i="1" s="1"/>
  <c r="G243" i="1"/>
  <c r="A222" i="1"/>
  <c r="A223" i="1" s="1"/>
  <c r="A224" i="1" s="1"/>
  <c r="A225" i="1" s="1"/>
  <c r="A226" i="1" s="1"/>
  <c r="A227" i="1" s="1"/>
  <c r="A228" i="1" s="1"/>
  <c r="A229" i="1" s="1"/>
  <c r="A230" i="1" s="1"/>
  <c r="G221" i="1"/>
  <c r="D241" i="1"/>
  <c r="F241" i="1" s="1"/>
  <c r="D240" i="1"/>
  <c r="F240" i="1" s="1"/>
  <c r="D239" i="1"/>
  <c r="F239" i="1" s="1"/>
  <c r="D238" i="1"/>
  <c r="F238" i="1" s="1"/>
  <c r="D237" i="1"/>
  <c r="F237" i="1" s="1"/>
  <c r="D235" i="1"/>
  <c r="F235" i="1" s="1"/>
  <c r="D234" i="1"/>
  <c r="F234" i="1" s="1"/>
  <c r="D233" i="1"/>
  <c r="F233" i="1" s="1"/>
  <c r="A233" i="1"/>
  <c r="A234" i="1" s="1"/>
  <c r="A235" i="1" s="1"/>
  <c r="A236" i="1" s="1"/>
  <c r="A237" i="1" s="1"/>
  <c r="A238" i="1" s="1"/>
  <c r="A239" i="1" s="1"/>
  <c r="A240" i="1" s="1"/>
  <c r="A241" i="1" s="1"/>
  <c r="G232" i="1"/>
  <c r="D232" i="1"/>
  <c r="F232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A255" i="1"/>
  <c r="A256" i="1" s="1"/>
  <c r="A257" i="1" s="1"/>
  <c r="A258" i="1" s="1"/>
  <c r="A259" i="1" s="1"/>
  <c r="A260" i="1" s="1"/>
  <c r="A261" i="1" s="1"/>
  <c r="A262" i="1" s="1"/>
  <c r="A263" i="1" s="1"/>
  <c r="G254" i="1"/>
  <c r="D254" i="1"/>
  <c r="F254" i="1" s="1"/>
  <c r="D215" i="1"/>
  <c r="D214" i="1"/>
  <c r="D213" i="1"/>
  <c r="D212" i="1"/>
  <c r="D211" i="1"/>
  <c r="D203" i="1"/>
  <c r="D201" i="1"/>
  <c r="D210" i="1"/>
  <c r="D219" i="1"/>
  <c r="D218" i="1"/>
  <c r="D217" i="1"/>
  <c r="D216" i="1"/>
  <c r="D208" i="1"/>
  <c r="D207" i="1"/>
  <c r="D206" i="1"/>
  <c r="D205" i="1"/>
  <c r="D204" i="1"/>
  <c r="D202" i="1"/>
  <c r="I201" i="1"/>
  <c r="I202" i="1"/>
  <c r="I205" i="1"/>
  <c r="C135" i="1" l="1"/>
  <c r="E135" i="1"/>
  <c r="C134" i="1"/>
  <c r="C137" i="1" s="1"/>
  <c r="E134" i="1"/>
  <c r="E137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D185" i="1"/>
  <c r="F185" i="1" s="1"/>
  <c r="D184" i="1"/>
  <c r="F184" i="1" s="1"/>
  <c r="D183" i="1"/>
  <c r="F183" i="1" s="1"/>
  <c r="D182" i="1"/>
  <c r="F182" i="1" s="1"/>
  <c r="D181" i="1"/>
  <c r="D180" i="1"/>
  <c r="J192" i="1"/>
  <c r="J188" i="1"/>
  <c r="K185" i="1"/>
  <c r="J183" i="1"/>
  <c r="J182" i="1"/>
  <c r="J181" i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G180" i="1"/>
  <c r="D172" i="1"/>
  <c r="D176" i="1"/>
  <c r="D175" i="1"/>
  <c r="D177" i="1"/>
  <c r="D174" i="1"/>
  <c r="C129" i="1" s="1"/>
  <c r="E172" i="1"/>
  <c r="E171" i="1"/>
  <c r="D171" i="1"/>
  <c r="E170" i="1"/>
  <c r="E169" i="1"/>
  <c r="D168" i="1"/>
  <c r="E168" i="1"/>
  <c r="E167" i="1"/>
  <c r="D167" i="1"/>
  <c r="E166" i="1"/>
  <c r="D166" i="1"/>
  <c r="E165" i="1"/>
  <c r="D165" i="1"/>
  <c r="E162" i="1"/>
  <c r="D162" i="1"/>
  <c r="E161" i="1"/>
  <c r="D161" i="1"/>
  <c r="E146" i="1"/>
  <c r="E145" i="1"/>
  <c r="E156" i="1"/>
  <c r="D156" i="1"/>
  <c r="E155" i="1"/>
  <c r="D155" i="1"/>
  <c r="E154" i="1"/>
  <c r="E153" i="1"/>
  <c r="D154" i="1"/>
  <c r="D153" i="1"/>
  <c r="E152" i="1"/>
  <c r="D152" i="1"/>
  <c r="E151" i="1"/>
  <c r="D151" i="1"/>
  <c r="E150" i="1"/>
  <c r="D150" i="1"/>
  <c r="D149" i="1"/>
  <c r="C97" i="1"/>
  <c r="J108" i="1"/>
  <c r="J107" i="1"/>
  <c r="J106" i="1"/>
  <c r="J105" i="1"/>
  <c r="I44" i="1"/>
  <c r="E41" i="1"/>
  <c r="I41" i="1"/>
  <c r="F180" i="1" l="1"/>
  <c r="C130" i="1"/>
  <c r="E130" i="1"/>
  <c r="F186" i="1"/>
  <c r="F181" i="1"/>
  <c r="G130" i="1" l="1"/>
  <c r="J129" i="1"/>
  <c r="F291" i="1"/>
  <c r="F287" i="1"/>
  <c r="F286" i="1"/>
  <c r="F289" i="1"/>
  <c r="F288" i="1"/>
  <c r="F292" i="1"/>
  <c r="A287" i="1"/>
  <c r="A288" i="1" s="1"/>
  <c r="A289" i="1" s="1"/>
  <c r="A290" i="1" s="1"/>
  <c r="A291" i="1" s="1"/>
  <c r="A292" i="1" s="1"/>
  <c r="G286" i="1"/>
  <c r="G266" i="1"/>
  <c r="F155" i="1" l="1"/>
  <c r="E149" i="1"/>
  <c r="D148" i="1"/>
  <c r="D147" i="1"/>
  <c r="C49" i="1"/>
  <c r="C50" i="1" s="1"/>
  <c r="F156" i="1" l="1"/>
  <c r="F177" i="1"/>
  <c r="F176" i="1"/>
  <c r="F175" i="1"/>
  <c r="G174" i="1"/>
  <c r="A175" i="1"/>
  <c r="A176" i="1" s="1"/>
  <c r="A177" i="1" s="1"/>
  <c r="F268" i="1"/>
  <c r="F267" i="1"/>
  <c r="A268" i="1"/>
  <c r="F208" i="1"/>
  <c r="F207" i="1"/>
  <c r="F206" i="1"/>
  <c r="F205" i="1"/>
  <c r="F204" i="1"/>
  <c r="F203" i="1"/>
  <c r="F201" i="1"/>
  <c r="A200" i="1"/>
  <c r="A201" i="1" s="1"/>
  <c r="A202" i="1" s="1"/>
  <c r="A203" i="1" s="1"/>
  <c r="A204" i="1" s="1"/>
  <c r="A205" i="1" s="1"/>
  <c r="A206" i="1" s="1"/>
  <c r="A207" i="1" s="1"/>
  <c r="A208" i="1" s="1"/>
  <c r="G199" i="1"/>
  <c r="I199" i="1"/>
  <c r="G278" i="1"/>
  <c r="F174" i="1" l="1"/>
  <c r="G129" i="1" s="1"/>
  <c r="E129" i="1"/>
  <c r="F202" i="1"/>
  <c r="F266" i="1"/>
  <c r="J94" i="1"/>
  <c r="J93" i="1"/>
  <c r="J92" i="1"/>
  <c r="J91" i="1"/>
  <c r="J160" i="1" l="1"/>
  <c r="J161" i="1"/>
  <c r="J162" i="1"/>
  <c r="K164" i="1"/>
  <c r="J167" i="1"/>
  <c r="J171" i="1"/>
  <c r="I275" i="1" l="1"/>
  <c r="F166" i="1" l="1"/>
  <c r="F168" i="1"/>
  <c r="F150" i="1"/>
  <c r="F284" i="1"/>
  <c r="F283" i="1"/>
  <c r="F281" i="1"/>
  <c r="F280" i="1"/>
  <c r="F279" i="1"/>
  <c r="F278" i="1"/>
  <c r="F276" i="1"/>
  <c r="F275" i="1"/>
  <c r="F272" i="1"/>
  <c r="I272" i="1" s="1"/>
  <c r="F219" i="1"/>
  <c r="I219" i="1" s="1"/>
  <c r="F217" i="1"/>
  <c r="F216" i="1"/>
  <c r="I216" i="1" s="1"/>
  <c r="F215" i="1"/>
  <c r="K215" i="1" s="1"/>
  <c r="F214" i="1"/>
  <c r="F213" i="1"/>
  <c r="F212" i="1"/>
  <c r="K217" i="1" s="1"/>
  <c r="D170" i="1"/>
  <c r="D169" i="1"/>
  <c r="E164" i="1"/>
  <c r="D164" i="1"/>
  <c r="E163" i="1"/>
  <c r="D163" i="1"/>
  <c r="F161" i="1"/>
  <c r="E160" i="1"/>
  <c r="D160" i="1"/>
  <c r="E159" i="1"/>
  <c r="D159" i="1"/>
  <c r="F147" i="1"/>
  <c r="D146" i="1"/>
  <c r="F146" i="1" s="1"/>
  <c r="D145" i="1"/>
  <c r="F273" i="1"/>
  <c r="F282" i="1"/>
  <c r="A279" i="1"/>
  <c r="A280" i="1" s="1"/>
  <c r="A281" i="1" s="1"/>
  <c r="A282" i="1" s="1"/>
  <c r="A283" i="1" s="1"/>
  <c r="A284" i="1" s="1"/>
  <c r="F274" i="1"/>
  <c r="A271" i="1"/>
  <c r="A272" i="1" s="1"/>
  <c r="A273" i="1" s="1"/>
  <c r="A274" i="1" s="1"/>
  <c r="A275" i="1" s="1"/>
  <c r="A276" i="1" s="1"/>
  <c r="G270" i="1"/>
  <c r="J334" i="1"/>
  <c r="J332" i="1"/>
  <c r="F218" i="1"/>
  <c r="I218" i="1" s="1"/>
  <c r="A211" i="1"/>
  <c r="A212" i="1" s="1"/>
  <c r="A213" i="1" s="1"/>
  <c r="A214" i="1" s="1"/>
  <c r="A215" i="1" s="1"/>
  <c r="A216" i="1" s="1"/>
  <c r="A217" i="1" s="1"/>
  <c r="A218" i="1" s="1"/>
  <c r="A219" i="1" s="1"/>
  <c r="G210" i="1"/>
  <c r="E127" i="1" l="1"/>
  <c r="C128" i="1"/>
  <c r="F211" i="1"/>
  <c r="I211" i="1" s="1"/>
  <c r="E128" i="1"/>
  <c r="F271" i="1"/>
  <c r="C127" i="1"/>
  <c r="F165" i="1"/>
  <c r="F169" i="1"/>
  <c r="F162" i="1"/>
  <c r="F164" i="1"/>
  <c r="F167" i="1"/>
  <c r="F170" i="1"/>
  <c r="F172" i="1"/>
  <c r="F163" i="1"/>
  <c r="F171" i="1"/>
  <c r="F210" i="1"/>
  <c r="G134" i="1" s="1"/>
  <c r="F145" i="1"/>
  <c r="F148" i="1"/>
  <c r="F149" i="1"/>
  <c r="F151" i="1"/>
  <c r="F152" i="1"/>
  <c r="F153" i="1"/>
  <c r="F154" i="1"/>
  <c r="F159" i="1"/>
  <c r="F160" i="1"/>
  <c r="F270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G159" i="1"/>
  <c r="D56" i="1"/>
  <c r="C131" i="1" l="1"/>
  <c r="E131" i="1"/>
  <c r="G135" i="1"/>
  <c r="G137" i="1" s="1"/>
  <c r="G127" i="1"/>
  <c r="G128" i="1"/>
  <c r="I145" i="1"/>
  <c r="I210" i="1"/>
  <c r="I270" i="1"/>
  <c r="E42" i="1"/>
  <c r="E43" i="1" s="1"/>
  <c r="G131" i="1" l="1"/>
  <c r="C138" i="1"/>
  <c r="E138" i="1"/>
  <c r="G138" i="1"/>
  <c r="E29" i="1" l="1"/>
  <c r="F327" i="1" l="1"/>
  <c r="F328" i="1"/>
  <c r="F329" i="1"/>
  <c r="F326" i="1"/>
  <c r="A327" i="1"/>
  <c r="A328" i="1" s="1"/>
  <c r="A329" i="1" s="1"/>
  <c r="G326" i="1"/>
  <c r="G327" i="1" s="1"/>
  <c r="G328" i="1" s="1"/>
  <c r="G329" i="1" s="1"/>
  <c r="F124" i="1" l="1"/>
  <c r="B356" i="1" l="1"/>
  <c r="A337" i="1"/>
  <c r="A343" i="1"/>
  <c r="A349" i="1"/>
  <c r="F353" i="1" l="1"/>
  <c r="F352" i="1"/>
  <c r="F351" i="1"/>
  <c r="F350" i="1"/>
  <c r="F349" i="1"/>
  <c r="F347" i="1"/>
  <c r="F346" i="1"/>
  <c r="F345" i="1"/>
  <c r="F344" i="1"/>
  <c r="F343" i="1"/>
  <c r="F341" i="1"/>
  <c r="F340" i="1"/>
  <c r="F339" i="1"/>
  <c r="F338" i="1"/>
  <c r="F337" i="1"/>
  <c r="F335" i="1"/>
  <c r="F334" i="1"/>
  <c r="F332" i="1"/>
  <c r="F331" i="1"/>
  <c r="F333" i="1"/>
  <c r="A344" i="1"/>
  <c r="A338" i="1"/>
  <c r="A350" i="1"/>
  <c r="B357" i="1" l="1"/>
  <c r="A339" i="1"/>
  <c r="A345" i="1"/>
  <c r="A35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349" i="1"/>
  <c r="G350" i="1" s="1"/>
  <c r="G351" i="1" s="1"/>
  <c r="G352" i="1" s="1"/>
  <c r="G353" i="1" s="1"/>
  <c r="G343" i="1"/>
  <c r="G344" i="1" s="1"/>
  <c r="G345" i="1" s="1"/>
  <c r="G346" i="1" s="1"/>
  <c r="G347" i="1" s="1"/>
  <c r="G337" i="1"/>
  <c r="G338" i="1" s="1"/>
  <c r="G339" i="1" s="1"/>
  <c r="G340" i="1" s="1"/>
  <c r="G341" i="1" s="1"/>
  <c r="G331" i="1"/>
  <c r="G332" i="1" s="1"/>
  <c r="G333" i="1" s="1"/>
  <c r="G334" i="1" s="1"/>
  <c r="G335" i="1" s="1"/>
  <c r="A331" i="1"/>
  <c r="A332" i="1" s="1"/>
  <c r="A333" i="1" s="1"/>
  <c r="A334" i="1" s="1"/>
  <c r="A335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G145" i="1"/>
  <c r="J80" i="1"/>
  <c r="J79" i="1"/>
  <c r="J78" i="1"/>
  <c r="J77" i="1"/>
  <c r="C69" i="1"/>
  <c r="E26" i="1"/>
  <c r="E24" i="1"/>
  <c r="E7" i="1"/>
  <c r="E3" i="1"/>
  <c r="A340" i="1"/>
  <c r="A346" i="1"/>
  <c r="H70" i="1"/>
  <c r="A352" i="1"/>
  <c r="D63" i="1" l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2" i="1" s="1"/>
  <c r="C74" i="1" s="1"/>
  <c r="A347" i="1"/>
  <c r="A353" i="1"/>
  <c r="A341" i="1"/>
  <c r="D75" i="1" l="1"/>
  <c r="J71" i="1"/>
  <c r="E73" i="1"/>
  <c r="D74" i="1"/>
  <c r="G73" i="1"/>
  <c r="D67" i="1" s="1"/>
  <c r="D68" i="1" s="1"/>
  <c r="D73" i="1"/>
  <c r="H84" i="1"/>
  <c r="H98" i="1"/>
  <c r="J102" i="1" l="1"/>
  <c r="C101" i="1" s="1"/>
  <c r="J100" i="1"/>
  <c r="J97" i="1"/>
  <c r="J99" i="1" s="1"/>
  <c r="D110" i="1"/>
  <c r="D106" i="1"/>
  <c r="D103" i="1"/>
  <c r="D109" i="1"/>
  <c r="D105" i="1"/>
  <c r="J101" i="1"/>
  <c r="D107" i="1"/>
  <c r="D108" i="1"/>
  <c r="D104" i="1"/>
  <c r="J103" i="1"/>
  <c r="J88" i="1"/>
  <c r="C87" i="1" s="1"/>
  <c r="J83" i="1"/>
  <c r="J85" i="1" s="1"/>
  <c r="D91" i="1"/>
  <c r="D96" i="1"/>
  <c r="D94" i="1"/>
  <c r="D92" i="1"/>
  <c r="D90" i="1"/>
  <c r="J89" i="1"/>
  <c r="J87" i="1"/>
  <c r="D95" i="1"/>
  <c r="D93" i="1"/>
  <c r="D89" i="1"/>
  <c r="J86" i="1"/>
  <c r="I70" i="1"/>
  <c r="J70" i="1"/>
  <c r="F68" i="1"/>
  <c r="J104" i="1" l="1"/>
  <c r="D101" i="1"/>
  <c r="J90" i="1"/>
  <c r="D87" i="1"/>
  <c r="I71" i="1"/>
  <c r="I69" i="1" s="1"/>
  <c r="C71" i="1" s="1"/>
  <c r="J109" i="1" l="1"/>
  <c r="J110" i="1" s="1"/>
  <c r="C102" i="1" s="1"/>
  <c r="D102" i="1" s="1"/>
  <c r="I98" i="1" s="1"/>
  <c r="I99" i="1" s="1"/>
  <c r="J95" i="1"/>
  <c r="J96" i="1" s="1"/>
  <c r="C88" i="1" s="1"/>
  <c r="J84" i="1" s="1"/>
  <c r="G101" i="1" l="1"/>
  <c r="E101" i="1"/>
  <c r="J98" i="1"/>
  <c r="I97" i="1" s="1"/>
  <c r="C99" i="1" s="1"/>
  <c r="G87" i="1"/>
  <c r="D88" i="1"/>
  <c r="I84" i="1" s="1"/>
  <c r="I85" i="1" s="1"/>
  <c r="E87" i="1"/>
  <c r="I83" i="1" l="1"/>
  <c r="C85" i="1" s="1"/>
</calcChain>
</file>

<file path=xl/sharedStrings.xml><?xml version="1.0" encoding="utf-8"?>
<sst xmlns="http://schemas.openxmlformats.org/spreadsheetml/2006/main" count="454" uniqueCount="264">
  <si>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</si>
  <si>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</si>
  <si>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</si>
  <si>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</si>
  <si>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</si>
  <si>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</si>
  <si>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</si>
  <si>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</si>
  <si>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</si>
  <si>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</si>
  <si>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</si>
  <si>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</si>
  <si>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</si>
  <si>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</si>
  <si>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</si>
  <si>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</si>
  <si>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</si>
  <si>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</si>
  <si>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</si>
  <si>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</si>
  <si>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</si>
  <si>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</si>
  <si>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</si>
  <si>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</si>
  <si>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</si>
  <si>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</si>
  <si>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</si>
  <si>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</si>
  <si>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</si>
  <si>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</si>
  <si>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</si>
  <si>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</si>
  <si>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</si>
  <si>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</si>
  <si>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</si>
  <si>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</si>
  <si>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</si>
  <si>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</si>
  <si>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</si>
  <si>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</si>
  <si>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</si>
  <si>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</si>
  <si>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</si>
  <si>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</si>
  <si>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</si>
  <si>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</si>
  <si>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</si>
  <si>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</si>
  <si>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</si>
  <si>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</si>
  <si>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</si>
  <si>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</si>
  <si>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</si>
  <si>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</si>
  <si>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</si>
  <si>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</si>
  <si>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</si>
  <si>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</si>
  <si>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</si>
  <si>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</si>
  <si>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</si>
  <si>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</si>
  <si>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</si>
  <si>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</si>
  <si>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</si>
  <si>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</si>
  <si>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</si>
  <si>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</si>
  <si>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</si>
  <si>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</si>
  <si>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</si>
  <si>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</si>
  <si>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</si>
  <si>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</si>
  <si>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</si>
  <si>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</si>
  <si>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</si>
  <si>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</si>
  <si>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</si>
  <si>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</si>
  <si>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</si>
  <si>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</si>
  <si>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</si>
  <si>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</si>
  <si>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</si>
  <si>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</si>
  <si>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</si>
  <si>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</si>
  <si>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</si>
  <si>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</si>
  <si>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</si>
  <si>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</si>
  <si>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</si>
  <si>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</si>
  <si>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</si>
  <si>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</si>
  <si>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</si>
  <si>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</si>
  <si>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</si>
  <si>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</si>
  <si>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</si>
  <si>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</si>
  <si>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</si>
  <si>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</si>
  <si>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</si>
  <si>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</si>
  <si>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</si>
  <si>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</si>
  <si>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</si>
  <si>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</si>
  <si>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</si>
  <si>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</si>
  <si>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</si>
  <si>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</si>
  <si>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</si>
  <si>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</si>
  <si>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</si>
  <si>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</si>
  <si>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</si>
  <si>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</si>
  <si>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</si>
  <si>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</si>
  <si>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</si>
  <si>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</si>
  <si>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</si>
  <si>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</si>
  <si>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</si>
  <si>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</si>
  <si>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</si>
  <si>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</si>
  <si>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</si>
  <si>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</si>
  <si>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</si>
  <si>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</si>
  <si>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</si>
  <si>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</si>
  <si>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</si>
  <si>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</si>
  <si>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</si>
  <si>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</si>
  <si>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</si>
  <si>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</si>
  <si>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</si>
  <si>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</si>
  <si>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</si>
  <si>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</si>
  <si>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</si>
  <si>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</si>
  <si>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</si>
  <si>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</si>
  <si>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</si>
  <si>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</si>
  <si>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</si>
  <si>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</si>
  <si>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</si>
  <si>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</si>
  <si>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</si>
  <si>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</si>
  <si>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</si>
  <si>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</si>
  <si>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</si>
  <si>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</si>
  <si>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</si>
  <si>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</si>
  <si>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</si>
  <si>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</si>
  <si>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</si>
  <si>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</si>
  <si>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</si>
  <si>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</si>
  <si>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</si>
  <si>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</si>
  <si>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</si>
  <si>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</si>
  <si>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</si>
  <si>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</si>
  <si>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</si>
  <si>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</si>
  <si>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The Vaidiki Signature</t>
  </si>
  <si>
    <t>Survey No</t>
  </si>
  <si>
    <t>45 H.No.9/3</t>
  </si>
  <si>
    <t>Adivali Dhokali</t>
  </si>
  <si>
    <t>Malangad Road</t>
  </si>
  <si>
    <t>Thane</t>
  </si>
  <si>
    <t>Kalyan</t>
  </si>
  <si>
    <t>Varsha Complex</t>
  </si>
  <si>
    <t>Chawl</t>
  </si>
  <si>
    <t>Varsha Appartment</t>
  </si>
  <si>
    <t>Wing A</t>
  </si>
  <si>
    <t>Wing B</t>
  </si>
  <si>
    <t>Shop</t>
  </si>
  <si>
    <t>Refuge Area</t>
  </si>
  <si>
    <t>8th &amp; 14th Floor (Part Refuge Area)</t>
  </si>
  <si>
    <t>Approved Plans, CC</t>
  </si>
  <si>
    <t>Shree Jari Mari Developers LLP</t>
  </si>
  <si>
    <t>Ambarnath</t>
  </si>
  <si>
    <t>Kalyan-Dombivli Municipal Corporation (KDMC)</t>
  </si>
  <si>
    <t>Ground Floor for Commercial &amp; Parking</t>
  </si>
  <si>
    <t>Builder</t>
  </si>
  <si>
    <t>99A</t>
  </si>
  <si>
    <t>Void Area</t>
  </si>
  <si>
    <t>1st Floor For Residential</t>
  </si>
  <si>
    <t>1st Floor For Residential &amp; Commercial</t>
  </si>
  <si>
    <t>Office</t>
  </si>
  <si>
    <t>Wing A Shop</t>
  </si>
  <si>
    <t>Grand Total</t>
  </si>
  <si>
    <t xml:space="preserve">Please provide the RERA certificate for wing C.  </t>
  </si>
  <si>
    <t>On site we met Mr. Ganesh - 9768850009.</t>
  </si>
  <si>
    <t xml:space="preserve">DC </t>
  </si>
  <si>
    <t>Rushikesh</t>
  </si>
  <si>
    <t>costsheet</t>
  </si>
  <si>
    <t>Office No. 1031, Wing J, Akshar Business Park, Plot No. 03 Sector 25, Near APMC Market, Vashi, 
Navi Mumbai, Maharashtra 400703 TEL: 022-46090378/79/80
E mail : vsjcapf@gmail.com. Web site : www.vsjadon.com</t>
  </si>
  <si>
    <t>6000 to 6100</t>
  </si>
  <si>
    <t>KDMC/TPD/BP/27Village/2021-22/26/58</t>
  </si>
  <si>
    <t>Wing A = P51700046157
Wing B = P51700045479
Wing C = P51700077417</t>
  </si>
  <si>
    <t>Plot A (Wing A &amp; B) &amp; Plot B (Wing C)</t>
  </si>
  <si>
    <t>3 Wings</t>
  </si>
  <si>
    <t>Wing C</t>
  </si>
  <si>
    <t>2nd, 4th, 6th, 10th, 12th &amp; 16th Floor For Residential</t>
  </si>
  <si>
    <t>18th Floor For Residential (Part Refuge Area)</t>
  </si>
  <si>
    <t>8th &amp; 14th Floor For Residential (Part Refuge Area)</t>
  </si>
  <si>
    <t>13th Floor For Residential (Part Refuge Area)</t>
  </si>
  <si>
    <t>3rd, 5th, 7th, 9th, 11th, 15th, 17th &amp; 19th Floor</t>
  </si>
  <si>
    <t>18th Floor (Part Refuge Area)</t>
  </si>
  <si>
    <t>1BHK</t>
  </si>
  <si>
    <t>2BHK</t>
  </si>
  <si>
    <t>8th &amp; 13th Floor (Part Refuge Area)</t>
  </si>
  <si>
    <t>17th Floor For Recreation Floor</t>
  </si>
  <si>
    <t>1st to 7th, 9th to 12th &amp; 14th to 16th Floor For Residential</t>
  </si>
  <si>
    <t>Wing C Shop</t>
  </si>
  <si>
    <t>Residential Area Details : Flats</t>
  </si>
  <si>
    <t>3rd, 5th, 7th, 9th, 11th, 15th &amp; 17th Floor</t>
  </si>
  <si>
    <t>2nd, 4th, 6th, 10th, 12th &amp; 16th Floor for Residential</t>
  </si>
  <si>
    <t>Flats - 397, Shops - 40, Office - 4</t>
  </si>
  <si>
    <t>As per RERA - Wing A = 31/12/2025
                      Wing B = 31/12/2026
                      Wing C = 31/12/2027</t>
  </si>
  <si>
    <t>Plot A (Wing A) = Gr + 1st to 18th Floor</t>
  </si>
  <si>
    <t>Plot B (Wing C) = Gr + 1st to 17th Floor</t>
  </si>
  <si>
    <t>Plot A (Wing B) = Gr + 1st to 19th Floor</t>
  </si>
  <si>
    <t>Plot A (Wing A) = Gr + 1st to 18th Floor
          (Wing B) = Gr + 1st to 19th Floor
Plot B (Wing C) = Gr + 1st to 17th Floor</t>
  </si>
  <si>
    <t>https://maps.app.goo.gl/NtGDLHoBwpWjgZp18</t>
  </si>
  <si>
    <t>7.1KM from Kalyan Railway Station</t>
  </si>
  <si>
    <t>Plot A = Wing A - Gr + 1st to 18th Floor
             Wing B - Gr + 1st to 19th Floor
Plot B = Wing C - Gr + 1st to 16th + 17th Floor (Recreational Floor)</t>
  </si>
  <si>
    <t>6 M W Road</t>
  </si>
  <si>
    <t>Other Plot</t>
  </si>
  <si>
    <t>Open Plot</t>
  </si>
  <si>
    <t>Gym, Club house, Multipurpose Turf, Seating Area, Open Gym Area, Gazebo, Kids Play Area, Jogging Track, Star Gazing Zone, Accupressure Walkway, etc.</t>
  </si>
  <si>
    <t>https://www.vaidikisignature.com/</t>
  </si>
  <si>
    <t>We have updated CC &amp; Approved Floor plan of Wing A, B &amp; C on (17/08/2024).</t>
  </si>
  <si>
    <t>19.202149,73.129815</t>
  </si>
  <si>
    <t>Latitude, Longitude</t>
  </si>
  <si>
    <t>-</t>
  </si>
  <si>
    <t>Mangesh Laxman Bapardekar</t>
  </si>
  <si>
    <t>12000 to 13000 bhargav cost sheet on 18/11/2024</t>
  </si>
  <si>
    <t>We considered Gross carpet area = Net carpet + Enclose balcony + Chajja Area +E.P.Area</t>
  </si>
  <si>
    <t xml:space="preserve">Fire Noc
Valid Up to: </t>
  </si>
  <si>
    <t>FIRE/HQ/KDMC/OW/2022/212</t>
  </si>
  <si>
    <t>Wing A = St + 14th Floor (43.20M Height)
Wing B = St/Gr + 22nd Floor (66M Height)
Wing C = St/Gr + 16th Floor (48.90M Height)</t>
  </si>
  <si>
    <t>We have updated Fire Noc on 17/12/2024.</t>
  </si>
  <si>
    <t>Mr.Ganesh Shinde 9867239489</t>
  </si>
  <si>
    <t>Mr. Deepak 7710040494/ Mr. Shivkant 7498648109</t>
  </si>
  <si>
    <t>13000 to 14000 bhargav cost sheet on 21/06/2025</t>
  </si>
  <si>
    <t>Recommended Rates/Other Charges of the Property have been revised on 27/05/2024, 18/11/2024 &amp; 21/06/2025.</t>
  </si>
  <si>
    <t>Pranita Mhatre</t>
  </si>
  <si>
    <t>Wing A, B &amp; C = Construction work is in process at the time of Visit. Internal Visit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</si>
</sst>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"/>
    <numFmt numFmtId="170" formatCode="0.0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29" xfId="0" applyFont="1" applyBorder="1"/>
    <xf numFmtId="0" fontId="7" fillId="0" borderId="31" xfId="1" applyFont="1" applyBorder="1"/>
    <xf numFmtId="0" fontId="24" fillId="0" borderId="1" xfId="0" applyFont="1" applyBorder="1"/>
    <xf numFmtId="0" fontId="7" fillId="0" borderId="23" xfId="1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6" fillId="2" borderId="0" xfId="1" applyFont="1" applyFill="1"/>
    <xf numFmtId="14" fontId="16" fillId="2" borderId="0" xfId="1" applyNumberFormat="1" applyFont="1" applyFill="1"/>
    <xf numFmtId="169" fontId="7" fillId="0" borderId="0" xfId="1" applyNumberFormat="1" applyFont="1"/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70" fontId="12" fillId="0" borderId="0" xfId="1" applyNumberFormat="1" applyFont="1"/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7" xfId="1" applyNumberFormat="1" applyFont="1" applyBorder="1" applyAlignment="1" applyProtection="1">
      <alignment horizontal="left" vertical="top" wrapText="1"/>
      <protection locked="0"/>
    </xf>
    <xf numFmtId="2" fontId="6" fillId="0" borderId="20" xfId="1" applyNumberFormat="1" applyFont="1" applyBorder="1" applyAlignment="1" applyProtection="1">
      <alignment horizontal="left" vertical="top" wrapText="1"/>
      <protection locked="0"/>
    </xf>
    <xf numFmtId="2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9" fontId="6" fillId="0" borderId="7" xfId="1" applyNumberFormat="1" applyFont="1" applyBorder="1" applyAlignment="1" applyProtection="1">
      <alignment horizontal="left" vertical="top" wrapText="1"/>
      <protection locked="0"/>
    </xf>
    <xf numFmtId="169" fontId="6" fillId="0" borderId="20" xfId="1" applyNumberFormat="1" applyFont="1" applyBorder="1" applyAlignment="1" applyProtection="1">
      <alignment horizontal="left" vertical="top" wrapText="1"/>
      <protection locked="0"/>
    </xf>
    <xf numFmtId="169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3" borderId="7" xfId="0" applyNumberFormat="1" applyFont="1" applyFill="1" applyBorder="1" applyAlignment="1" applyProtection="1">
      <alignment vertical="top" wrapText="1"/>
      <protection locked="0"/>
    </xf>
    <xf numFmtId="1" fontId="8" fillId="3" borderId="20" xfId="0" applyNumberFormat="1" applyFont="1" applyFill="1" applyBorder="1" applyAlignment="1" applyProtection="1">
      <alignment vertical="top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1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441</xdr:row>
      <xdr:rowOff>95250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247900" y="6056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9</xdr:col>
      <xdr:colOff>617765</xdr:colOff>
      <xdr:row>380</xdr:row>
      <xdr:rowOff>159497</xdr:rowOff>
    </xdr:from>
    <xdr:to>
      <xdr:col>10</xdr:col>
      <xdr:colOff>79603</xdr:colOff>
      <xdr:row>382</xdr:row>
      <xdr:rowOff>2241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764441" y="72773615"/>
          <a:ext cx="223838" cy="246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A</a:t>
          </a:r>
        </a:p>
      </xdr:txBody>
    </xdr:sp>
    <xdr:clientData/>
  </xdr:twoCellAnchor>
  <xdr:twoCellAnchor>
    <xdr:from>
      <xdr:col>13</xdr:col>
      <xdr:colOff>566303</xdr:colOff>
      <xdr:row>380</xdr:row>
      <xdr:rowOff>159497</xdr:rowOff>
    </xdr:from>
    <xdr:to>
      <xdr:col>14</xdr:col>
      <xdr:colOff>44950</xdr:colOff>
      <xdr:row>382</xdr:row>
      <xdr:rowOff>5416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682538" y="72773615"/>
          <a:ext cx="319088" cy="249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</a:t>
          </a:r>
        </a:p>
      </xdr:txBody>
    </xdr:sp>
    <xdr:clientData/>
  </xdr:twoCellAnchor>
  <xdr:twoCellAnchor>
    <xdr:from>
      <xdr:col>13</xdr:col>
      <xdr:colOff>725847</xdr:colOff>
      <xdr:row>382</xdr:row>
      <xdr:rowOff>5416</xdr:rowOff>
    </xdr:from>
    <xdr:to>
      <xdr:col>15</xdr:col>
      <xdr:colOff>217768</xdr:colOff>
      <xdr:row>386</xdr:row>
      <xdr:rowOff>27641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stCxn id="43" idx="2"/>
        </xdr:cNvCxnSpPr>
      </xdr:nvCxnSpPr>
      <xdr:spPr>
        <a:xfrm>
          <a:off x="11842082" y="73022945"/>
          <a:ext cx="993510" cy="817843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168088</xdr:colOff>
      <xdr:row>428</xdr:row>
      <xdr:rowOff>78441</xdr:rowOff>
    </xdr:from>
    <xdr:to>
      <xdr:col>4</xdr:col>
      <xdr:colOff>37562</xdr:colOff>
      <xdr:row>441</xdr:row>
      <xdr:rowOff>100854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82553735"/>
          <a:ext cx="3220033" cy="26445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147332</xdr:colOff>
      <xdr:row>428</xdr:row>
      <xdr:rowOff>76792</xdr:rowOff>
    </xdr:from>
    <xdr:to>
      <xdr:col>7</xdr:col>
      <xdr:colOff>1034097</xdr:colOff>
      <xdr:row>446</xdr:row>
      <xdr:rowOff>54379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 rot="16200000">
          <a:off x="3475109" y="82756403"/>
          <a:ext cx="3527611" cy="3280341"/>
          <a:chOff x="1333502" y="84279440"/>
          <a:chExt cx="3608293" cy="3201580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33502" y="84279440"/>
            <a:ext cx="3608293" cy="320158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039470" y="84671647"/>
            <a:ext cx="1916205" cy="86053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00B050"/>
              </a:solidFill>
            </a:endParaRP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2251583" y="86321314"/>
            <a:ext cx="1330298" cy="56669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00B050"/>
              </a:solidFill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 rot="5400000">
            <a:off x="1801476" y="84980370"/>
            <a:ext cx="1021879" cy="44065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800" b="1">
                <a:solidFill>
                  <a:srgbClr val="FF0000"/>
                </a:solidFill>
              </a:rPr>
              <a:t>Wing A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 rot="5400000">
            <a:off x="3046128" y="85018661"/>
            <a:ext cx="1021879" cy="44065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800" b="1">
                <a:solidFill>
                  <a:srgbClr val="FF0000"/>
                </a:solidFill>
              </a:rPr>
              <a:t>Wing B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 rot="5400000">
            <a:off x="1524531" y="86533597"/>
            <a:ext cx="1021879" cy="44065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>
                <a:solidFill>
                  <a:srgbClr val="FF0000"/>
                </a:solidFill>
              </a:rPr>
              <a:t>Wing C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 rot="5400000">
            <a:off x="3735290" y="84951997"/>
            <a:ext cx="1021879" cy="44065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800" b="1">
                <a:solidFill>
                  <a:sysClr val="windowText" lastClr="000000"/>
                </a:solidFill>
              </a:rPr>
              <a:t>Plot A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 rot="5400000">
            <a:off x="3229424" y="86610750"/>
            <a:ext cx="1021879" cy="44065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800" b="1">
                <a:solidFill>
                  <a:sysClr val="windowText" lastClr="000000"/>
                </a:solidFill>
              </a:rPr>
              <a:t>Plot B</a:t>
            </a:r>
          </a:p>
        </xdr:txBody>
      </xdr:sp>
    </xdr:grpSp>
    <xdr:clientData/>
  </xdr:twoCellAnchor>
  <xdr:twoCellAnchor editAs="oneCell">
    <xdr:from>
      <xdr:col>9</xdr:col>
      <xdr:colOff>123265</xdr:colOff>
      <xdr:row>131</xdr:row>
      <xdr:rowOff>145676</xdr:rowOff>
    </xdr:from>
    <xdr:to>
      <xdr:col>13</xdr:col>
      <xdr:colOff>829896</xdr:colOff>
      <xdr:row>139</xdr:row>
      <xdr:rowOff>65362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69941" y="28137970"/>
          <a:ext cx="3676190" cy="1533333"/>
        </a:xfrm>
        <a:prstGeom prst="rect">
          <a:avLst/>
        </a:prstGeom>
      </xdr:spPr>
    </xdr:pic>
    <xdr:clientData/>
  </xdr:twoCellAnchor>
  <xdr:twoCellAnchor editAs="oneCell">
    <xdr:from>
      <xdr:col>9</xdr:col>
      <xdr:colOff>166968</xdr:colOff>
      <xdr:row>306</xdr:row>
      <xdr:rowOff>184337</xdr:rowOff>
    </xdr:from>
    <xdr:to>
      <xdr:col>19</xdr:col>
      <xdr:colOff>159906</xdr:colOff>
      <xdr:row>317</xdr:row>
      <xdr:rowOff>125573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3644" y="64483690"/>
          <a:ext cx="7063850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605120</xdr:colOff>
      <xdr:row>268</xdr:row>
      <xdr:rowOff>190500</xdr:rowOff>
    </xdr:from>
    <xdr:to>
      <xdr:col>18</xdr:col>
      <xdr:colOff>13600</xdr:colOff>
      <xdr:row>277</xdr:row>
      <xdr:rowOff>67147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1796" y="56825029"/>
          <a:ext cx="5874275" cy="1692000"/>
        </a:xfrm>
        <a:prstGeom prst="rect">
          <a:avLst/>
        </a:prstGeom>
      </xdr:spPr>
    </xdr:pic>
    <xdr:clientData/>
  </xdr:twoCellAnchor>
  <xdr:twoCellAnchor editAs="oneCell">
    <xdr:from>
      <xdr:col>9</xdr:col>
      <xdr:colOff>459441</xdr:colOff>
      <xdr:row>194</xdr:row>
      <xdr:rowOff>392206</xdr:rowOff>
    </xdr:from>
    <xdr:to>
      <xdr:col>15</xdr:col>
      <xdr:colOff>564197</xdr:colOff>
      <xdr:row>202</xdr:row>
      <xdr:rowOff>175147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06117" y="42122912"/>
          <a:ext cx="4575904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</xdr:colOff>
      <xdr:row>459</xdr:row>
      <xdr:rowOff>38100</xdr:rowOff>
    </xdr:from>
    <xdr:to>
      <xdr:col>7</xdr:col>
      <xdr:colOff>507162</xdr:colOff>
      <xdr:row>480</xdr:row>
      <xdr:rowOff>157575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4862" y="88115775"/>
          <a:ext cx="539825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428625</xdr:colOff>
      <xdr:row>481</xdr:row>
      <xdr:rowOff>66675</xdr:rowOff>
    </xdr:from>
    <xdr:to>
      <xdr:col>7</xdr:col>
      <xdr:colOff>17175</xdr:colOff>
      <xdr:row>500</xdr:row>
      <xdr:rowOff>46201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0625" y="92544900"/>
          <a:ext cx="4522500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142875</xdr:colOff>
      <xdr:row>486</xdr:row>
      <xdr:rowOff>85725</xdr:rowOff>
    </xdr:from>
    <xdr:to>
      <xdr:col>4</xdr:col>
      <xdr:colOff>238125</xdr:colOff>
      <xdr:row>494</xdr:row>
      <xdr:rowOff>104775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52700" y="93564075"/>
          <a:ext cx="1038225" cy="161925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533400</xdr:colOff>
      <xdr:row>487</xdr:row>
      <xdr:rowOff>66675</xdr:rowOff>
    </xdr:from>
    <xdr:to>
      <xdr:col>5</xdr:col>
      <xdr:colOff>209550</xdr:colOff>
      <xdr:row>493</xdr:row>
      <xdr:rowOff>66675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886200" y="93745050"/>
          <a:ext cx="457200" cy="120015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291352</xdr:colOff>
      <xdr:row>488</xdr:row>
      <xdr:rowOff>190500</xdr:rowOff>
    </xdr:from>
    <xdr:to>
      <xdr:col>4</xdr:col>
      <xdr:colOff>190500</xdr:colOff>
      <xdr:row>490</xdr:row>
      <xdr:rowOff>179294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700617" y="94768147"/>
          <a:ext cx="840442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FF00"/>
              </a:solidFill>
            </a:rPr>
            <a:t>Plot A </a:t>
          </a:r>
        </a:p>
      </xdr:txBody>
    </xdr:sp>
    <xdr:clientData/>
  </xdr:twoCellAnchor>
  <xdr:twoCellAnchor>
    <xdr:from>
      <xdr:col>4</xdr:col>
      <xdr:colOff>459441</xdr:colOff>
      <xdr:row>485</xdr:row>
      <xdr:rowOff>112059</xdr:rowOff>
    </xdr:from>
    <xdr:to>
      <xdr:col>5</xdr:col>
      <xdr:colOff>515471</xdr:colOff>
      <xdr:row>487</xdr:row>
      <xdr:rowOff>100853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10000" y="94084588"/>
          <a:ext cx="840442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FF00"/>
              </a:solidFill>
            </a:rPr>
            <a:t>Plot B</a:t>
          </a:r>
        </a:p>
      </xdr:txBody>
    </xdr:sp>
    <xdr:clientData/>
  </xdr:twoCellAnchor>
  <xdr:twoCellAnchor>
    <xdr:from>
      <xdr:col>8</xdr:col>
      <xdr:colOff>1079688</xdr:colOff>
      <xdr:row>410</xdr:row>
      <xdr:rowOff>186578</xdr:rowOff>
    </xdr:from>
    <xdr:to>
      <xdr:col>9</xdr:col>
      <xdr:colOff>734772</xdr:colOff>
      <xdr:row>412</xdr:row>
      <xdr:rowOff>101667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51988" y="80520428"/>
          <a:ext cx="817134" cy="315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Wing</a:t>
          </a:r>
          <a:r>
            <a:rPr lang="en-IN" sz="1400" b="1" baseline="0">
              <a:solidFill>
                <a:srgbClr val="FF0000"/>
              </a:solidFill>
            </a:rPr>
            <a:t> C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481853</xdr:colOff>
      <xdr:row>50</xdr:row>
      <xdr:rowOff>403412</xdr:rowOff>
    </xdr:from>
    <xdr:to>
      <xdr:col>17</xdr:col>
      <xdr:colOff>416403</xdr:colOff>
      <xdr:row>55</xdr:row>
      <xdr:rowOff>170512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2824" t="34184" r="13678" b="43878"/>
        <a:stretch/>
      </xdr:blipFill>
      <xdr:spPr>
        <a:xfrm>
          <a:off x="7463118" y="12393706"/>
          <a:ext cx="6960638" cy="1604865"/>
        </a:xfrm>
        <a:prstGeom prst="rect">
          <a:avLst/>
        </a:prstGeom>
      </xdr:spPr>
    </xdr:pic>
    <xdr:clientData/>
  </xdr:twoCellAnchor>
  <xdr:twoCellAnchor>
    <xdr:from>
      <xdr:col>9</xdr:col>
      <xdr:colOff>667096</xdr:colOff>
      <xdr:row>380</xdr:row>
      <xdr:rowOff>36715</xdr:rowOff>
    </xdr:from>
    <xdr:to>
      <xdr:col>18</xdr:col>
      <xdr:colOff>223469</xdr:colOff>
      <xdr:row>420</xdr:row>
      <xdr:rowOff>91074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7BE97CD-3C5C-0A0E-94F7-5F365F35AE76}"/>
            </a:ext>
          </a:extLst>
        </xdr:cNvPr>
        <xdr:cNvGrpSpPr/>
      </xdr:nvGrpSpPr>
      <xdr:grpSpPr>
        <a:xfrm>
          <a:off x="9013237" y="73735562"/>
          <a:ext cx="6208185" cy="7925371"/>
          <a:chOff x="243840" y="144000"/>
          <a:chExt cx="6176768" cy="796392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FED4A2B6-5006-CF17-F646-08BC702C08ED}"/>
              </a:ext>
            </a:extLst>
          </xdr:cNvPr>
          <xdr:cNvGrpSpPr/>
        </xdr:nvGrpSpPr>
        <xdr:grpSpPr>
          <a:xfrm>
            <a:off x="243840" y="144000"/>
            <a:ext cx="6176768" cy="2880000"/>
            <a:chOff x="243840" y="144000"/>
            <a:chExt cx="6176768" cy="2880000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14D9895B-C4B3-E612-87FE-2FD0838939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840" y="14400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9277497F-7909-3915-E65D-F2FB212BB5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83655" y="144000"/>
              <a:ext cx="3836953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9819CF41-76BC-CD3E-B802-3E47A0E7D106}"/>
              </a:ext>
            </a:extLst>
          </xdr:cNvPr>
          <xdr:cNvGrpSpPr/>
        </xdr:nvGrpSpPr>
        <xdr:grpSpPr>
          <a:xfrm>
            <a:off x="1352330" y="3225960"/>
            <a:ext cx="3959788" cy="2520000"/>
            <a:chOff x="511898" y="3225960"/>
            <a:chExt cx="3959788" cy="252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365FEB30-16BA-7994-F49D-FC13B93F90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1898" y="32259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E0D91C89-1CA4-3A32-976D-A7E9DF1A79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83655" y="32259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3F2A61F0-5E50-48DE-1F5D-C1D4178F6424}"/>
              </a:ext>
            </a:extLst>
          </xdr:cNvPr>
          <xdr:cNvGrpSpPr/>
        </xdr:nvGrpSpPr>
        <xdr:grpSpPr>
          <a:xfrm>
            <a:off x="721030" y="5947920"/>
            <a:ext cx="5222388" cy="2160000"/>
            <a:chOff x="781617" y="5947920"/>
            <a:chExt cx="5222388" cy="216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1B8D5087-BBFB-F0F6-9EEC-8276AC3BDB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85693" y="594792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A892E27-5997-0F0F-31A8-06D59B3C5F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83655" y="594792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97C40AD9-B8A4-297D-D851-D1C3FBC6EA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81617" y="594792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654423</xdr:colOff>
      <xdr:row>382</xdr:row>
      <xdr:rowOff>35859</xdr:rowOff>
    </xdr:from>
    <xdr:to>
      <xdr:col>7</xdr:col>
      <xdr:colOff>457201</xdr:colOff>
      <xdr:row>422</xdr:row>
      <xdr:rowOff>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EFD24CF-EC35-6CED-C01F-A49F0B614DB8}"/>
            </a:ext>
          </a:extLst>
        </xdr:cNvPr>
        <xdr:cNvGrpSpPr/>
      </xdr:nvGrpSpPr>
      <xdr:grpSpPr>
        <a:xfrm>
          <a:off x="654423" y="74129153"/>
          <a:ext cx="5647766" cy="7835154"/>
          <a:chOff x="965091" y="0"/>
          <a:chExt cx="4648629" cy="7836061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7004B19F-899E-324A-FFED-06C378E243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6337" y="5862774"/>
            <a:ext cx="1478595" cy="19732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4D906CB5-6876-18E4-A920-3692819B7E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7861" y="3596237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14B30167-65C2-72D7-42F2-A78F9655CF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5091" y="0"/>
            <a:ext cx="4648629" cy="3489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9E8EBE08-82D9-C874-660F-EBFE9280F5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170" y="5862774"/>
            <a:ext cx="1478595" cy="19732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59FA49E6-22E0-A36B-352A-9EDD5446DA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5091" y="3596237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217561</xdr:colOff>
      <xdr:row>26</xdr:row>
      <xdr:rowOff>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27</xdr:row>
      <xdr:rowOff>52161</xdr:rowOff>
    </xdr:from>
    <xdr:to>
      <xdr:col>3</xdr:col>
      <xdr:colOff>217562</xdr:colOff>
      <xdr:row>39</xdr:row>
      <xdr:rowOff>106161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5206867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1038132</xdr:colOff>
      <xdr:row>27</xdr:row>
      <xdr:rowOff>52161</xdr:rowOff>
    </xdr:from>
    <xdr:to>
      <xdr:col>15</xdr:col>
      <xdr:colOff>23046</xdr:colOff>
      <xdr:row>39</xdr:row>
      <xdr:rowOff>106161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2897" y="5206867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440626</xdr:colOff>
      <xdr:row>27</xdr:row>
      <xdr:rowOff>68293</xdr:rowOff>
    </xdr:from>
    <xdr:to>
      <xdr:col>7</xdr:col>
      <xdr:colOff>815068</xdr:colOff>
      <xdr:row>39</xdr:row>
      <xdr:rowOff>122293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7802" y="5222999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tGDLHoBwpWjgZp1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59"/>
  <sheetViews>
    <sheetView tabSelected="1" view="pageBreakPreview" topLeftCell="A71" zoomScale="85" zoomScaleNormal="100" zoomScaleSheetLayoutView="85" workbookViewId="0">
      <selection activeCell="C80" sqref="C80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9.1093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83" t="s">
        <v>211</v>
      </c>
      <c r="B1" s="183"/>
      <c r="C1" s="183"/>
      <c r="D1" s="183"/>
      <c r="E1" s="183"/>
      <c r="F1" s="183"/>
      <c r="G1" s="183"/>
      <c r="H1" s="183"/>
    </row>
    <row r="2" spans="1:8" ht="16.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3">
      <c r="A3" s="170" t="s">
        <v>1</v>
      </c>
      <c r="B3" s="170"/>
      <c r="C3" s="170"/>
      <c r="D3" s="170"/>
      <c r="E3" s="170" t="str">
        <f ca="1">TEXT(TODAY(),"DD/MM/YYYY")</f>
        <v>14/08/2025</v>
      </c>
      <c r="F3" s="170"/>
      <c r="G3" s="170"/>
      <c r="H3" s="170"/>
    </row>
    <row r="4" spans="1:8" ht="15" customHeight="1" x14ac:dyDescent="0.3">
      <c r="A4" s="170" t="s">
        <v>2</v>
      </c>
      <c r="B4" s="170"/>
      <c r="C4" s="170"/>
      <c r="D4" s="170"/>
      <c r="E4" s="170" t="s">
        <v>177</v>
      </c>
      <c r="F4" s="170"/>
      <c r="G4" s="170"/>
      <c r="H4" s="170"/>
    </row>
    <row r="5" spans="1:8" x14ac:dyDescent="0.3">
      <c r="A5" s="170" t="s">
        <v>3</v>
      </c>
      <c r="B5" s="170"/>
      <c r="C5" s="170"/>
      <c r="D5" s="170"/>
      <c r="E5" s="182">
        <v>45881</v>
      </c>
      <c r="F5" s="170"/>
      <c r="G5" s="170"/>
      <c r="H5" s="170"/>
    </row>
    <row r="6" spans="1:8" ht="16.5" customHeight="1" x14ac:dyDescent="0.3">
      <c r="A6" s="170" t="s">
        <v>4</v>
      </c>
      <c r="B6" s="170"/>
      <c r="C6" s="170"/>
      <c r="D6" s="170"/>
      <c r="E6" s="170" t="s">
        <v>194</v>
      </c>
      <c r="F6" s="170"/>
      <c r="G6" s="170"/>
      <c r="H6" s="170"/>
    </row>
    <row r="7" spans="1:8" ht="15" customHeight="1" x14ac:dyDescent="0.3">
      <c r="A7" s="170" t="s">
        <v>5</v>
      </c>
      <c r="B7" s="170"/>
      <c r="C7" s="170"/>
      <c r="D7" s="170"/>
      <c r="E7" s="170" t="str">
        <f>E6</f>
        <v>Shree Jari Mari Developers LLP</v>
      </c>
      <c r="F7" s="170"/>
      <c r="G7" s="170"/>
      <c r="H7" s="170"/>
    </row>
    <row r="8" spans="1:8" x14ac:dyDescent="0.3">
      <c r="A8" s="170" t="s">
        <v>6</v>
      </c>
      <c r="B8" s="170"/>
      <c r="C8" s="170"/>
      <c r="D8" s="170"/>
      <c r="E8" s="93" t="s">
        <v>178</v>
      </c>
      <c r="F8" s="92"/>
      <c r="G8" s="92"/>
      <c r="H8" s="92"/>
    </row>
    <row r="9" spans="1:8" x14ac:dyDescent="0.3">
      <c r="A9" s="170" t="s">
        <v>174</v>
      </c>
      <c r="B9" s="170"/>
      <c r="C9" s="170"/>
      <c r="D9" s="170"/>
      <c r="E9" s="170" t="s">
        <v>258</v>
      </c>
      <c r="F9" s="170"/>
      <c r="G9" s="170"/>
      <c r="H9" s="170"/>
    </row>
    <row r="10" spans="1:8" x14ac:dyDescent="0.3">
      <c r="A10" s="170" t="s">
        <v>175</v>
      </c>
      <c r="B10" s="170"/>
      <c r="C10" s="170"/>
      <c r="D10" s="170"/>
      <c r="E10" s="170" t="s">
        <v>259</v>
      </c>
      <c r="F10" s="170"/>
      <c r="G10" s="170"/>
      <c r="H10" s="170"/>
    </row>
    <row r="11" spans="1:8" x14ac:dyDescent="0.3">
      <c r="A11" s="170" t="s">
        <v>7</v>
      </c>
      <c r="B11" s="170"/>
      <c r="C11" s="170"/>
      <c r="D11" s="170"/>
      <c r="E11" s="170" t="s">
        <v>215</v>
      </c>
      <c r="F11" s="170"/>
      <c r="G11" s="170"/>
      <c r="H11" s="170"/>
    </row>
    <row r="12" spans="1:8" ht="18" customHeight="1" x14ac:dyDescent="0.3">
      <c r="A12" s="113" t="s">
        <v>8</v>
      </c>
      <c r="B12" s="113"/>
      <c r="C12" s="113"/>
      <c r="D12" s="113"/>
      <c r="E12" s="139" t="s">
        <v>193</v>
      </c>
      <c r="F12" s="139"/>
      <c r="G12" s="139"/>
      <c r="H12" s="139"/>
    </row>
    <row r="13" spans="1:8" ht="48" customHeight="1" x14ac:dyDescent="0.3">
      <c r="A13" s="113" t="s">
        <v>9</v>
      </c>
      <c r="B13" s="113"/>
      <c r="C13" s="113"/>
      <c r="D13" s="113"/>
      <c r="E13" s="139" t="s">
        <v>214</v>
      </c>
      <c r="F13" s="170"/>
      <c r="G13" s="170"/>
      <c r="H13" s="170"/>
    </row>
    <row r="14" spans="1:8" ht="30.75" customHeight="1" x14ac:dyDescent="0.3">
      <c r="A14" s="138" t="s">
        <v>10</v>
      </c>
      <c r="B14" s="138"/>
      <c r="C14" s="13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The Vaidiki Signature, Survey No.45 H.No.9/3, near Varsha Complex, Malangad Road, , Adivali Dhokali, Kalyan, Ambarnath, Thane - 421306.</v>
      </c>
      <c r="D14" s="138"/>
      <c r="E14" s="138"/>
      <c r="F14" s="138"/>
      <c r="G14" s="138"/>
      <c r="H14" s="138"/>
    </row>
    <row r="15" spans="1:8" x14ac:dyDescent="0.3">
      <c r="A15" s="139" t="s">
        <v>179</v>
      </c>
      <c r="B15" s="139"/>
      <c r="C15" s="139" t="s">
        <v>180</v>
      </c>
      <c r="D15" s="139"/>
      <c r="E15" s="139"/>
      <c r="F15" s="139"/>
      <c r="G15" s="139"/>
      <c r="H15" s="139"/>
    </row>
    <row r="16" spans="1:8" ht="15.75" hidden="1" customHeight="1" x14ac:dyDescent="0.3">
      <c r="A16" s="139" t="s">
        <v>173</v>
      </c>
      <c r="B16" s="139"/>
      <c r="C16" s="139" t="s">
        <v>30</v>
      </c>
      <c r="D16" s="139"/>
      <c r="E16" s="139"/>
      <c r="F16" s="139"/>
      <c r="G16" s="139"/>
      <c r="H16" s="139"/>
    </row>
    <row r="17" spans="1:8" ht="15.75" customHeight="1" x14ac:dyDescent="0.3">
      <c r="A17" s="138" t="s">
        <v>11</v>
      </c>
      <c r="B17" s="138"/>
      <c r="C17" s="170" t="s">
        <v>182</v>
      </c>
      <c r="D17" s="170"/>
      <c r="E17" s="138" t="s">
        <v>74</v>
      </c>
      <c r="F17" s="138"/>
      <c r="G17" s="139" t="s">
        <v>181</v>
      </c>
      <c r="H17" s="139"/>
    </row>
    <row r="18" spans="1:8" x14ac:dyDescent="0.3">
      <c r="A18" s="113" t="s">
        <v>13</v>
      </c>
      <c r="B18" s="113"/>
      <c r="C18" s="139" t="s">
        <v>184</v>
      </c>
      <c r="D18" s="139"/>
      <c r="E18" s="138" t="s">
        <v>12</v>
      </c>
      <c r="F18" s="138"/>
      <c r="G18" s="181" t="s">
        <v>183</v>
      </c>
      <c r="H18" s="181"/>
    </row>
    <row r="19" spans="1:8" x14ac:dyDescent="0.3">
      <c r="A19" s="113" t="s">
        <v>75</v>
      </c>
      <c r="B19" s="113"/>
      <c r="C19" s="139" t="s">
        <v>195</v>
      </c>
      <c r="D19" s="139"/>
      <c r="E19" s="138" t="s">
        <v>14</v>
      </c>
      <c r="F19" s="138"/>
      <c r="G19" s="139">
        <v>421306</v>
      </c>
      <c r="H19" s="139"/>
    </row>
    <row r="20" spans="1:8" ht="32.25" customHeight="1" x14ac:dyDescent="0.3">
      <c r="A20" s="113" t="s">
        <v>127</v>
      </c>
      <c r="B20" s="113"/>
      <c r="C20" s="139" t="s">
        <v>185</v>
      </c>
      <c r="D20" s="139"/>
      <c r="E20" s="138" t="s">
        <v>15</v>
      </c>
      <c r="F20" s="138"/>
      <c r="G20" s="139" t="s">
        <v>240</v>
      </c>
      <c r="H20" s="139"/>
    </row>
    <row r="21" spans="1:8" ht="15" customHeight="1" x14ac:dyDescent="0.3">
      <c r="A21" s="138" t="s">
        <v>78</v>
      </c>
      <c r="B21" s="138"/>
      <c r="C21" s="138"/>
      <c r="D21" s="138"/>
      <c r="E21" s="170" t="s">
        <v>16</v>
      </c>
      <c r="F21" s="170"/>
      <c r="G21" s="170"/>
      <c r="H21" s="170"/>
    </row>
    <row r="22" spans="1:8" ht="18.75" customHeight="1" x14ac:dyDescent="0.3">
      <c r="A22" s="138"/>
      <c r="B22" s="138"/>
      <c r="C22" s="138"/>
      <c r="D22" s="138"/>
      <c r="E22" s="170"/>
      <c r="F22" s="170"/>
      <c r="G22" s="170"/>
      <c r="H22" s="170"/>
    </row>
    <row r="23" spans="1:8" ht="15" customHeight="1" x14ac:dyDescent="0.3">
      <c r="A23" s="138" t="s">
        <v>17</v>
      </c>
      <c r="B23" s="138"/>
      <c r="C23" s="138"/>
      <c r="D23" s="138"/>
      <c r="E23" s="139" t="s">
        <v>18</v>
      </c>
      <c r="F23" s="139"/>
      <c r="G23" s="139"/>
      <c r="H23" s="139"/>
    </row>
    <row r="24" spans="1:8" ht="15" customHeight="1" x14ac:dyDescent="0.3">
      <c r="A24" s="113" t="s">
        <v>19</v>
      </c>
      <c r="B24" s="113"/>
      <c r="C24" s="113"/>
      <c r="D24" s="113"/>
      <c r="E24" s="139" t="str">
        <f>IF(AND(G18="Mumbai"),"Upper Class","Middle Class")</f>
        <v>Middle Class</v>
      </c>
      <c r="F24" s="139"/>
      <c r="G24" s="139"/>
      <c r="H24" s="139"/>
    </row>
    <row r="25" spans="1:8" x14ac:dyDescent="0.3">
      <c r="A25" s="113" t="s">
        <v>20</v>
      </c>
      <c r="B25" s="113"/>
      <c r="C25" s="113"/>
      <c r="D25" s="113"/>
      <c r="E25" s="139" t="s">
        <v>21</v>
      </c>
      <c r="F25" s="139"/>
      <c r="G25" s="139"/>
      <c r="H25" s="139"/>
    </row>
    <row r="26" spans="1:8" ht="15.75" customHeight="1" x14ac:dyDescent="0.3">
      <c r="A26" s="113" t="s">
        <v>22</v>
      </c>
      <c r="B26" s="113"/>
      <c r="C26" s="113"/>
      <c r="D26" s="113"/>
      <c r="E26" s="139" t="str">
        <f>IF(AND(G18="Mumbai"),"Developed","Developing")</f>
        <v>Developing</v>
      </c>
      <c r="F26" s="139"/>
      <c r="G26" s="139"/>
      <c r="H26" s="139"/>
    </row>
    <row r="27" spans="1:8" x14ac:dyDescent="0.3">
      <c r="A27" s="113" t="s">
        <v>23</v>
      </c>
      <c r="B27" s="113"/>
      <c r="C27" s="113"/>
      <c r="D27" s="113"/>
      <c r="E27" s="139" t="s">
        <v>24</v>
      </c>
      <c r="F27" s="139"/>
      <c r="G27" s="139"/>
      <c r="H27" s="139"/>
    </row>
    <row r="28" spans="1:8" ht="15.75" customHeight="1" x14ac:dyDescent="0.3">
      <c r="A28" s="113" t="s">
        <v>82</v>
      </c>
      <c r="B28" s="113"/>
      <c r="C28" s="113"/>
      <c r="D28" s="113"/>
      <c r="E28" s="139" t="s">
        <v>83</v>
      </c>
      <c r="F28" s="139"/>
      <c r="G28" s="139"/>
      <c r="H28" s="139"/>
    </row>
    <row r="29" spans="1:8" ht="15" customHeight="1" x14ac:dyDescent="0.3">
      <c r="A29" s="113" t="s">
        <v>33</v>
      </c>
      <c r="B29" s="113"/>
      <c r="C29" s="113"/>
      <c r="D29" s="113"/>
      <c r="E29" s="139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39"/>
      <c r="G29" s="139"/>
      <c r="H29" s="139"/>
    </row>
    <row r="30" spans="1:8" ht="15.75" customHeight="1" x14ac:dyDescent="0.3">
      <c r="A30" s="113" t="s">
        <v>94</v>
      </c>
      <c r="B30" s="113"/>
      <c r="C30" s="113"/>
      <c r="D30" s="113"/>
      <c r="E30" s="139" t="s">
        <v>34</v>
      </c>
      <c r="F30" s="139"/>
      <c r="G30" s="139"/>
      <c r="H30" s="139"/>
    </row>
    <row r="31" spans="1:8" s="20" customFormat="1" x14ac:dyDescent="0.3">
      <c r="A31" s="180" t="s">
        <v>95</v>
      </c>
      <c r="B31" s="180"/>
      <c r="C31" s="179" t="s">
        <v>29</v>
      </c>
      <c r="D31" s="179"/>
      <c r="E31" s="179"/>
      <c r="F31" s="179" t="s">
        <v>31</v>
      </c>
      <c r="G31" s="179"/>
      <c r="H31" s="179"/>
    </row>
    <row r="32" spans="1:8" s="20" customFormat="1" x14ac:dyDescent="0.3">
      <c r="A32" s="169" t="s">
        <v>25</v>
      </c>
      <c r="B32" s="169" t="s">
        <v>30</v>
      </c>
      <c r="C32" s="161" t="s">
        <v>243</v>
      </c>
      <c r="D32" s="161"/>
      <c r="E32" s="161"/>
      <c r="F32" s="161" t="s">
        <v>244</v>
      </c>
      <c r="G32" s="161"/>
      <c r="H32" s="161"/>
    </row>
    <row r="33" spans="1:9" x14ac:dyDescent="0.3">
      <c r="A33" s="169" t="s">
        <v>26</v>
      </c>
      <c r="B33" s="169" t="s">
        <v>30</v>
      </c>
      <c r="C33" s="161" t="s">
        <v>243</v>
      </c>
      <c r="D33" s="161"/>
      <c r="E33" s="161"/>
      <c r="F33" s="161" t="s">
        <v>186</v>
      </c>
      <c r="G33" s="161"/>
      <c r="H33" s="161"/>
    </row>
    <row r="34" spans="1:9" s="20" customFormat="1" x14ac:dyDescent="0.3">
      <c r="A34" s="169" t="s">
        <v>28</v>
      </c>
      <c r="B34" s="169" t="s">
        <v>30</v>
      </c>
      <c r="C34" s="161" t="s">
        <v>242</v>
      </c>
      <c r="D34" s="161"/>
      <c r="E34" s="161"/>
      <c r="F34" s="161" t="s">
        <v>185</v>
      </c>
      <c r="G34" s="161"/>
      <c r="H34" s="161"/>
    </row>
    <row r="35" spans="1:9" x14ac:dyDescent="0.3">
      <c r="A35" s="169" t="s">
        <v>27</v>
      </c>
      <c r="B35" s="169" t="s">
        <v>30</v>
      </c>
      <c r="C35" s="161" t="s">
        <v>243</v>
      </c>
      <c r="D35" s="161"/>
      <c r="E35" s="161"/>
      <c r="F35" s="161" t="s">
        <v>187</v>
      </c>
      <c r="G35" s="161"/>
      <c r="H35" s="161"/>
    </row>
    <row r="36" spans="1:9" x14ac:dyDescent="0.3">
      <c r="A36" s="113" t="s">
        <v>32</v>
      </c>
      <c r="B36" s="113"/>
      <c r="C36" s="113"/>
      <c r="D36" s="113"/>
      <c r="E36" s="113"/>
      <c r="F36" s="113"/>
      <c r="G36" s="113"/>
      <c r="H36" s="113"/>
    </row>
    <row r="37" spans="1:9" ht="15.75" customHeight="1" x14ac:dyDescent="0.3">
      <c r="A37" s="126" t="s">
        <v>249</v>
      </c>
      <c r="B37" s="126"/>
      <c r="C37" s="72" t="s">
        <v>248</v>
      </c>
      <c r="D37" s="73"/>
      <c r="E37" s="73"/>
      <c r="F37" s="73"/>
      <c r="G37" s="73"/>
      <c r="H37" s="74"/>
    </row>
    <row r="38" spans="1:9" x14ac:dyDescent="0.3">
      <c r="A38" s="126" t="s">
        <v>172</v>
      </c>
      <c r="B38" s="126"/>
      <c r="C38" s="164" t="s">
        <v>239</v>
      </c>
      <c r="D38" s="165"/>
      <c r="E38" s="165"/>
      <c r="F38" s="165"/>
      <c r="G38" s="165"/>
      <c r="H38" s="165"/>
    </row>
    <row r="39" spans="1:9" x14ac:dyDescent="0.3">
      <c r="A39" s="162" t="s">
        <v>35</v>
      </c>
      <c r="B39" s="162"/>
      <c r="C39" s="162"/>
      <c r="D39" s="162"/>
      <c r="E39" s="162"/>
      <c r="F39" s="162"/>
      <c r="G39" s="162"/>
      <c r="H39" s="162"/>
    </row>
    <row r="40" spans="1:9" x14ac:dyDescent="0.3">
      <c r="A40" s="113" t="s">
        <v>36</v>
      </c>
      <c r="B40" s="113"/>
      <c r="C40" s="113"/>
      <c r="D40" s="113"/>
      <c r="E40" s="166">
        <v>3968</v>
      </c>
      <c r="F40" s="167"/>
      <c r="G40" s="167"/>
      <c r="H40" s="168"/>
    </row>
    <row r="41" spans="1:9" x14ac:dyDescent="0.3">
      <c r="A41" s="113" t="s">
        <v>37</v>
      </c>
      <c r="B41" s="113"/>
      <c r="C41" s="113"/>
      <c r="D41" s="113"/>
      <c r="E41" s="173">
        <f>4364.8/E40</f>
        <v>1.1000000000000001</v>
      </c>
      <c r="F41" s="174"/>
      <c r="G41" s="174"/>
      <c r="H41" s="175"/>
      <c r="I41" s="61">
        <f>1411.3+2953.5</f>
        <v>4364.8</v>
      </c>
    </row>
    <row r="42" spans="1:9" x14ac:dyDescent="0.3">
      <c r="A42" s="113" t="s">
        <v>38</v>
      </c>
      <c r="B42" s="113"/>
      <c r="C42" s="113"/>
      <c r="D42" s="113"/>
      <c r="E42" s="173">
        <f>E44/E40-E41</f>
        <v>4.2927948588709679</v>
      </c>
      <c r="F42" s="174"/>
      <c r="G42" s="174"/>
      <c r="H42" s="175"/>
    </row>
    <row r="43" spans="1:9" x14ac:dyDescent="0.3">
      <c r="A43" s="113" t="s">
        <v>39</v>
      </c>
      <c r="B43" s="113"/>
      <c r="C43" s="113"/>
      <c r="D43" s="113"/>
      <c r="E43" s="173">
        <f>E41+E42</f>
        <v>5.3927948588709675</v>
      </c>
      <c r="F43" s="174"/>
      <c r="G43" s="174"/>
      <c r="H43" s="175"/>
    </row>
    <row r="44" spans="1:9" x14ac:dyDescent="0.3">
      <c r="A44" s="113" t="s">
        <v>93</v>
      </c>
      <c r="B44" s="113"/>
      <c r="C44" s="113"/>
      <c r="D44" s="113"/>
      <c r="E44" s="166">
        <v>21398.61</v>
      </c>
      <c r="F44" s="167"/>
      <c r="G44" s="167"/>
      <c r="H44" s="168"/>
      <c r="I44" s="19">
        <f>5669.37+15729.24</f>
        <v>21398.61</v>
      </c>
    </row>
    <row r="45" spans="1:9" x14ac:dyDescent="0.3">
      <c r="A45" s="170" t="s">
        <v>40</v>
      </c>
      <c r="B45" s="170"/>
      <c r="C45" s="170"/>
      <c r="D45" s="170"/>
      <c r="E45" s="166" t="s">
        <v>216</v>
      </c>
      <c r="F45" s="167"/>
      <c r="G45" s="167"/>
      <c r="H45" s="168"/>
    </row>
    <row r="46" spans="1:9" x14ac:dyDescent="0.3">
      <c r="A46" s="162" t="s">
        <v>41</v>
      </c>
      <c r="B46" s="162"/>
      <c r="C46" s="162"/>
      <c r="D46" s="162"/>
      <c r="E46" s="162"/>
      <c r="F46" s="162"/>
      <c r="G46" s="162"/>
      <c r="H46" s="162"/>
    </row>
    <row r="47" spans="1:9" ht="33.75" customHeight="1" x14ac:dyDescent="0.3">
      <c r="A47" s="68" t="s">
        <v>159</v>
      </c>
      <c r="B47" s="70"/>
      <c r="C47" s="127" t="s">
        <v>196</v>
      </c>
      <c r="D47" s="128"/>
      <c r="E47" s="128"/>
      <c r="F47" s="128"/>
      <c r="G47" s="128"/>
      <c r="H47" s="129"/>
    </row>
    <row r="48" spans="1:9" ht="33" customHeight="1" x14ac:dyDescent="0.3">
      <c r="A48" s="68" t="s">
        <v>42</v>
      </c>
      <c r="B48" s="70"/>
      <c r="C48" s="68" t="s">
        <v>213</v>
      </c>
      <c r="D48" s="69"/>
      <c r="E48" s="70"/>
      <c r="F48" s="18" t="s">
        <v>43</v>
      </c>
      <c r="G48" s="71">
        <v>45477</v>
      </c>
      <c r="H48" s="70"/>
    </row>
    <row r="49" spans="1:14" ht="34.5" customHeight="1" x14ac:dyDescent="0.3">
      <c r="A49" s="68" t="s">
        <v>44</v>
      </c>
      <c r="B49" s="70"/>
      <c r="C49" s="68" t="str">
        <f>C48</f>
        <v>KDMC/TPD/BP/27Village/2021-22/26/58</v>
      </c>
      <c r="D49" s="69"/>
      <c r="E49" s="70"/>
      <c r="F49" s="18" t="s">
        <v>43</v>
      </c>
      <c r="G49" s="71">
        <v>45477</v>
      </c>
      <c r="H49" s="70"/>
    </row>
    <row r="50" spans="1:14" s="21" customFormat="1" ht="33.75" customHeight="1" x14ac:dyDescent="0.3">
      <c r="A50" s="64" t="s">
        <v>163</v>
      </c>
      <c r="B50" s="65"/>
      <c r="C50" s="68" t="str">
        <f>C49</f>
        <v>KDMC/TPD/BP/27Village/2021-22/26/58</v>
      </c>
      <c r="D50" s="69"/>
      <c r="E50" s="70"/>
      <c r="F50" s="18" t="s">
        <v>43</v>
      </c>
      <c r="G50" s="71">
        <v>45477</v>
      </c>
      <c r="H50" s="70"/>
    </row>
    <row r="51" spans="1:14" s="21" customFormat="1" ht="48.75" customHeight="1" x14ac:dyDescent="0.3">
      <c r="A51" s="66"/>
      <c r="B51" s="67"/>
      <c r="C51" s="68" t="s">
        <v>241</v>
      </c>
      <c r="D51" s="69"/>
      <c r="E51" s="69"/>
      <c r="F51" s="69"/>
      <c r="G51" s="69"/>
      <c r="H51" s="70"/>
    </row>
    <row r="52" spans="1:14" s="21" customFormat="1" x14ac:dyDescent="0.3">
      <c r="A52" s="64" t="s">
        <v>254</v>
      </c>
      <c r="B52" s="65"/>
      <c r="C52" s="68" t="s">
        <v>255</v>
      </c>
      <c r="D52" s="69"/>
      <c r="E52" s="70"/>
      <c r="F52" s="18" t="s">
        <v>43</v>
      </c>
      <c r="G52" s="71">
        <v>44637</v>
      </c>
      <c r="H52" s="70"/>
    </row>
    <row r="53" spans="1:14" s="21" customFormat="1" ht="48.75" customHeight="1" x14ac:dyDescent="0.3">
      <c r="A53" s="66"/>
      <c r="B53" s="67"/>
      <c r="C53" s="68" t="s">
        <v>256</v>
      </c>
      <c r="D53" s="69"/>
      <c r="E53" s="69"/>
      <c r="F53" s="69"/>
      <c r="G53" s="69"/>
      <c r="H53" s="70"/>
      <c r="K53" s="63">
        <f>3*17</f>
        <v>51</v>
      </c>
    </row>
    <row r="54" spans="1:14" x14ac:dyDescent="0.3">
      <c r="A54" s="203" t="s">
        <v>45</v>
      </c>
      <c r="B54" s="204"/>
      <c r="C54" s="203" t="s">
        <v>107</v>
      </c>
      <c r="D54" s="205"/>
      <c r="E54" s="204"/>
      <c r="F54" s="45" t="s">
        <v>43</v>
      </c>
      <c r="G54" s="171" t="s">
        <v>30</v>
      </c>
      <c r="H54" s="172"/>
    </row>
    <row r="55" spans="1:14" x14ac:dyDescent="0.3">
      <c r="A55" s="184" t="s">
        <v>47</v>
      </c>
      <c r="B55" s="184"/>
      <c r="C55" s="184"/>
      <c r="D55" s="184"/>
      <c r="E55" s="184"/>
      <c r="F55" s="184"/>
      <c r="G55" s="184"/>
      <c r="H55" s="184"/>
    </row>
    <row r="56" spans="1:14" x14ac:dyDescent="0.3">
      <c r="A56" s="138" t="s">
        <v>92</v>
      </c>
      <c r="B56" s="138"/>
      <c r="C56" s="138"/>
      <c r="D56" s="200">
        <f>E44</f>
        <v>21398.61</v>
      </c>
      <c r="E56" s="113"/>
      <c r="F56" s="113"/>
      <c r="G56" s="113"/>
      <c r="H56" s="113"/>
    </row>
    <row r="57" spans="1:14" x14ac:dyDescent="0.3">
      <c r="A57" s="139" t="s">
        <v>48</v>
      </c>
      <c r="B57" s="170"/>
      <c r="C57" s="170"/>
      <c r="D57" s="170" t="s">
        <v>233</v>
      </c>
      <c r="E57" s="170"/>
      <c r="F57" s="170"/>
      <c r="G57" s="170"/>
      <c r="H57" s="170"/>
      <c r="I57" s="22"/>
    </row>
    <row r="58" spans="1:14" ht="49.5" customHeight="1" x14ac:dyDescent="0.3">
      <c r="A58" s="177" t="s">
        <v>49</v>
      </c>
      <c r="B58" s="135"/>
      <c r="C58" s="178"/>
      <c r="D58" s="117" t="s">
        <v>238</v>
      </c>
      <c r="E58" s="176"/>
      <c r="F58" s="176"/>
      <c r="G58" s="176"/>
      <c r="H58" s="176"/>
    </row>
    <row r="59" spans="1:14" ht="15.75" customHeight="1" x14ac:dyDescent="0.3">
      <c r="A59" s="135" t="s">
        <v>90</v>
      </c>
      <c r="B59" s="135"/>
      <c r="C59" s="135"/>
      <c r="D59" s="201" t="s">
        <v>235</v>
      </c>
      <c r="E59" s="202"/>
      <c r="F59" s="202"/>
      <c r="G59" s="202"/>
      <c r="H59" s="202"/>
    </row>
    <row r="60" spans="1:14" ht="15.75" customHeight="1" x14ac:dyDescent="0.3">
      <c r="A60" s="136"/>
      <c r="B60" s="136"/>
      <c r="C60" s="136"/>
      <c r="D60" s="132" t="s">
        <v>237</v>
      </c>
      <c r="E60" s="133"/>
      <c r="F60" s="133"/>
      <c r="G60" s="133"/>
      <c r="H60" s="134"/>
    </row>
    <row r="61" spans="1:14" ht="15.75" customHeight="1" x14ac:dyDescent="0.3">
      <c r="A61" s="137"/>
      <c r="B61" s="137"/>
      <c r="C61" s="137"/>
      <c r="D61" s="132" t="s">
        <v>236</v>
      </c>
      <c r="E61" s="133"/>
      <c r="F61" s="133"/>
      <c r="G61" s="133"/>
      <c r="H61" s="134"/>
    </row>
    <row r="62" spans="1:14" ht="49.5" customHeight="1" x14ac:dyDescent="0.3">
      <c r="A62" s="113" t="s">
        <v>46</v>
      </c>
      <c r="B62" s="113"/>
      <c r="C62" s="113"/>
      <c r="D62" s="138" t="s">
        <v>234</v>
      </c>
      <c r="E62" s="138"/>
      <c r="F62" s="138"/>
      <c r="G62" s="138"/>
      <c r="H62" s="138"/>
      <c r="J62" s="23"/>
      <c r="K62" s="22"/>
      <c r="N62" s="22"/>
    </row>
    <row r="63" spans="1:14" ht="15.75" customHeight="1" x14ac:dyDescent="0.3">
      <c r="A63" s="113" t="s">
        <v>88</v>
      </c>
      <c r="B63" s="113"/>
      <c r="C63" s="113"/>
      <c r="D63" s="163" t="str">
        <f>(IF(G54="NA","60 Years After Completion",IF(G54&lt;&gt;"NA",""&amp;60-ROUNDDOWN((E3-G54)/360,0)&amp;" Years"," ")))</f>
        <v>60 Years After Completion</v>
      </c>
      <c r="E63" s="163"/>
      <c r="F63" s="163"/>
      <c r="G63" s="163"/>
      <c r="H63" s="163"/>
      <c r="N63" s="22"/>
    </row>
    <row r="64" spans="1:14" ht="15.75" customHeight="1" x14ac:dyDescent="0.3">
      <c r="A64" s="113" t="s">
        <v>89</v>
      </c>
      <c r="B64" s="113"/>
      <c r="C64" s="113"/>
      <c r="D64" s="138" t="s">
        <v>24</v>
      </c>
      <c r="E64" s="138"/>
      <c r="F64" s="138"/>
      <c r="G64" s="138"/>
      <c r="H64" s="138"/>
      <c r="J64" s="24"/>
      <c r="K64" s="24"/>
    </row>
    <row r="65" spans="1:14" ht="49.5" customHeight="1" x14ac:dyDescent="0.3">
      <c r="A65" s="113" t="s">
        <v>76</v>
      </c>
      <c r="B65" s="113"/>
      <c r="C65" s="113"/>
      <c r="D65" s="139" t="s">
        <v>245</v>
      </c>
      <c r="E65" s="138"/>
      <c r="F65" s="138"/>
      <c r="G65" s="138"/>
      <c r="H65" s="138"/>
      <c r="I65" s="19" t="s">
        <v>246</v>
      </c>
    </row>
    <row r="66" spans="1:14" x14ac:dyDescent="0.3">
      <c r="A66" s="138" t="s">
        <v>155</v>
      </c>
      <c r="B66" s="138"/>
      <c r="C66" s="138"/>
      <c r="D66" s="138" t="s">
        <v>30</v>
      </c>
      <c r="E66" s="138"/>
      <c r="F66" s="138"/>
      <c r="G66" s="138"/>
      <c r="H66" s="138"/>
      <c r="I66" s="25"/>
      <c r="J66" s="25"/>
      <c r="K66" s="25"/>
      <c r="L66" s="25"/>
      <c r="M66" s="25"/>
      <c r="N66" s="25"/>
    </row>
    <row r="67" spans="1:14" ht="15.75" customHeight="1" x14ac:dyDescent="0.3">
      <c r="A67" s="140" t="s">
        <v>87</v>
      </c>
      <c r="B67" s="140"/>
      <c r="C67" s="140"/>
      <c r="D67" s="117" t="str">
        <f ca="1">(IF(G73&gt;95%,"Nothing",IF(G73&gt;0%,"Cement, Aggregate, Steel, etc",IF(G73=0%,"Work not yet Started"))))</f>
        <v>Cement, Aggregate, Steel, etc</v>
      </c>
      <c r="E67" s="117"/>
      <c r="F67" s="117"/>
      <c r="G67" s="117"/>
      <c r="H67" s="117"/>
      <c r="J67" s="24"/>
    </row>
    <row r="68" spans="1:14" s="50" customFormat="1" ht="33.75" customHeight="1" x14ac:dyDescent="0.3">
      <c r="A68" s="138" t="s">
        <v>120</v>
      </c>
      <c r="B68" s="138"/>
      <c r="C68" s="138"/>
      <c r="D68" s="139" t="str">
        <f ca="1">(IF(D67="Nothing","Yes",IF(D67="Cement, Aggregate, Steel, etc","Under Construction",IF(D67="Work not yet Started","Work not yet Started"))))</f>
        <v>Under Construction</v>
      </c>
      <c r="E68" s="139"/>
      <c r="F68" s="139" t="str">
        <f ca="1">(IF(D67="Nothing","Yes",IF(D67="Cement, Aggregate, Steel, etc","Under Construction",IF(D67="Work not yet Started","Work not yet Started"))))</f>
        <v>Under Construction</v>
      </c>
      <c r="G68" s="139"/>
      <c r="H68" s="139"/>
    </row>
    <row r="69" spans="1:14" s="52" customFormat="1" ht="15.75" customHeight="1" x14ac:dyDescent="0.3">
      <c r="A69" s="118" t="s">
        <v>145</v>
      </c>
      <c r="B69" s="119"/>
      <c r="C69" s="120" t="str">
        <f>D59</f>
        <v>Plot A (Wing A) = Gr + 1st to 18th Floor</v>
      </c>
      <c r="D69" s="121"/>
      <c r="E69" s="121"/>
      <c r="F69" s="121"/>
      <c r="G69" s="121"/>
      <c r="H69" s="122"/>
      <c r="I69" s="51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 Completed, Flooring upto 8 Floor Completed</v>
      </c>
      <c r="J69" s="42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Flooring upto 8 Floor</v>
      </c>
    </row>
    <row r="70" spans="1:14" x14ac:dyDescent="0.3">
      <c r="A70" s="16" t="s">
        <v>147</v>
      </c>
      <c r="B70" s="53">
        <v>0</v>
      </c>
      <c r="C70" s="53" t="s">
        <v>73</v>
      </c>
      <c r="D70" s="53">
        <v>1</v>
      </c>
      <c r="E70" s="53" t="s">
        <v>72</v>
      </c>
      <c r="F70" s="53">
        <v>0</v>
      </c>
      <c r="G70" s="53" t="s">
        <v>81</v>
      </c>
      <c r="H70" s="17">
        <f ca="1">--TRIM(RIGHT(SUBSTITUTE(LEFT(C69,_xlfn.AGGREGATE(16,6,FIND({0,1,2,3,4,5,6,7,8,9},C69,ROW(INDIRECT("1:"&amp;LEN(C69)))),1))," ",REPT(" ",LEN(C69))),LEN(C69)))</f>
        <v>18</v>
      </c>
      <c r="I70" s="41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</v>
      </c>
      <c r="J70" s="42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3.6" customHeight="1" x14ac:dyDescent="0.3">
      <c r="A71" s="91" t="s">
        <v>91</v>
      </c>
      <c r="B71" s="92"/>
      <c r="C71" s="93" t="str">
        <f ca="1">I69</f>
        <v>Excavation, Plinth, RCC Slab, Brickwork, Internal Plaster, External Plaster Completed, Flooring upto 8 Floor Completed</v>
      </c>
      <c r="D71" s="93"/>
      <c r="E71" s="93"/>
      <c r="F71" s="93"/>
      <c r="G71" s="93"/>
      <c r="H71" s="94"/>
      <c r="I71" s="41" t="str">
        <f ca="1">IF(I70&lt;&gt;""," Completed","")</f>
        <v xml:space="preserve"> Completed</v>
      </c>
      <c r="J71" s="42" t="str">
        <f ca="1">IF(J69&lt;&gt;"","Completed","")</f>
        <v>Completed</v>
      </c>
    </row>
    <row r="72" spans="1:14" ht="15.75" customHeight="1" x14ac:dyDescent="0.3">
      <c r="A72" s="95" t="s">
        <v>50</v>
      </c>
      <c r="B72" s="96"/>
      <c r="C72" s="54" t="s">
        <v>144</v>
      </c>
      <c r="D72" s="54" t="s">
        <v>84</v>
      </c>
      <c r="E72" s="96" t="s">
        <v>86</v>
      </c>
      <c r="F72" s="96"/>
      <c r="G72" s="96" t="s">
        <v>85</v>
      </c>
      <c r="H72" s="97"/>
      <c r="I72" s="14" t="s">
        <v>146</v>
      </c>
      <c r="J72" s="26">
        <f ca="1">H70*25%</f>
        <v>4.5</v>
      </c>
    </row>
    <row r="73" spans="1:14" x14ac:dyDescent="0.3">
      <c r="A73" s="95" t="s">
        <v>133</v>
      </c>
      <c r="B73" s="96"/>
      <c r="C73" s="54">
        <f ca="1">J74</f>
        <v>18</v>
      </c>
      <c r="D73" s="55">
        <f ca="1">((100/H70)*C73)/100</f>
        <v>1</v>
      </c>
      <c r="E73" s="98">
        <f ca="1">(((C74/H70*10)+(40/(D70+F70+H70)*C75)+(7.5/(H70)*C76)+(7.5/(H70)*C77)+(10/H70*C78)+(10/H70*C79)+(5/H70*C80)+(5/H70*C81)+(5/H70*C82))/100)</f>
        <v>0.7944444444444444</v>
      </c>
      <c r="F73" s="99"/>
      <c r="G73" s="98">
        <f ca="1">((((C73/H70)*20)+((C74/H70)*25)+(30/(H70+F70+D70)*C75)+(5/H70*C76)+(5/H70*C77)+(5/H70*C78)+(5/H70*C79)+(0/H70*C80)+(0/H70*C81)+(5/H70*C82))/100)</f>
        <v>0.92222222222222228</v>
      </c>
      <c r="H73" s="104"/>
      <c r="I73" s="14" t="s">
        <v>102</v>
      </c>
      <c r="J73" s="27">
        <f ca="1">H70*50%</f>
        <v>9</v>
      </c>
    </row>
    <row r="74" spans="1:14" x14ac:dyDescent="0.3">
      <c r="A74" s="95" t="s">
        <v>51</v>
      </c>
      <c r="B74" s="96"/>
      <c r="C74" s="56">
        <f ca="1">J82</f>
        <v>18</v>
      </c>
      <c r="D74" s="55">
        <f ca="1">((100/H70)*C74)/100</f>
        <v>1</v>
      </c>
      <c r="E74" s="100"/>
      <c r="F74" s="101"/>
      <c r="G74" s="100"/>
      <c r="H74" s="105"/>
      <c r="I74" s="14" t="s">
        <v>103</v>
      </c>
      <c r="J74" s="27">
        <f ca="1">H70</f>
        <v>18</v>
      </c>
    </row>
    <row r="75" spans="1:14" ht="15.75" customHeight="1" x14ac:dyDescent="0.3">
      <c r="A75" s="95" t="s">
        <v>134</v>
      </c>
      <c r="B75" s="96"/>
      <c r="C75" s="54">
        <v>19</v>
      </c>
      <c r="D75" s="55">
        <f ca="1">((100/(D70+F70+H70))*C75)/100</f>
        <v>1</v>
      </c>
      <c r="E75" s="100"/>
      <c r="F75" s="101"/>
      <c r="G75" s="100"/>
      <c r="H75" s="105"/>
      <c r="I75" s="14" t="s">
        <v>104</v>
      </c>
      <c r="J75" s="28">
        <f ca="1">(IF(B70&gt;1,(H70/(B70+2)),H70/4))</f>
        <v>4.5</v>
      </c>
    </row>
    <row r="76" spans="1:14" ht="15.75" customHeight="1" x14ac:dyDescent="0.3">
      <c r="A76" s="95" t="s">
        <v>141</v>
      </c>
      <c r="B76" s="96" t="s">
        <v>135</v>
      </c>
      <c r="C76" s="54">
        <v>18</v>
      </c>
      <c r="D76" s="55">
        <f ca="1">((100/H70)*C76)/100</f>
        <v>1</v>
      </c>
      <c r="E76" s="100"/>
      <c r="F76" s="101"/>
      <c r="G76" s="100"/>
      <c r="H76" s="105"/>
      <c r="I76" s="14" t="s">
        <v>105</v>
      </c>
      <c r="J76" s="28">
        <f ca="1">(IF(B70&gt;1,(H70/(B70+2)+J75),H70/4+J75))</f>
        <v>9</v>
      </c>
    </row>
    <row r="77" spans="1:14" ht="15.75" customHeight="1" x14ac:dyDescent="0.3">
      <c r="A77" s="95" t="s">
        <v>142</v>
      </c>
      <c r="B77" s="96" t="s">
        <v>135</v>
      </c>
      <c r="C77" s="54">
        <v>18</v>
      </c>
      <c r="D77" s="55">
        <f ca="1">((100/H70)*C77)/100</f>
        <v>1</v>
      </c>
      <c r="E77" s="100"/>
      <c r="F77" s="101"/>
      <c r="G77" s="100"/>
      <c r="H77" s="105"/>
      <c r="I77" s="14" t="s">
        <v>153</v>
      </c>
      <c r="J77" s="28">
        <f>(IF(B70&gt;1,(H70/(B70+2)+J76),0))</f>
        <v>0</v>
      </c>
    </row>
    <row r="78" spans="1:14" ht="15" customHeight="1" x14ac:dyDescent="0.3">
      <c r="A78" s="95" t="s">
        <v>140</v>
      </c>
      <c r="B78" s="96" t="s">
        <v>137</v>
      </c>
      <c r="C78" s="54">
        <v>18</v>
      </c>
      <c r="D78" s="55">
        <f ca="1">((100/(H70))*C78)/100</f>
        <v>1</v>
      </c>
      <c r="E78" s="100"/>
      <c r="F78" s="101"/>
      <c r="G78" s="100"/>
      <c r="H78" s="105"/>
      <c r="I78" s="14" t="s">
        <v>148</v>
      </c>
      <c r="J78" s="28">
        <f>(IF(B70&gt;2,(H70/(B70+2)+J77),0))</f>
        <v>0</v>
      </c>
    </row>
    <row r="79" spans="1:14" ht="15.75" customHeight="1" x14ac:dyDescent="0.3">
      <c r="A79" s="95" t="s">
        <v>136</v>
      </c>
      <c r="B79" s="96" t="s">
        <v>136</v>
      </c>
      <c r="C79" s="54">
        <v>8</v>
      </c>
      <c r="D79" s="55">
        <f ca="1">((100/H70)*C79)/100</f>
        <v>0.44444444444444442</v>
      </c>
      <c r="E79" s="100"/>
      <c r="F79" s="101"/>
      <c r="G79" s="100"/>
      <c r="H79" s="105"/>
      <c r="I79" s="14" t="s">
        <v>149</v>
      </c>
      <c r="J79" s="29">
        <f>(IF(B70&gt;3,(H70/(B70+2)+J78),0))</f>
        <v>0</v>
      </c>
    </row>
    <row r="80" spans="1:14" ht="15.75" customHeight="1" x14ac:dyDescent="0.3">
      <c r="A80" s="95" t="s">
        <v>143</v>
      </c>
      <c r="B80" s="96"/>
      <c r="C80" s="54">
        <v>0</v>
      </c>
      <c r="D80" s="55">
        <f ca="1">((100/H70)*C80)/100</f>
        <v>0</v>
      </c>
      <c r="E80" s="100"/>
      <c r="F80" s="101"/>
      <c r="G80" s="100"/>
      <c r="H80" s="105"/>
      <c r="I80" s="14" t="s">
        <v>150</v>
      </c>
      <c r="J80" s="28">
        <f>(IF(B70&gt;4,(H70/(B70+2)+J79),0))</f>
        <v>0</v>
      </c>
    </row>
    <row r="81" spans="1:10" ht="15.75" customHeight="1" x14ac:dyDescent="0.3">
      <c r="A81" s="95" t="s">
        <v>138</v>
      </c>
      <c r="B81" s="96" t="s">
        <v>138</v>
      </c>
      <c r="C81" s="54">
        <v>0</v>
      </c>
      <c r="D81" s="55">
        <f ca="1">((100/(H70))*C81)/100</f>
        <v>0</v>
      </c>
      <c r="E81" s="100"/>
      <c r="F81" s="101"/>
      <c r="G81" s="100"/>
      <c r="H81" s="105"/>
      <c r="I81" s="14" t="s">
        <v>154</v>
      </c>
      <c r="J81" s="28">
        <f ca="1">(IF(B70=1,(H70/(B70+3)+J76),IF(B70=0,(H70/4+J76),IF(B70&gt;1,0))))</f>
        <v>13.5</v>
      </c>
    </row>
    <row r="82" spans="1:10" ht="16.2" thickBot="1" x14ac:dyDescent="0.35">
      <c r="A82" s="107" t="s">
        <v>139</v>
      </c>
      <c r="B82" s="108"/>
      <c r="C82" s="57">
        <v>0</v>
      </c>
      <c r="D82" s="58">
        <f ca="1">((100/(H70))*C82)/100</f>
        <v>0</v>
      </c>
      <c r="E82" s="102"/>
      <c r="F82" s="103"/>
      <c r="G82" s="102"/>
      <c r="H82" s="106"/>
      <c r="I82" s="15" t="s">
        <v>106</v>
      </c>
      <c r="J82" s="30">
        <f ca="1">(IF(B70&gt;1.5,(H70/(B70+2)+J76+MAX(0,J77-J76)+MAX(0,J78-J77)+MAX(0,J79-J78)+MAX(0,J80-J79)+MAX(0,J81-J80)),IF(B70=1,(H70/(B70+3)+J81),IF(B70=0,H70/4+J81))))</f>
        <v>18</v>
      </c>
    </row>
    <row r="83" spans="1:10" ht="15.75" customHeight="1" x14ac:dyDescent="0.3">
      <c r="A83" s="141" t="s">
        <v>145</v>
      </c>
      <c r="B83" s="142"/>
      <c r="C83" s="143" t="str">
        <f>D60</f>
        <v>Plot A (Wing B) = Gr + 1st to 19th Floor</v>
      </c>
      <c r="D83" s="144"/>
      <c r="E83" s="144"/>
      <c r="F83" s="144"/>
      <c r="G83" s="144"/>
      <c r="H83" s="145"/>
      <c r="I83" s="49" t="str">
        <f ca="1">IF(D96=100%,"All work Completed. Possession granted to the Building.",IF(D95=100%,"All work Completed, Waiting for OC",I84&amp;""&amp;I85&amp;""&amp;J84&amp;""&amp;J83&amp;" "&amp;J85))</f>
        <v>Excavation, Plinth, RCC Slab, Brickwork Completed, Internal Plaster upto 17 Floor, External Plaster upto 16 Floor, Flooring upto 5 Floor Completed</v>
      </c>
      <c r="J83" s="40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Internal Plaster upto 17 Floor, External Plaster upto 16 Floor, Flooring upto 5 Floor</v>
      </c>
    </row>
    <row r="84" spans="1:10" x14ac:dyDescent="0.3">
      <c r="A84" s="16" t="s">
        <v>147</v>
      </c>
      <c r="B84" s="53">
        <v>0</v>
      </c>
      <c r="C84" s="53" t="s">
        <v>73</v>
      </c>
      <c r="D84" s="53">
        <v>1</v>
      </c>
      <c r="E84" s="53" t="s">
        <v>72</v>
      </c>
      <c r="F84" s="53">
        <v>0</v>
      </c>
      <c r="G84" s="53" t="s">
        <v>81</v>
      </c>
      <c r="H84" s="17">
        <f ca="1">--TRIM(RIGHT(SUBSTITUTE(LEFT(C83,_xlfn.AGGREGATE(16,6,FIND({0,1,2,3,4,5,6,7,8,9},C83,ROW(INDIRECT("1:"&amp;LEN(C83)))),1))," ",REPT(" ",LEN(C83))),LEN(C83)))</f>
        <v>19</v>
      </c>
      <c r="I84" s="41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</v>
      </c>
      <c r="J84" s="42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4.799999999999997" customHeight="1" x14ac:dyDescent="0.3">
      <c r="A85" s="91" t="s">
        <v>91</v>
      </c>
      <c r="B85" s="92"/>
      <c r="C85" s="93" t="str">
        <f ca="1">I83</f>
        <v>Excavation, Plinth, RCC Slab, Brickwork Completed, Internal Plaster upto 17 Floor, External Plaster upto 16 Floor, Flooring upto 5 Floor Completed</v>
      </c>
      <c r="D85" s="93"/>
      <c r="E85" s="93"/>
      <c r="F85" s="93"/>
      <c r="G85" s="93"/>
      <c r="H85" s="94"/>
      <c r="I85" s="41" t="str">
        <f ca="1">IF(I84&lt;&gt;""," Completed","")</f>
        <v xml:space="preserve"> Completed</v>
      </c>
      <c r="J85" s="42" t="str">
        <f ca="1">IF(J83&lt;&gt;"","Completed","")</f>
        <v>Completed</v>
      </c>
    </row>
    <row r="86" spans="1:10" ht="15.75" customHeight="1" x14ac:dyDescent="0.3">
      <c r="A86" s="95" t="s">
        <v>50</v>
      </c>
      <c r="B86" s="96"/>
      <c r="C86" s="54" t="s">
        <v>144</v>
      </c>
      <c r="D86" s="54" t="s">
        <v>84</v>
      </c>
      <c r="E86" s="96" t="s">
        <v>86</v>
      </c>
      <c r="F86" s="96"/>
      <c r="G86" s="96" t="s">
        <v>85</v>
      </c>
      <c r="H86" s="97"/>
      <c r="I86" s="14" t="s">
        <v>146</v>
      </c>
      <c r="J86" s="26">
        <f ca="1">H84*25%</f>
        <v>4.75</v>
      </c>
    </row>
    <row r="87" spans="1:10" x14ac:dyDescent="0.3">
      <c r="A87" s="95" t="s">
        <v>133</v>
      </c>
      <c r="B87" s="96"/>
      <c r="C87" s="56">
        <f ca="1">J88</f>
        <v>19</v>
      </c>
      <c r="D87" s="55">
        <f ca="1">((100/H84)*C87)/100</f>
        <v>1</v>
      </c>
      <c r="E87" s="98">
        <f ca="1">(((C88/H84*10)+(40/(D84+F84+H84)*C89)+(7.5/(H84)*C90)+(7.5/(H84)*C91)+(10/H84*C92)+(10/H84*C93)+(5/H84*C94)+(5/H84*C95)+(5/H84*C96))/100)</f>
        <v>0.75263157894736854</v>
      </c>
      <c r="F87" s="99"/>
      <c r="G87" s="98">
        <f ca="1">((((C87/H84)*20)+((C88/H84)*25)+(30/(H84+F84+D84)*C89)+(5/H84*C90)+(5/H84*C91)+(5/H84*C92)+(5/H84*C93)+(0/H84*C94)+(0/H84*C95)+(5/H84*C96))/100)</f>
        <v>0.9</v>
      </c>
      <c r="H87" s="104"/>
      <c r="I87" s="14" t="s">
        <v>102</v>
      </c>
      <c r="J87" s="27">
        <f ca="1">H84*50%</f>
        <v>9.5</v>
      </c>
    </row>
    <row r="88" spans="1:10" x14ac:dyDescent="0.3">
      <c r="A88" s="95" t="s">
        <v>51</v>
      </c>
      <c r="B88" s="96"/>
      <c r="C88" s="56">
        <f ca="1">J96</f>
        <v>19</v>
      </c>
      <c r="D88" s="55">
        <f ca="1">((100/H84)*C88)/100</f>
        <v>1</v>
      </c>
      <c r="E88" s="100"/>
      <c r="F88" s="101"/>
      <c r="G88" s="100"/>
      <c r="H88" s="105"/>
      <c r="I88" s="14" t="s">
        <v>103</v>
      </c>
      <c r="J88" s="27">
        <f ca="1">H84</f>
        <v>19</v>
      </c>
    </row>
    <row r="89" spans="1:10" ht="15.75" customHeight="1" x14ac:dyDescent="0.3">
      <c r="A89" s="95" t="s">
        <v>134</v>
      </c>
      <c r="B89" s="96"/>
      <c r="C89" s="54">
        <v>20</v>
      </c>
      <c r="D89" s="55">
        <f ca="1">((100/(D84+F84+H84))*C89)/100</f>
        <v>1</v>
      </c>
      <c r="E89" s="100"/>
      <c r="F89" s="101"/>
      <c r="G89" s="100"/>
      <c r="H89" s="105"/>
      <c r="I89" s="14" t="s">
        <v>104</v>
      </c>
      <c r="J89" s="28">
        <f ca="1">(IF(B84&gt;1,(H84/(B84+2)),H84/4))</f>
        <v>4.75</v>
      </c>
    </row>
    <row r="90" spans="1:10" ht="15.75" customHeight="1" x14ac:dyDescent="0.3">
      <c r="A90" s="95" t="s">
        <v>141</v>
      </c>
      <c r="B90" s="96" t="s">
        <v>135</v>
      </c>
      <c r="C90" s="54">
        <v>19</v>
      </c>
      <c r="D90" s="55">
        <f ca="1">((100/H84)*C90)/100</f>
        <v>1</v>
      </c>
      <c r="E90" s="100"/>
      <c r="F90" s="101"/>
      <c r="G90" s="100"/>
      <c r="H90" s="105"/>
      <c r="I90" s="14" t="s">
        <v>105</v>
      </c>
      <c r="J90" s="28">
        <f ca="1">(IF(B84&gt;1,(H84/(B84+2)+J89),H84/4+J89))</f>
        <v>9.5</v>
      </c>
    </row>
    <row r="91" spans="1:10" ht="15.75" customHeight="1" x14ac:dyDescent="0.3">
      <c r="A91" s="95" t="s">
        <v>142</v>
      </c>
      <c r="B91" s="96" t="s">
        <v>135</v>
      </c>
      <c r="C91" s="54">
        <v>17</v>
      </c>
      <c r="D91" s="55">
        <f ca="1">((100/H84)*C91)/100</f>
        <v>0.89473684210526327</v>
      </c>
      <c r="E91" s="100"/>
      <c r="F91" s="101"/>
      <c r="G91" s="100"/>
      <c r="H91" s="105"/>
      <c r="I91" s="14" t="s">
        <v>153</v>
      </c>
      <c r="J91" s="28">
        <f>(IF(B84&gt;1,(H84/(B84+2)+J90),0))</f>
        <v>0</v>
      </c>
    </row>
    <row r="92" spans="1:10" ht="15" customHeight="1" x14ac:dyDescent="0.3">
      <c r="A92" s="95" t="s">
        <v>140</v>
      </c>
      <c r="B92" s="96" t="s">
        <v>137</v>
      </c>
      <c r="C92" s="54">
        <v>16</v>
      </c>
      <c r="D92" s="55">
        <f ca="1">((100/(H84))*C92)/100</f>
        <v>0.8421052631578948</v>
      </c>
      <c r="E92" s="100"/>
      <c r="F92" s="101"/>
      <c r="G92" s="100"/>
      <c r="H92" s="105"/>
      <c r="I92" s="14" t="s">
        <v>148</v>
      </c>
      <c r="J92" s="28">
        <f>(IF(B84&gt;2,(H84/(B84+2)+J91),0))</f>
        <v>0</v>
      </c>
    </row>
    <row r="93" spans="1:10" ht="15.75" customHeight="1" x14ac:dyDescent="0.3">
      <c r="A93" s="95" t="s">
        <v>136</v>
      </c>
      <c r="B93" s="96" t="s">
        <v>136</v>
      </c>
      <c r="C93" s="54">
        <v>5</v>
      </c>
      <c r="D93" s="55">
        <f ca="1">((100/H84)*C93)/100</f>
        <v>0.26315789473684215</v>
      </c>
      <c r="E93" s="100"/>
      <c r="F93" s="101"/>
      <c r="G93" s="100"/>
      <c r="H93" s="105"/>
      <c r="I93" s="14" t="s">
        <v>149</v>
      </c>
      <c r="J93" s="29">
        <f>(IF(B84&gt;3,(H84/(B84+2)+J92),0))</f>
        <v>0</v>
      </c>
    </row>
    <row r="94" spans="1:10" ht="15.75" customHeight="1" x14ac:dyDescent="0.3">
      <c r="A94" s="95" t="s">
        <v>143</v>
      </c>
      <c r="B94" s="96"/>
      <c r="C94" s="54">
        <v>0</v>
      </c>
      <c r="D94" s="55">
        <f ca="1">((100/H84)*C94)/100</f>
        <v>0</v>
      </c>
      <c r="E94" s="100"/>
      <c r="F94" s="101"/>
      <c r="G94" s="100"/>
      <c r="H94" s="105"/>
      <c r="I94" s="14" t="s">
        <v>150</v>
      </c>
      <c r="J94" s="28">
        <f>(IF(B84&gt;4,(H84/(B84+2)+J93),0))</f>
        <v>0</v>
      </c>
    </row>
    <row r="95" spans="1:10" ht="15.75" customHeight="1" x14ac:dyDescent="0.3">
      <c r="A95" s="95" t="s">
        <v>138</v>
      </c>
      <c r="B95" s="96" t="s">
        <v>138</v>
      </c>
      <c r="C95" s="54">
        <v>0</v>
      </c>
      <c r="D95" s="55">
        <f ca="1">((100/(H84))*C95)/100</f>
        <v>0</v>
      </c>
      <c r="E95" s="100"/>
      <c r="F95" s="101"/>
      <c r="G95" s="100"/>
      <c r="H95" s="105"/>
      <c r="I95" s="14" t="s">
        <v>154</v>
      </c>
      <c r="J95" s="28">
        <f ca="1">(IF(B84=1,(H84/(B84+3)+J90),IF(B84=0,(H84/4+J90),IF(B84&gt;1,0))))</f>
        <v>14.25</v>
      </c>
    </row>
    <row r="96" spans="1:10" ht="16.2" thickBot="1" x14ac:dyDescent="0.35">
      <c r="A96" s="107" t="s">
        <v>139</v>
      </c>
      <c r="B96" s="108"/>
      <c r="C96" s="57">
        <v>0</v>
      </c>
      <c r="D96" s="58">
        <f ca="1">((100/(H84))*C96)/100</f>
        <v>0</v>
      </c>
      <c r="E96" s="102"/>
      <c r="F96" s="103"/>
      <c r="G96" s="102"/>
      <c r="H96" s="106"/>
      <c r="I96" s="15" t="s">
        <v>106</v>
      </c>
      <c r="J96" s="30">
        <f ca="1">(IF(B84&gt;1.5,(H84/(B84+2)+J90+MAX(0,J91-J90)+MAX(0,J92-J91)+MAX(0,J93-J92)+MAX(0,J94-J93)+MAX(0,J95-J94)),IF(B84=1,(H84/(B84+3)+J95),IF(B84=0,H84/4+J95))))</f>
        <v>19</v>
      </c>
    </row>
    <row r="97" spans="1:11" ht="15.75" customHeight="1" x14ac:dyDescent="0.3">
      <c r="A97" s="141" t="s">
        <v>145</v>
      </c>
      <c r="B97" s="142"/>
      <c r="C97" s="143" t="str">
        <f>D61</f>
        <v>Plot B (Wing C) = Gr + 1st to 17th Floor</v>
      </c>
      <c r="D97" s="144"/>
      <c r="E97" s="144"/>
      <c r="F97" s="144"/>
      <c r="G97" s="144"/>
      <c r="H97" s="145"/>
      <c r="I97" s="49" t="str">
        <f ca="1">IF(D110=100%,"All work Completed. Possession granted to the Building.",IF(D109=100%,"All work Completed, Waiting for OC",I98&amp;""&amp;I99&amp;""&amp;J98&amp;""&amp;J97&amp;" "&amp;J99))</f>
        <v xml:space="preserve">Excavation, Plinth Completed </v>
      </c>
      <c r="J97" s="40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1" x14ac:dyDescent="0.3">
      <c r="A98" s="16" t="s">
        <v>147</v>
      </c>
      <c r="B98" s="53">
        <v>0</v>
      </c>
      <c r="C98" s="53" t="s">
        <v>73</v>
      </c>
      <c r="D98" s="53">
        <v>1</v>
      </c>
      <c r="E98" s="53" t="s">
        <v>72</v>
      </c>
      <c r="F98" s="53">
        <v>0</v>
      </c>
      <c r="G98" s="53" t="s">
        <v>81</v>
      </c>
      <c r="H98" s="17">
        <f ca="1">--TRIM(RIGHT(SUBSTITUTE(LEFT(C97,_xlfn.AGGREGATE(16,6,FIND({0,1,2,3,4,5,6,7,8,9},C97,ROW(INDIRECT("1:"&amp;LEN(C97)))),1))," ",REPT(" ",LEN(C97))),LEN(C97)))</f>
        <v>17</v>
      </c>
      <c r="I98" s="41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42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1" x14ac:dyDescent="0.3">
      <c r="A99" s="91" t="s">
        <v>91</v>
      </c>
      <c r="B99" s="92"/>
      <c r="C99" s="93" t="str">
        <f ca="1">I97</f>
        <v xml:space="preserve">Excavation, Plinth Completed </v>
      </c>
      <c r="D99" s="93"/>
      <c r="E99" s="93"/>
      <c r="F99" s="93"/>
      <c r="G99" s="93"/>
      <c r="H99" s="94"/>
      <c r="I99" s="41" t="str">
        <f ca="1">IF(I98&lt;&gt;""," Completed","")</f>
        <v xml:space="preserve"> Completed</v>
      </c>
      <c r="J99" s="42" t="str">
        <f ca="1">IF(J97&lt;&gt;"","Completed","")</f>
        <v/>
      </c>
    </row>
    <row r="100" spans="1:11" ht="15.75" customHeight="1" x14ac:dyDescent="0.3">
      <c r="A100" s="95" t="s">
        <v>50</v>
      </c>
      <c r="B100" s="96"/>
      <c r="C100" s="54" t="s">
        <v>144</v>
      </c>
      <c r="D100" s="54" t="s">
        <v>84</v>
      </c>
      <c r="E100" s="96" t="s">
        <v>86</v>
      </c>
      <c r="F100" s="96"/>
      <c r="G100" s="96" t="s">
        <v>85</v>
      </c>
      <c r="H100" s="97"/>
      <c r="I100" s="14" t="s">
        <v>146</v>
      </c>
      <c r="J100" s="26">
        <f ca="1">H98*25%</f>
        <v>4.25</v>
      </c>
    </row>
    <row r="101" spans="1:11" x14ac:dyDescent="0.3">
      <c r="A101" s="95" t="s">
        <v>133</v>
      </c>
      <c r="B101" s="96"/>
      <c r="C101" s="56">
        <f ca="1">J102</f>
        <v>17</v>
      </c>
      <c r="D101" s="55">
        <f ca="1">((100/H98)*C101)/100</f>
        <v>1</v>
      </c>
      <c r="E101" s="98">
        <f ca="1">(((C102/H98*10)+(40/(D98+F98+H98)*C103)+(7.5/(H98)*C104)+(7.5/(H98)*C105)+(10/H98*C106)+(10/H98*C107)+(5/H98*C108)+(5/H98*C109)+(5/H98*C110))/100)</f>
        <v>0.1</v>
      </c>
      <c r="F101" s="99"/>
      <c r="G101" s="98">
        <f ca="1">((((C101/H98)*20)+((C102/H98)*25)+(30/(H98+F98+D98)*C103)+(5/H98*C104)+(5/H98*C105)+(5/H98*C106)+(5/H98*C107)+(0/H98*C108)+(0/H98*C109)+(5/H98*C110))/100)</f>
        <v>0.45</v>
      </c>
      <c r="H101" s="104"/>
      <c r="I101" s="14" t="s">
        <v>102</v>
      </c>
      <c r="J101" s="27">
        <f ca="1">H98*50%</f>
        <v>8.5</v>
      </c>
    </row>
    <row r="102" spans="1:11" x14ac:dyDescent="0.3">
      <c r="A102" s="95" t="s">
        <v>51</v>
      </c>
      <c r="B102" s="96"/>
      <c r="C102" s="56">
        <f ca="1">J110</f>
        <v>17</v>
      </c>
      <c r="D102" s="55">
        <f ca="1">((100/H98)*C102)/100</f>
        <v>1</v>
      </c>
      <c r="E102" s="100"/>
      <c r="F102" s="101"/>
      <c r="G102" s="100"/>
      <c r="H102" s="105"/>
      <c r="I102" s="14" t="s">
        <v>103</v>
      </c>
      <c r="J102" s="27">
        <f ca="1">H98</f>
        <v>17</v>
      </c>
    </row>
    <row r="103" spans="1:11" ht="15.75" customHeight="1" x14ac:dyDescent="0.3">
      <c r="A103" s="95" t="s">
        <v>134</v>
      </c>
      <c r="B103" s="96"/>
      <c r="C103" s="54">
        <v>0</v>
      </c>
      <c r="D103" s="55">
        <f ca="1">((100/(D98+F98+H98))*C103)/100</f>
        <v>0</v>
      </c>
      <c r="E103" s="100"/>
      <c r="F103" s="101"/>
      <c r="G103" s="100"/>
      <c r="H103" s="105"/>
      <c r="I103" s="14" t="s">
        <v>104</v>
      </c>
      <c r="J103" s="28">
        <f ca="1">(IF(B98&gt;1,(H98/(B98+2)),H98/4))</f>
        <v>4.25</v>
      </c>
    </row>
    <row r="104" spans="1:11" ht="15.75" customHeight="1" x14ac:dyDescent="0.3">
      <c r="A104" s="95" t="s">
        <v>141</v>
      </c>
      <c r="B104" s="96" t="s">
        <v>135</v>
      </c>
      <c r="C104" s="54">
        <v>0</v>
      </c>
      <c r="D104" s="55">
        <f ca="1">((100/H98)*C104)/100</f>
        <v>0</v>
      </c>
      <c r="E104" s="100"/>
      <c r="F104" s="101"/>
      <c r="G104" s="100"/>
      <c r="H104" s="105"/>
      <c r="I104" s="14" t="s">
        <v>105</v>
      </c>
      <c r="J104" s="28">
        <f ca="1">(IF(B98&gt;1,(H98/(B98+2)+J103),H98/4+J103))</f>
        <v>8.5</v>
      </c>
    </row>
    <row r="105" spans="1:11" ht="15.75" customHeight="1" x14ac:dyDescent="0.3">
      <c r="A105" s="95" t="s">
        <v>142</v>
      </c>
      <c r="B105" s="96" t="s">
        <v>135</v>
      </c>
      <c r="C105" s="54">
        <v>0</v>
      </c>
      <c r="D105" s="55">
        <f ca="1">((100/H98)*C105)/100</f>
        <v>0</v>
      </c>
      <c r="E105" s="100"/>
      <c r="F105" s="101"/>
      <c r="G105" s="100"/>
      <c r="H105" s="105"/>
      <c r="I105" s="14" t="s">
        <v>153</v>
      </c>
      <c r="J105" s="28">
        <f>(IF(B98&gt;1,(H98/(B98+2)+J104),0))</f>
        <v>0</v>
      </c>
    </row>
    <row r="106" spans="1:11" ht="15" customHeight="1" x14ac:dyDescent="0.3">
      <c r="A106" s="95" t="s">
        <v>140</v>
      </c>
      <c r="B106" s="96" t="s">
        <v>137</v>
      </c>
      <c r="C106" s="54">
        <v>0</v>
      </c>
      <c r="D106" s="55">
        <f ca="1">((100/(H98))*C106)/100</f>
        <v>0</v>
      </c>
      <c r="E106" s="100"/>
      <c r="F106" s="101"/>
      <c r="G106" s="100"/>
      <c r="H106" s="105"/>
      <c r="I106" s="14" t="s">
        <v>148</v>
      </c>
      <c r="J106" s="28">
        <f>(IF(B98&gt;2,(H98/(B98+2)+J105),0))</f>
        <v>0</v>
      </c>
    </row>
    <row r="107" spans="1:11" ht="15.75" customHeight="1" x14ac:dyDescent="0.3">
      <c r="A107" s="95" t="s">
        <v>136</v>
      </c>
      <c r="B107" s="96" t="s">
        <v>136</v>
      </c>
      <c r="C107" s="54">
        <v>0</v>
      </c>
      <c r="D107" s="55">
        <f ca="1">((100/H98)*C107)/100</f>
        <v>0</v>
      </c>
      <c r="E107" s="100"/>
      <c r="F107" s="101"/>
      <c r="G107" s="100"/>
      <c r="H107" s="105"/>
      <c r="I107" s="14" t="s">
        <v>149</v>
      </c>
      <c r="J107" s="29">
        <f>(IF(B98&gt;3,(H98/(B98+2)+J106),0))</f>
        <v>0</v>
      </c>
    </row>
    <row r="108" spans="1:11" ht="15.75" customHeight="1" x14ac:dyDescent="0.3">
      <c r="A108" s="95" t="s">
        <v>143</v>
      </c>
      <c r="B108" s="96"/>
      <c r="C108" s="54">
        <v>0</v>
      </c>
      <c r="D108" s="55">
        <f ca="1">((100/H98)*C108)/100</f>
        <v>0</v>
      </c>
      <c r="E108" s="100"/>
      <c r="F108" s="101"/>
      <c r="G108" s="100"/>
      <c r="H108" s="105"/>
      <c r="I108" s="14" t="s">
        <v>150</v>
      </c>
      <c r="J108" s="28">
        <f>(IF(B98&gt;4,(H98/(B98+2)+J107),0))</f>
        <v>0</v>
      </c>
    </row>
    <row r="109" spans="1:11" ht="15.75" customHeight="1" x14ac:dyDescent="0.3">
      <c r="A109" s="95" t="s">
        <v>138</v>
      </c>
      <c r="B109" s="96" t="s">
        <v>138</v>
      </c>
      <c r="C109" s="54">
        <v>0</v>
      </c>
      <c r="D109" s="55">
        <f ca="1">((100/(H98))*C109)/100</f>
        <v>0</v>
      </c>
      <c r="E109" s="100"/>
      <c r="F109" s="101"/>
      <c r="G109" s="100"/>
      <c r="H109" s="105"/>
      <c r="I109" s="14" t="s">
        <v>154</v>
      </c>
      <c r="J109" s="28">
        <f ca="1">(IF(B98=1,(H98/(B98+3)+J104),IF(B98=0,(H98/4+J104),IF(B98&gt;1,0))))</f>
        <v>12.75</v>
      </c>
    </row>
    <row r="110" spans="1:11" ht="16.2" thickBot="1" x14ac:dyDescent="0.35">
      <c r="A110" s="107" t="s">
        <v>139</v>
      </c>
      <c r="B110" s="108"/>
      <c r="C110" s="57">
        <v>0</v>
      </c>
      <c r="D110" s="58">
        <f ca="1">((100/(H98))*C110)/100</f>
        <v>0</v>
      </c>
      <c r="E110" s="102"/>
      <c r="F110" s="103"/>
      <c r="G110" s="102"/>
      <c r="H110" s="106"/>
      <c r="I110" s="15" t="s">
        <v>106</v>
      </c>
      <c r="J110" s="30">
        <f ca="1">(IF(B98&gt;1.5,(H98/(B98+2)+J104+MAX(0,J105-J104)+MAX(0,J106-J105)+MAX(0,J107-J106)+MAX(0,J108-J107)+MAX(0,J109-J108)),IF(B98=1,(H98/(B98+3)+J109),IF(B98=0,H98/4+J109))))</f>
        <v>17</v>
      </c>
    </row>
    <row r="111" spans="1:11" x14ac:dyDescent="0.3">
      <c r="A111" s="130" t="s">
        <v>165</v>
      </c>
      <c r="B111" s="130"/>
      <c r="C111" s="130"/>
      <c r="D111" s="130"/>
      <c r="E111" s="130"/>
      <c r="F111" s="131" t="s">
        <v>170</v>
      </c>
      <c r="G111" s="131"/>
      <c r="H111" s="131"/>
    </row>
    <row r="112" spans="1:11" x14ac:dyDescent="0.3">
      <c r="A112" s="113" t="s">
        <v>168</v>
      </c>
      <c r="B112" s="113"/>
      <c r="C112" s="113"/>
      <c r="D112" s="113"/>
      <c r="E112" s="113"/>
      <c r="F112" s="194">
        <v>6100</v>
      </c>
      <c r="G112" s="194"/>
      <c r="H112" s="194"/>
      <c r="I112" s="19" t="s">
        <v>212</v>
      </c>
      <c r="J112" s="23">
        <v>45439</v>
      </c>
      <c r="K112" s="19" t="s">
        <v>209</v>
      </c>
    </row>
    <row r="113" spans="1:13" x14ac:dyDescent="0.3">
      <c r="A113" s="113" t="s">
        <v>167</v>
      </c>
      <c r="B113" s="113"/>
      <c r="C113" s="113"/>
      <c r="D113" s="113"/>
      <c r="E113" s="113"/>
      <c r="F113" s="116">
        <v>14000</v>
      </c>
      <c r="G113" s="116"/>
      <c r="H113" s="116"/>
      <c r="I113" s="19" t="s">
        <v>252</v>
      </c>
      <c r="M113" s="19" t="s">
        <v>260</v>
      </c>
    </row>
    <row r="114" spans="1:13" x14ac:dyDescent="0.3">
      <c r="A114" s="113" t="s">
        <v>169</v>
      </c>
      <c r="B114" s="113"/>
      <c r="C114" s="113"/>
      <c r="D114" s="113"/>
      <c r="E114" s="113"/>
      <c r="F114" s="116">
        <v>9000</v>
      </c>
      <c r="G114" s="116"/>
      <c r="H114" s="116"/>
    </row>
    <row r="115" spans="1:13" s="31" customFormat="1" hidden="1" x14ac:dyDescent="0.25">
      <c r="A115" s="113" t="s">
        <v>166</v>
      </c>
      <c r="B115" s="113"/>
      <c r="C115" s="113"/>
      <c r="D115" s="113"/>
      <c r="E115" s="113"/>
      <c r="F115" s="116"/>
      <c r="G115" s="116"/>
      <c r="H115" s="116"/>
    </row>
    <row r="116" spans="1:13" s="31" customFormat="1" x14ac:dyDescent="0.25">
      <c r="A116" s="113" t="s">
        <v>96</v>
      </c>
      <c r="B116" s="113"/>
      <c r="C116" s="113"/>
      <c r="D116" s="113"/>
      <c r="E116" s="113"/>
      <c r="F116" s="116">
        <v>250000</v>
      </c>
      <c r="G116" s="116"/>
      <c r="H116" s="116"/>
      <c r="J116" s="59" t="s">
        <v>208</v>
      </c>
      <c r="K116" s="60">
        <v>45036</v>
      </c>
      <c r="L116" s="59" t="s">
        <v>209</v>
      </c>
      <c r="M116" s="59" t="s">
        <v>210</v>
      </c>
    </row>
    <row r="117" spans="1:13" s="31" customFormat="1" hidden="1" x14ac:dyDescent="0.25">
      <c r="A117" s="113" t="s">
        <v>97</v>
      </c>
      <c r="B117" s="113"/>
      <c r="C117" s="113"/>
      <c r="D117" s="113"/>
      <c r="E117" s="113"/>
      <c r="F117" s="116"/>
      <c r="G117" s="116"/>
      <c r="H117" s="116"/>
    </row>
    <row r="118" spans="1:13" s="31" customFormat="1" hidden="1" x14ac:dyDescent="0.25">
      <c r="A118" s="113" t="s">
        <v>171</v>
      </c>
      <c r="B118" s="113"/>
      <c r="C118" s="113"/>
      <c r="D118" s="113"/>
      <c r="E118" s="113"/>
      <c r="F118" s="116"/>
      <c r="G118" s="116"/>
      <c r="H118" s="116"/>
    </row>
    <row r="119" spans="1:13" s="31" customFormat="1" hidden="1" x14ac:dyDescent="0.25">
      <c r="A119" s="113" t="s">
        <v>98</v>
      </c>
      <c r="B119" s="113"/>
      <c r="C119" s="113"/>
      <c r="D119" s="113"/>
      <c r="E119" s="113"/>
      <c r="F119" s="116"/>
      <c r="G119" s="116"/>
      <c r="H119" s="116"/>
    </row>
    <row r="120" spans="1:13" s="31" customFormat="1" hidden="1" x14ac:dyDescent="0.25">
      <c r="A120" s="113" t="s">
        <v>99</v>
      </c>
      <c r="B120" s="113"/>
      <c r="C120" s="113"/>
      <c r="D120" s="113"/>
      <c r="E120" s="113"/>
      <c r="F120" s="116"/>
      <c r="G120" s="116"/>
      <c r="H120" s="116"/>
    </row>
    <row r="121" spans="1:13" s="31" customFormat="1" hidden="1" x14ac:dyDescent="0.25">
      <c r="A121" s="113" t="s">
        <v>100</v>
      </c>
      <c r="B121" s="113"/>
      <c r="C121" s="113"/>
      <c r="D121" s="113"/>
      <c r="E121" s="113"/>
      <c r="F121" s="116"/>
      <c r="G121" s="116"/>
      <c r="H121" s="116"/>
    </row>
    <row r="122" spans="1:13" s="31" customFormat="1" hidden="1" x14ac:dyDescent="0.25">
      <c r="A122" s="113" t="s">
        <v>101</v>
      </c>
      <c r="B122" s="113"/>
      <c r="C122" s="113"/>
      <c r="D122" s="113"/>
      <c r="E122" s="113"/>
      <c r="F122" s="116"/>
      <c r="G122" s="116"/>
      <c r="H122" s="116"/>
    </row>
    <row r="123" spans="1:13" x14ac:dyDescent="0.3">
      <c r="A123" s="113" t="s">
        <v>52</v>
      </c>
      <c r="B123" s="113"/>
      <c r="C123" s="113"/>
      <c r="D123" s="113"/>
      <c r="E123" s="113"/>
      <c r="F123" s="116">
        <v>300000</v>
      </c>
      <c r="G123" s="116"/>
      <c r="H123" s="116"/>
    </row>
    <row r="124" spans="1:13" s="32" customFormat="1" x14ac:dyDescent="0.3">
      <c r="A124" s="162" t="s">
        <v>53</v>
      </c>
      <c r="B124" s="162"/>
      <c r="C124" s="162"/>
      <c r="D124" s="162"/>
      <c r="E124" s="162"/>
      <c r="F124" s="116">
        <f>F112*0.8</f>
        <v>4880</v>
      </c>
      <c r="G124" s="116"/>
      <c r="H124" s="116"/>
    </row>
    <row r="125" spans="1:13" s="33" customFormat="1" ht="15.75" customHeight="1" x14ac:dyDescent="0.3">
      <c r="A125" s="123" t="s">
        <v>77</v>
      </c>
      <c r="B125" s="123"/>
      <c r="C125" s="123"/>
      <c r="D125" s="123"/>
      <c r="E125" s="123"/>
      <c r="F125" s="123"/>
      <c r="G125" s="123"/>
      <c r="H125" s="123"/>
    </row>
    <row r="126" spans="1:13" s="33" customFormat="1" ht="15.75" customHeight="1" x14ac:dyDescent="0.3">
      <c r="A126" s="147" t="s">
        <v>54</v>
      </c>
      <c r="B126" s="147"/>
      <c r="C126" s="125" t="s">
        <v>80</v>
      </c>
      <c r="D126" s="125"/>
      <c r="E126" s="146" t="s">
        <v>55</v>
      </c>
      <c r="F126" s="146"/>
      <c r="G126" s="147" t="s">
        <v>56</v>
      </c>
      <c r="H126" s="147"/>
      <c r="J126" s="33" t="s">
        <v>198</v>
      </c>
    </row>
    <row r="127" spans="1:13" s="33" customFormat="1" x14ac:dyDescent="0.3">
      <c r="A127" s="159" t="s">
        <v>204</v>
      </c>
      <c r="B127" s="159"/>
      <c r="C127" s="148">
        <f>COUNT(D145:D156)</f>
        <v>12</v>
      </c>
      <c r="D127" s="149"/>
      <c r="E127" s="158">
        <f>SUM(D145:D156)</f>
        <v>1600.8737471999996</v>
      </c>
      <c r="F127" s="160"/>
      <c r="G127" s="158">
        <f>SUM(F145:F156)</f>
        <v>3312.2224629000002</v>
      </c>
      <c r="H127" s="160"/>
      <c r="J127" s="33">
        <v>6000</v>
      </c>
    </row>
    <row r="128" spans="1:13" s="33" customFormat="1" x14ac:dyDescent="0.3">
      <c r="A128" s="195" t="s">
        <v>189</v>
      </c>
      <c r="B128" s="48" t="s">
        <v>190</v>
      </c>
      <c r="C128" s="148">
        <f>COUNT(D159:D172)</f>
        <v>14</v>
      </c>
      <c r="D128" s="149"/>
      <c r="E128" s="158">
        <f>SUM(D159:D172)</f>
        <v>2001.5152091999998</v>
      </c>
      <c r="F128" s="160"/>
      <c r="G128" s="158">
        <f>SUM(F159:F172)</f>
        <v>4127.0454225000003</v>
      </c>
      <c r="H128" s="160"/>
    </row>
    <row r="129" spans="1:10" s="33" customFormat="1" x14ac:dyDescent="0.3">
      <c r="A129" s="196"/>
      <c r="B129" s="48" t="s">
        <v>203</v>
      </c>
      <c r="C129" s="148">
        <f>COUNT(D174:D177)</f>
        <v>4</v>
      </c>
      <c r="D129" s="149"/>
      <c r="E129" s="158">
        <f>SUM(D174:D177)</f>
        <v>1642.5691775999999</v>
      </c>
      <c r="F129" s="160"/>
      <c r="G129" s="158">
        <f>SUM(F174:F177)</f>
        <v>2545.98222528</v>
      </c>
      <c r="H129" s="160"/>
      <c r="J129" s="33">
        <f>12+14</f>
        <v>26</v>
      </c>
    </row>
    <row r="130" spans="1:10" s="33" customFormat="1" x14ac:dyDescent="0.3">
      <c r="A130" s="159" t="s">
        <v>229</v>
      </c>
      <c r="B130" s="159"/>
      <c r="C130" s="148">
        <f>COUNT(D180:D193)</f>
        <v>14</v>
      </c>
      <c r="D130" s="149"/>
      <c r="E130" s="158">
        <f>SUM(D180:D193)</f>
        <v>2334.5544455999998</v>
      </c>
      <c r="F130" s="160"/>
      <c r="G130" s="158">
        <f>SUM(F180:F193)</f>
        <v>3618.55939068</v>
      </c>
      <c r="H130" s="160"/>
      <c r="J130" s="33">
        <v>6000</v>
      </c>
    </row>
    <row r="131" spans="1:10" s="33" customFormat="1" x14ac:dyDescent="0.3">
      <c r="A131" s="123" t="s">
        <v>158</v>
      </c>
      <c r="B131" s="123"/>
      <c r="C131" s="124">
        <f>SUM(C127:D130)</f>
        <v>44</v>
      </c>
      <c r="D131" s="125"/>
      <c r="E131" s="124">
        <f>SUM(E127:F130)</f>
        <v>7579.5125795999984</v>
      </c>
      <c r="F131" s="125"/>
      <c r="G131" s="124">
        <f>SUM(G127:H130)</f>
        <v>13603.809501360001</v>
      </c>
      <c r="H131" s="125"/>
    </row>
    <row r="132" spans="1:10" s="33" customFormat="1" x14ac:dyDescent="0.3">
      <c r="A132" s="123" t="s">
        <v>230</v>
      </c>
      <c r="B132" s="123"/>
      <c r="C132" s="123"/>
      <c r="D132" s="123"/>
      <c r="E132" s="123"/>
      <c r="F132" s="123"/>
      <c r="G132" s="123"/>
      <c r="H132" s="123"/>
    </row>
    <row r="133" spans="1:10" s="33" customFormat="1" ht="15.75" customHeight="1" x14ac:dyDescent="0.3">
      <c r="A133" s="147" t="s">
        <v>54</v>
      </c>
      <c r="B133" s="147"/>
      <c r="C133" s="125" t="s">
        <v>80</v>
      </c>
      <c r="D133" s="125"/>
      <c r="E133" s="146" t="s">
        <v>55</v>
      </c>
      <c r="F133" s="146"/>
      <c r="G133" s="147" t="s">
        <v>56</v>
      </c>
      <c r="H133" s="147"/>
    </row>
    <row r="134" spans="1:10" s="33" customFormat="1" x14ac:dyDescent="0.3">
      <c r="A134" s="159" t="s">
        <v>188</v>
      </c>
      <c r="B134" s="159"/>
      <c r="C134" s="158">
        <f>COUNT(D201:D208)+COUNT(D210:D219)*6+COUNT(D221:D230)*7+COUNT(D232:D235,D237:D241)*2+COUNT(D243:D252)+COUNT(D254:D263)</f>
        <v>176</v>
      </c>
      <c r="D134" s="158"/>
      <c r="E134" s="158">
        <f>SUM(D201:D208)+SUM(D210:D219)*6+SUM(D221:D230)*8+SUM(D232:D235,D237:D241)*2+SUM(D243:D252)+SUM(D254:D263)</f>
        <v>76686.18048000001</v>
      </c>
      <c r="F134" s="158"/>
      <c r="G134" s="158">
        <f>SUM(F201:F208)+SUM(F210:F219)*6+SUM(F221:F230)*8+SUM(F232:F235,F237:F241)*2+SUM(F243:F252)+SUM(F254:F263)</f>
        <v>115029.27072</v>
      </c>
      <c r="H134" s="158"/>
    </row>
    <row r="135" spans="1:10" s="33" customFormat="1" x14ac:dyDescent="0.3">
      <c r="A135" s="159" t="s">
        <v>189</v>
      </c>
      <c r="B135" s="159"/>
      <c r="C135" s="148">
        <f>COUNT(D266:D268)+COUNT(D270:D276)*6+COUNT(D278:D284)*8+COUNT(D286:D289,D291:D292)*2+COUNT(D294:D300)+COUNT(D302:D308)</f>
        <v>127</v>
      </c>
      <c r="D135" s="148"/>
      <c r="E135" s="158">
        <f>SUM(D266:D268)+SUM(D270:D276)*7+SUM(D278:D284)*8+SUM(D286:D289,D291:D292)*2+SUM(D294:D300)+SUM(D302:D308)</f>
        <v>58779.561437999982</v>
      </c>
      <c r="F135" s="158"/>
      <c r="G135" s="158">
        <f>SUM(F266:F268)+SUM(F270:F276)*7+SUM(F278:F284)*8+SUM(F286:F289,F291:F292)*2+SUM(F294:F300)+SUM(F302:F308)</f>
        <v>88169.342156999992</v>
      </c>
      <c r="H135" s="158"/>
    </row>
    <row r="136" spans="1:10" s="33" customFormat="1" x14ac:dyDescent="0.3">
      <c r="A136" s="159" t="s">
        <v>217</v>
      </c>
      <c r="B136" s="159"/>
      <c r="C136" s="148">
        <f>COUNT(D311:D316)*14+COUNT(D318:D323)*2</f>
        <v>94</v>
      </c>
      <c r="D136" s="148"/>
      <c r="E136" s="158">
        <f>SUM(D311:D316)*14+SUM(D318:D323)*2</f>
        <v>42219.7426872</v>
      </c>
      <c r="F136" s="158"/>
      <c r="G136" s="158">
        <f>SUM(F311:F316)*14+SUM(F318:F323)*2</f>
        <v>63329.614030800003</v>
      </c>
      <c r="H136" s="158"/>
    </row>
    <row r="137" spans="1:10" s="33" customFormat="1" x14ac:dyDescent="0.3">
      <c r="A137" s="123" t="s">
        <v>158</v>
      </c>
      <c r="B137" s="123"/>
      <c r="C137" s="124">
        <f>SUM(C134:D136)</f>
        <v>397</v>
      </c>
      <c r="D137" s="124"/>
      <c r="E137" s="124">
        <f>SUM(E134:F136)</f>
        <v>177685.48460519998</v>
      </c>
      <c r="F137" s="124"/>
      <c r="G137" s="124">
        <f>SUM(G134:H136)</f>
        <v>266528.22690780001</v>
      </c>
      <c r="H137" s="124"/>
    </row>
    <row r="138" spans="1:10" s="33" customFormat="1" x14ac:dyDescent="0.3">
      <c r="A138" s="123" t="s">
        <v>205</v>
      </c>
      <c r="B138" s="123"/>
      <c r="C138" s="124">
        <f>SUM(C131+C137)</f>
        <v>441</v>
      </c>
      <c r="D138" s="125"/>
      <c r="E138" s="124">
        <f>SUM(E131+E137)</f>
        <v>185264.99718479998</v>
      </c>
      <c r="F138" s="124"/>
      <c r="G138" s="124">
        <f>SUM(G131+G137)</f>
        <v>280132.03640916001</v>
      </c>
      <c r="H138" s="124"/>
    </row>
    <row r="139" spans="1:10" s="32" customFormat="1" x14ac:dyDescent="0.3">
      <c r="A139" s="126" t="s">
        <v>57</v>
      </c>
      <c r="B139" s="126"/>
      <c r="C139" s="126"/>
      <c r="D139" s="126"/>
      <c r="E139" s="126"/>
      <c r="F139" s="126"/>
      <c r="G139" s="126"/>
      <c r="H139" s="126"/>
    </row>
    <row r="140" spans="1:10" x14ac:dyDescent="0.3">
      <c r="A140" s="126" t="s">
        <v>58</v>
      </c>
      <c r="B140" s="126"/>
      <c r="C140" s="126"/>
      <c r="D140" s="126"/>
      <c r="E140" s="126"/>
      <c r="F140" s="126"/>
      <c r="G140" s="126"/>
      <c r="H140" s="126"/>
    </row>
    <row r="141" spans="1:10" ht="47.25" customHeight="1" x14ac:dyDescent="0.3">
      <c r="A141" s="114" t="s">
        <v>124</v>
      </c>
      <c r="B141" s="114" t="s">
        <v>123</v>
      </c>
      <c r="C141" s="114" t="s">
        <v>59</v>
      </c>
      <c r="D141" s="114" t="s">
        <v>60</v>
      </c>
      <c r="E141" s="154" t="s">
        <v>164</v>
      </c>
      <c r="F141" s="47" t="s">
        <v>156</v>
      </c>
      <c r="G141" s="151" t="s">
        <v>62</v>
      </c>
      <c r="H141" s="156"/>
    </row>
    <row r="142" spans="1:10" s="35" customFormat="1" x14ac:dyDescent="0.3">
      <c r="A142" s="115"/>
      <c r="B142" s="115"/>
      <c r="C142" s="115"/>
      <c r="D142" s="115"/>
      <c r="E142" s="155"/>
      <c r="F142" s="13">
        <v>0.55000000000000004</v>
      </c>
      <c r="G142" s="152"/>
      <c r="H142" s="157"/>
    </row>
    <row r="143" spans="1:10" s="35" customFormat="1" x14ac:dyDescent="0.3">
      <c r="A143" s="81" t="s">
        <v>188</v>
      </c>
      <c r="B143" s="82"/>
      <c r="C143" s="82"/>
      <c r="D143" s="82"/>
      <c r="E143" s="82"/>
      <c r="F143" s="82"/>
      <c r="G143" s="82"/>
      <c r="H143" s="83"/>
      <c r="J143" s="34"/>
    </row>
    <row r="144" spans="1:10" s="35" customFormat="1" x14ac:dyDescent="0.3">
      <c r="A144" s="81" t="s">
        <v>197</v>
      </c>
      <c r="B144" s="82"/>
      <c r="C144" s="82"/>
      <c r="D144" s="82"/>
      <c r="E144" s="82"/>
      <c r="F144" s="82"/>
      <c r="G144" s="82"/>
      <c r="H144" s="83"/>
      <c r="J144" s="44"/>
    </row>
    <row r="145" spans="1:14" s="35" customFormat="1" ht="15.75" customHeight="1" x14ac:dyDescent="0.3">
      <c r="A145" s="78">
        <v>1</v>
      </c>
      <c r="B145" s="79"/>
      <c r="C145" s="46" t="s">
        <v>190</v>
      </c>
      <c r="D145" s="44">
        <f>(3.95*4.55+2*0.75)*(10.764)</f>
        <v>209.60199</v>
      </c>
      <c r="E145" s="44">
        <f>(3.95*1+2*0.75)*(10.764)</f>
        <v>58.663799999999995</v>
      </c>
      <c r="F145" s="46">
        <f t="shared" ref="F145:F154" si="0">(D145+E145)*(($F$142)+1)</f>
        <v>415.81197449999996</v>
      </c>
      <c r="G145" s="84" t="str">
        <f>A144</f>
        <v>Ground Floor for Commercial &amp; Parking</v>
      </c>
      <c r="H145" s="85"/>
      <c r="I145" s="34">
        <f>4056000/F145</f>
        <v>9754.4088403832156</v>
      </c>
      <c r="L145" s="80"/>
      <c r="M145" s="80"/>
      <c r="N145" s="34"/>
    </row>
    <row r="146" spans="1:14" s="35" customFormat="1" x14ac:dyDescent="0.3">
      <c r="A146" s="78">
        <f t="shared" ref="A146:A156" si="1">A145+1</f>
        <v>2</v>
      </c>
      <c r="B146" s="79"/>
      <c r="C146" s="46" t="s">
        <v>190</v>
      </c>
      <c r="D146" s="44">
        <f>(2.44*5.61)*(10.764)</f>
        <v>147.34193759999999</v>
      </c>
      <c r="E146" s="44">
        <f>(2.44*1.73)*(10.764)</f>
        <v>45.436996799999996</v>
      </c>
      <c r="F146" s="46">
        <f t="shared" si="0"/>
        <v>298.80734832000002</v>
      </c>
      <c r="G146" s="86"/>
      <c r="H146" s="87"/>
      <c r="I146" s="34"/>
      <c r="L146" s="80"/>
      <c r="M146" s="80"/>
      <c r="N146" s="34"/>
    </row>
    <row r="147" spans="1:14" s="35" customFormat="1" x14ac:dyDescent="0.3">
      <c r="A147" s="78">
        <f t="shared" si="1"/>
        <v>3</v>
      </c>
      <c r="B147" s="79"/>
      <c r="C147" s="46" t="s">
        <v>190</v>
      </c>
      <c r="D147" s="44">
        <f>(2.75*3.05)*10.764</f>
        <v>90.283049999999989</v>
      </c>
      <c r="E147" s="44">
        <v>0</v>
      </c>
      <c r="F147" s="46">
        <f t="shared" si="0"/>
        <v>139.9387275</v>
      </c>
      <c r="G147" s="86"/>
      <c r="H147" s="87"/>
      <c r="I147" s="34"/>
      <c r="L147" s="80"/>
      <c r="M147" s="80"/>
      <c r="N147" s="34"/>
    </row>
    <row r="148" spans="1:14" s="35" customFormat="1" x14ac:dyDescent="0.3">
      <c r="A148" s="78">
        <f t="shared" si="1"/>
        <v>4</v>
      </c>
      <c r="B148" s="79"/>
      <c r="C148" s="46" t="s">
        <v>190</v>
      </c>
      <c r="D148" s="44">
        <f>(2.75*3.05)*10.764</f>
        <v>90.283049999999989</v>
      </c>
      <c r="E148" s="44">
        <v>0</v>
      </c>
      <c r="F148" s="46">
        <f t="shared" si="0"/>
        <v>139.9387275</v>
      </c>
      <c r="G148" s="86"/>
      <c r="H148" s="87"/>
      <c r="I148" s="44">
        <v>10.763999999999999</v>
      </c>
      <c r="L148" s="80"/>
      <c r="M148" s="80"/>
      <c r="N148" s="34"/>
    </row>
    <row r="149" spans="1:14" s="35" customFormat="1" x14ac:dyDescent="0.3">
      <c r="A149" s="78">
        <f t="shared" si="1"/>
        <v>5</v>
      </c>
      <c r="B149" s="79"/>
      <c r="C149" s="46" t="s">
        <v>190</v>
      </c>
      <c r="D149" s="44">
        <f>(2.29*4.57+1*1.5+1.22*1.05)*10.764</f>
        <v>142.5831732</v>
      </c>
      <c r="E149" s="44">
        <f>(4*1.5+1.22*1.05)*10.764</f>
        <v>78.372683999999992</v>
      </c>
      <c r="F149" s="46">
        <f t="shared" si="0"/>
        <v>342.48157866000003</v>
      </c>
      <c r="G149" s="86"/>
      <c r="H149" s="87"/>
      <c r="I149" s="34"/>
      <c r="L149" s="80"/>
      <c r="M149" s="80"/>
      <c r="N149" s="34"/>
    </row>
    <row r="150" spans="1:14" s="35" customFormat="1" x14ac:dyDescent="0.3">
      <c r="A150" s="78">
        <f t="shared" si="1"/>
        <v>6</v>
      </c>
      <c r="B150" s="79"/>
      <c r="C150" s="46" t="s">
        <v>190</v>
      </c>
      <c r="D150" s="44">
        <f>(2.75*3.35+1.9*0.65)*10.764</f>
        <v>112.45688999999999</v>
      </c>
      <c r="E150" s="44">
        <f>(2.75*1.15+1.9*0.65)*10.764</f>
        <v>47.334689999999988</v>
      </c>
      <c r="F150" s="46">
        <f t="shared" si="0"/>
        <v>247.67694899999998</v>
      </c>
      <c r="G150" s="86"/>
      <c r="H150" s="87"/>
      <c r="I150" s="34"/>
      <c r="L150" s="80"/>
      <c r="M150" s="80"/>
      <c r="N150" s="34"/>
    </row>
    <row r="151" spans="1:14" s="35" customFormat="1" x14ac:dyDescent="0.3">
      <c r="A151" s="78">
        <f t="shared" si="1"/>
        <v>7</v>
      </c>
      <c r="B151" s="79"/>
      <c r="C151" s="46" t="s">
        <v>190</v>
      </c>
      <c r="D151" s="44">
        <f>(2.75*3.35+1.9*0.65)*10.764</f>
        <v>112.45688999999999</v>
      </c>
      <c r="E151" s="44">
        <f>(2.75*1.15+1.9*0.65)*10.764</f>
        <v>47.334689999999988</v>
      </c>
      <c r="F151" s="46">
        <f t="shared" si="0"/>
        <v>247.67694899999998</v>
      </c>
      <c r="G151" s="86"/>
      <c r="H151" s="87"/>
      <c r="I151" s="34"/>
      <c r="L151" s="80"/>
      <c r="M151" s="80"/>
      <c r="N151" s="34"/>
    </row>
    <row r="152" spans="1:14" s="35" customFormat="1" x14ac:dyDescent="0.3">
      <c r="A152" s="78">
        <f t="shared" si="1"/>
        <v>8</v>
      </c>
      <c r="B152" s="79"/>
      <c r="C152" s="46" t="s">
        <v>190</v>
      </c>
      <c r="D152" s="44">
        <f>(2.29*4.57+1*1.5+1.22*1.05)*10.764</f>
        <v>142.5831732</v>
      </c>
      <c r="E152" s="44">
        <f>(4*1.5+1.22*1.05)*10.764</f>
        <v>78.372683999999992</v>
      </c>
      <c r="F152" s="46">
        <f t="shared" si="0"/>
        <v>342.48157866000003</v>
      </c>
      <c r="G152" s="86"/>
      <c r="H152" s="87"/>
      <c r="I152" s="34"/>
      <c r="L152" s="80"/>
      <c r="M152" s="80"/>
      <c r="N152" s="34"/>
    </row>
    <row r="153" spans="1:14" s="35" customFormat="1" x14ac:dyDescent="0.3">
      <c r="A153" s="78">
        <f t="shared" si="1"/>
        <v>9</v>
      </c>
      <c r="B153" s="79"/>
      <c r="C153" s="46" t="s">
        <v>190</v>
      </c>
      <c r="D153" s="44">
        <f>(2.75*5.61)*10.764</f>
        <v>166.06161</v>
      </c>
      <c r="E153" s="44">
        <f>(2.75*1.8)*10.764</f>
        <v>53.281799999999997</v>
      </c>
      <c r="F153" s="46">
        <f t="shared" si="0"/>
        <v>339.98228550000005</v>
      </c>
      <c r="G153" s="86"/>
      <c r="H153" s="87"/>
      <c r="I153" s="34"/>
      <c r="L153" s="80"/>
      <c r="M153" s="80"/>
      <c r="N153" s="34"/>
    </row>
    <row r="154" spans="1:14" s="35" customFormat="1" x14ac:dyDescent="0.3">
      <c r="A154" s="78">
        <f t="shared" si="1"/>
        <v>10</v>
      </c>
      <c r="B154" s="79"/>
      <c r="C154" s="46" t="s">
        <v>190</v>
      </c>
      <c r="D154" s="44">
        <f>(2.75*5.61)*10.764</f>
        <v>166.06161</v>
      </c>
      <c r="E154" s="44">
        <f>(2.75*1.8)*10.764</f>
        <v>53.281799999999997</v>
      </c>
      <c r="F154" s="46">
        <f t="shared" si="0"/>
        <v>339.98228550000005</v>
      </c>
      <c r="G154" s="86"/>
      <c r="H154" s="87"/>
      <c r="I154" s="34"/>
      <c r="L154" s="80"/>
      <c r="M154" s="80"/>
      <c r="N154" s="34"/>
    </row>
    <row r="155" spans="1:14" s="35" customFormat="1" x14ac:dyDescent="0.3">
      <c r="A155" s="78">
        <f t="shared" si="1"/>
        <v>11</v>
      </c>
      <c r="B155" s="79"/>
      <c r="C155" s="46" t="s">
        <v>190</v>
      </c>
      <c r="D155" s="44">
        <f>(2.29*4.57+1.22*1.05)*10.764</f>
        <v>126.4371732</v>
      </c>
      <c r="E155" s="44">
        <f>(2.29*0.7+1.22*1.05)*10.764</f>
        <v>31.043375999999999</v>
      </c>
      <c r="F155" s="46">
        <f t="shared" ref="F155:F156" si="2">(D155+E155)*(($F$142)+1)</f>
        <v>244.09485126000001</v>
      </c>
      <c r="G155" s="86"/>
      <c r="H155" s="87"/>
      <c r="I155" s="34"/>
      <c r="L155" s="80"/>
      <c r="M155" s="80"/>
      <c r="N155" s="34"/>
    </row>
    <row r="156" spans="1:14" s="35" customFormat="1" x14ac:dyDescent="0.3">
      <c r="A156" s="78">
        <f t="shared" si="1"/>
        <v>12</v>
      </c>
      <c r="B156" s="79"/>
      <c r="C156" s="46" t="s">
        <v>190</v>
      </c>
      <c r="D156" s="44">
        <f>(2.75*3.2)*10.764</f>
        <v>94.723200000000006</v>
      </c>
      <c r="E156" s="44">
        <f>(2.75*1.45)*10.764</f>
        <v>42.921449999999993</v>
      </c>
      <c r="F156" s="46">
        <f t="shared" si="2"/>
        <v>213.34920750000003</v>
      </c>
      <c r="G156" s="88"/>
      <c r="H156" s="89"/>
      <c r="I156" s="34"/>
      <c r="L156" s="80"/>
      <c r="M156" s="80"/>
      <c r="N156" s="34"/>
    </row>
    <row r="157" spans="1:14" s="35" customFormat="1" x14ac:dyDescent="0.3">
      <c r="A157" s="81" t="s">
        <v>189</v>
      </c>
      <c r="B157" s="82"/>
      <c r="C157" s="82"/>
      <c r="D157" s="82"/>
      <c r="E157" s="82"/>
      <c r="F157" s="82"/>
      <c r="G157" s="82"/>
      <c r="H157" s="83"/>
      <c r="J157" s="34"/>
    </row>
    <row r="158" spans="1:14" s="35" customFormat="1" x14ac:dyDescent="0.3">
      <c r="A158" s="81" t="s">
        <v>197</v>
      </c>
      <c r="B158" s="82"/>
      <c r="C158" s="82"/>
      <c r="D158" s="82"/>
      <c r="E158" s="82"/>
      <c r="F158" s="82"/>
      <c r="G158" s="82"/>
      <c r="H158" s="83"/>
      <c r="J158" s="34"/>
    </row>
    <row r="159" spans="1:14" s="35" customFormat="1" ht="15.75" customHeight="1" x14ac:dyDescent="0.3">
      <c r="A159" s="78">
        <v>1</v>
      </c>
      <c r="B159" s="79"/>
      <c r="C159" s="46" t="s">
        <v>190</v>
      </c>
      <c r="D159" s="44">
        <f>(2.44*5.55)*(10.764)</f>
        <v>145.766088</v>
      </c>
      <c r="E159" s="44">
        <f>(2.44*1.83)*(10.764)</f>
        <v>48.063412800000002</v>
      </c>
      <c r="F159" s="46">
        <f t="shared" ref="F159:F171" si="3">(D159+E159)*(($F$142)+1)</f>
        <v>300.43572624000001</v>
      </c>
      <c r="G159" s="84" t="str">
        <f>A158</f>
        <v>Ground Floor for Commercial &amp; Parking</v>
      </c>
      <c r="H159" s="85"/>
      <c r="I159" s="34"/>
      <c r="L159" s="80"/>
      <c r="M159" s="80"/>
      <c r="N159" s="34"/>
    </row>
    <row r="160" spans="1:14" s="35" customFormat="1" x14ac:dyDescent="0.3">
      <c r="A160" s="78">
        <f t="shared" ref="A160:A172" si="4">A159+1</f>
        <v>2</v>
      </c>
      <c r="B160" s="79"/>
      <c r="C160" s="46" t="s">
        <v>190</v>
      </c>
      <c r="D160" s="44">
        <f>(2.75*5.55)*(10.764)</f>
        <v>164.28554999999997</v>
      </c>
      <c r="E160" s="44">
        <f>(2.75*1.83)*(10.764)</f>
        <v>54.169830000000005</v>
      </c>
      <c r="F160" s="46">
        <f t="shared" si="3"/>
        <v>338.605839</v>
      </c>
      <c r="G160" s="86"/>
      <c r="H160" s="87"/>
      <c r="I160" s="34"/>
      <c r="J160" s="35">
        <f>2.75/2.25</f>
        <v>1.2222222222222223</v>
      </c>
      <c r="L160" s="80"/>
      <c r="M160" s="80"/>
      <c r="N160" s="34"/>
    </row>
    <row r="161" spans="1:14" s="35" customFormat="1" x14ac:dyDescent="0.3">
      <c r="A161" s="78">
        <f t="shared" si="4"/>
        <v>3</v>
      </c>
      <c r="B161" s="79"/>
      <c r="C161" s="46" t="s">
        <v>190</v>
      </c>
      <c r="D161" s="44">
        <f>(1.8*3.74)*(10.764)</f>
        <v>72.463247999999993</v>
      </c>
      <c r="E161" s="44">
        <f>(1.8*1.75)*(10.764)</f>
        <v>33.906599999999997</v>
      </c>
      <c r="F161" s="46">
        <f t="shared" si="3"/>
        <v>164.87326439999998</v>
      </c>
      <c r="G161" s="86"/>
      <c r="H161" s="87"/>
      <c r="I161" s="34"/>
      <c r="J161" s="35">
        <f>2.44/2</f>
        <v>1.22</v>
      </c>
      <c r="L161" s="80"/>
      <c r="M161" s="80"/>
      <c r="N161" s="34"/>
    </row>
    <row r="162" spans="1:14" s="35" customFormat="1" x14ac:dyDescent="0.3">
      <c r="A162" s="78">
        <f t="shared" si="4"/>
        <v>4</v>
      </c>
      <c r="B162" s="79"/>
      <c r="C162" s="46" t="s">
        <v>190</v>
      </c>
      <c r="D162" s="44">
        <f>(3.14*4.55+1.25*1)*(10.764)</f>
        <v>167.24026799999999</v>
      </c>
      <c r="E162" s="44">
        <f>(3.14*0.7+1.25*1)*(10.764)</f>
        <v>37.114272</v>
      </c>
      <c r="F162" s="46">
        <f t="shared" si="3"/>
        <v>316.74953699999998</v>
      </c>
      <c r="G162" s="86"/>
      <c r="H162" s="87"/>
      <c r="I162" s="34"/>
      <c r="J162" s="35">
        <f>2.29/1.9</f>
        <v>1.2052631578947368</v>
      </c>
      <c r="L162" s="80"/>
      <c r="M162" s="80"/>
      <c r="N162" s="34"/>
    </row>
    <row r="163" spans="1:14" s="35" customFormat="1" x14ac:dyDescent="0.3">
      <c r="A163" s="78">
        <f t="shared" si="4"/>
        <v>5</v>
      </c>
      <c r="B163" s="79"/>
      <c r="C163" s="46" t="s">
        <v>190</v>
      </c>
      <c r="D163" s="44">
        <f>(2.75*5.55)*(10.764)</f>
        <v>164.28554999999997</v>
      </c>
      <c r="E163" s="44">
        <f>(2.75*1.83)*(10.764)</f>
        <v>54.169830000000005</v>
      </c>
      <c r="F163" s="46">
        <f t="shared" si="3"/>
        <v>338.605839</v>
      </c>
      <c r="G163" s="86"/>
      <c r="H163" s="87"/>
      <c r="I163" s="34"/>
      <c r="L163" s="80"/>
      <c r="M163" s="80"/>
      <c r="N163" s="34"/>
    </row>
    <row r="164" spans="1:14" s="35" customFormat="1" x14ac:dyDescent="0.3">
      <c r="A164" s="78">
        <f t="shared" si="4"/>
        <v>6</v>
      </c>
      <c r="B164" s="79"/>
      <c r="C164" s="46" t="s">
        <v>190</v>
      </c>
      <c r="D164" s="44">
        <f>(2.75*5.55)*(10.764)</f>
        <v>164.28554999999997</v>
      </c>
      <c r="E164" s="44">
        <f>(2.75*1.83)*(10.764)</f>
        <v>54.169830000000005</v>
      </c>
      <c r="F164" s="46">
        <f t="shared" si="3"/>
        <v>338.605839</v>
      </c>
      <c r="G164" s="86"/>
      <c r="H164" s="87"/>
      <c r="I164" s="34"/>
      <c r="K164" s="35">
        <f>4900000</f>
        <v>4900000</v>
      </c>
      <c r="L164" s="80"/>
      <c r="M164" s="80"/>
      <c r="N164" s="34"/>
    </row>
    <row r="165" spans="1:14" s="35" customFormat="1" x14ac:dyDescent="0.3">
      <c r="A165" s="78">
        <f t="shared" si="4"/>
        <v>7</v>
      </c>
      <c r="B165" s="79"/>
      <c r="C165" s="46" t="s">
        <v>190</v>
      </c>
      <c r="D165" s="44">
        <f>(2.1*3.96)*(10.764)</f>
        <v>89.513424000000001</v>
      </c>
      <c r="E165" s="44">
        <f>(2.1*1.15)*(10.764)</f>
        <v>25.995059999999999</v>
      </c>
      <c r="F165" s="46">
        <f t="shared" si="3"/>
        <v>179.03815019999999</v>
      </c>
      <c r="G165" s="86"/>
      <c r="H165" s="87"/>
      <c r="I165" s="34"/>
      <c r="L165" s="80"/>
      <c r="M165" s="80"/>
      <c r="N165" s="34"/>
    </row>
    <row r="166" spans="1:14" s="35" customFormat="1" x14ac:dyDescent="0.3">
      <c r="A166" s="78">
        <f t="shared" si="4"/>
        <v>8</v>
      </c>
      <c r="B166" s="79"/>
      <c r="C166" s="46" t="s">
        <v>190</v>
      </c>
      <c r="D166" s="44">
        <f>(2.9*3.65)*(10.764)</f>
        <v>113.93693999999998</v>
      </c>
      <c r="E166" s="44">
        <f>(1.15*3.65)*(10.764)</f>
        <v>45.181889999999996</v>
      </c>
      <c r="F166" s="46">
        <f t="shared" si="3"/>
        <v>246.63418649999997</v>
      </c>
      <c r="G166" s="86"/>
      <c r="H166" s="87"/>
      <c r="I166" s="34"/>
      <c r="L166" s="80"/>
      <c r="M166" s="80"/>
      <c r="N166" s="34"/>
    </row>
    <row r="167" spans="1:14" s="35" customFormat="1" x14ac:dyDescent="0.3">
      <c r="A167" s="78">
        <f t="shared" si="4"/>
        <v>9</v>
      </c>
      <c r="B167" s="79"/>
      <c r="C167" s="46" t="s">
        <v>190</v>
      </c>
      <c r="D167" s="44">
        <f>(3.87*2.44)*(10.764)</f>
        <v>101.6422992</v>
      </c>
      <c r="E167" s="44">
        <f>(1.05*2.44)*(10.764)</f>
        <v>27.577367999999996</v>
      </c>
      <c r="F167" s="46">
        <f t="shared" si="3"/>
        <v>200.29048416000001</v>
      </c>
      <c r="G167" s="86"/>
      <c r="H167" s="87"/>
      <c r="I167" s="34"/>
      <c r="J167" s="35">
        <f>0.9*1.22</f>
        <v>1.0980000000000001</v>
      </c>
      <c r="L167" s="80"/>
      <c r="M167" s="80"/>
      <c r="N167" s="34"/>
    </row>
    <row r="168" spans="1:14" s="35" customFormat="1" x14ac:dyDescent="0.3">
      <c r="A168" s="78">
        <f t="shared" si="4"/>
        <v>10</v>
      </c>
      <c r="B168" s="79"/>
      <c r="C168" s="46" t="s">
        <v>190</v>
      </c>
      <c r="D168" s="44">
        <f>(5.86*3.8+1.85*0.75)*(10.764)</f>
        <v>254.62780199999997</v>
      </c>
      <c r="E168" s="44">
        <f>(1.85*4.35)*(10.764)</f>
        <v>86.623289999999983</v>
      </c>
      <c r="F168" s="46">
        <f t="shared" si="3"/>
        <v>528.93919259999996</v>
      </c>
      <c r="G168" s="86"/>
      <c r="H168" s="87"/>
      <c r="I168" s="34"/>
      <c r="L168" s="80"/>
      <c r="M168" s="80"/>
      <c r="N168" s="34"/>
    </row>
    <row r="169" spans="1:14" s="35" customFormat="1" x14ac:dyDescent="0.3">
      <c r="A169" s="78">
        <f t="shared" si="4"/>
        <v>11</v>
      </c>
      <c r="B169" s="79"/>
      <c r="C169" s="46" t="s">
        <v>190</v>
      </c>
      <c r="D169" s="44">
        <f>(5.86*2.74)*(10.764)</f>
        <v>172.83108960000004</v>
      </c>
      <c r="E169" s="44">
        <f>(2.74*1.85)*(10.764)</f>
        <v>54.562716000000009</v>
      </c>
      <c r="F169" s="46">
        <f t="shared" si="3"/>
        <v>352.46039868000008</v>
      </c>
      <c r="G169" s="86"/>
      <c r="H169" s="87"/>
      <c r="I169" s="34"/>
      <c r="L169" s="80"/>
      <c r="M169" s="80"/>
      <c r="N169" s="34"/>
    </row>
    <row r="170" spans="1:14" s="35" customFormat="1" x14ac:dyDescent="0.3">
      <c r="A170" s="78">
        <f t="shared" si="4"/>
        <v>12</v>
      </c>
      <c r="B170" s="79"/>
      <c r="C170" s="46" t="s">
        <v>190</v>
      </c>
      <c r="D170" s="44">
        <f>(5.86*2.74)*(10.764)</f>
        <v>172.83108960000004</v>
      </c>
      <c r="E170" s="44">
        <f>(2.74*1.85)*(10.764)</f>
        <v>54.562716000000009</v>
      </c>
      <c r="F170" s="46">
        <f t="shared" si="3"/>
        <v>352.46039868000008</v>
      </c>
      <c r="G170" s="86"/>
      <c r="H170" s="87"/>
      <c r="I170" s="34"/>
      <c r="L170" s="80"/>
      <c r="M170" s="80"/>
      <c r="N170" s="34"/>
    </row>
    <row r="171" spans="1:14" s="35" customFormat="1" x14ac:dyDescent="0.3">
      <c r="A171" s="78">
        <f t="shared" si="4"/>
        <v>13</v>
      </c>
      <c r="B171" s="79"/>
      <c r="C171" s="46" t="s">
        <v>190</v>
      </c>
      <c r="D171" s="44">
        <f>(4.67*2.29)*(10.764)</f>
        <v>115.1134452</v>
      </c>
      <c r="E171" s="44">
        <f>(1.85*2.29)*(10.764)</f>
        <v>45.601686000000001</v>
      </c>
      <c r="F171" s="46">
        <f t="shared" si="3"/>
        <v>249.10845336</v>
      </c>
      <c r="G171" s="86"/>
      <c r="H171" s="87"/>
      <c r="I171" s="34"/>
      <c r="J171" s="35">
        <f>1.22*1.2</f>
        <v>1.464</v>
      </c>
      <c r="L171" s="80"/>
      <c r="M171" s="80"/>
      <c r="N171" s="34"/>
    </row>
    <row r="172" spans="1:14" s="35" customFormat="1" x14ac:dyDescent="0.3">
      <c r="A172" s="78">
        <f t="shared" si="4"/>
        <v>14</v>
      </c>
      <c r="B172" s="79"/>
      <c r="C172" s="46" t="s">
        <v>190</v>
      </c>
      <c r="D172" s="44">
        <f>(3.91*2.44)*(10.764)</f>
        <v>102.69286559999999</v>
      </c>
      <c r="E172" s="44">
        <f>(1.5*2.44)*(10.764)</f>
        <v>39.396239999999999</v>
      </c>
      <c r="F172" s="46">
        <f t="shared" ref="F172" si="5">(D172+E172)*(($F$142)+1)</f>
        <v>220.23811367999997</v>
      </c>
      <c r="G172" s="88"/>
      <c r="H172" s="89"/>
      <c r="I172" s="34"/>
      <c r="L172" s="80"/>
      <c r="M172" s="80"/>
      <c r="N172" s="34"/>
    </row>
    <row r="173" spans="1:14" s="35" customFormat="1" x14ac:dyDescent="0.3">
      <c r="A173" s="197" t="s">
        <v>202</v>
      </c>
      <c r="B173" s="198"/>
      <c r="C173" s="198"/>
      <c r="D173" s="198"/>
      <c r="E173" s="198"/>
      <c r="F173" s="198"/>
      <c r="G173" s="198"/>
      <c r="H173" s="199"/>
      <c r="J173" s="34"/>
    </row>
    <row r="174" spans="1:14" s="35" customFormat="1" ht="15.75" customHeight="1" x14ac:dyDescent="0.3">
      <c r="A174" s="78">
        <v>1</v>
      </c>
      <c r="B174" s="79"/>
      <c r="C174" s="46" t="s">
        <v>203</v>
      </c>
      <c r="D174" s="44">
        <f>(4.86*4.12+3.2*1.1+1.25*1+3.2*2.74+1.8*0.6+1.2*1.8+0.75*(2.74+2.29+2.74))*(10.764)</f>
        <v>458.85532679999994</v>
      </c>
      <c r="E174" s="44">
        <v>0</v>
      </c>
      <c r="F174" s="46">
        <f t="shared" ref="F174:F176" si="6">(D174+E174)*(($F$142)+1)</f>
        <v>711.22575653999991</v>
      </c>
      <c r="G174" s="84" t="str">
        <f>A173</f>
        <v>1st Floor For Residential &amp; Commercial</v>
      </c>
      <c r="H174" s="85"/>
      <c r="I174" s="34"/>
      <c r="L174" s="80"/>
      <c r="M174" s="80"/>
      <c r="N174" s="34"/>
    </row>
    <row r="175" spans="1:14" s="35" customFormat="1" ht="15.75" customHeight="1" x14ac:dyDescent="0.3">
      <c r="A175" s="78">
        <f t="shared" ref="A175:A177" si="7">A174+1</f>
        <v>2</v>
      </c>
      <c r="B175" s="79"/>
      <c r="C175" s="46" t="s">
        <v>203</v>
      </c>
      <c r="D175" s="44">
        <f>(6.76*4.18+3.2*2.74+1.8*0.6+1.2*1.6+3.15*0.9+1.05*(5.18+2.74))*(10.764)</f>
        <v>550.85631119999994</v>
      </c>
      <c r="E175" s="44">
        <v>0</v>
      </c>
      <c r="F175" s="46">
        <f t="shared" si="6"/>
        <v>853.82728235999991</v>
      </c>
      <c r="G175" s="86"/>
      <c r="H175" s="87"/>
      <c r="I175" s="34"/>
      <c r="L175" s="80"/>
      <c r="M175" s="80"/>
      <c r="N175" s="34"/>
    </row>
    <row r="176" spans="1:14" s="35" customFormat="1" ht="15.75" customHeight="1" x14ac:dyDescent="0.3">
      <c r="A176" s="78">
        <f t="shared" si="7"/>
        <v>3</v>
      </c>
      <c r="B176" s="79"/>
      <c r="C176" s="46" t="s">
        <v>203</v>
      </c>
      <c r="D176" s="44">
        <f>(5.78*5.53+2.29*1.05+2.9*1.3+0.75*(2.45+2.45+2.9))*(10.764)</f>
        <v>473.48575560000006</v>
      </c>
      <c r="E176" s="44">
        <v>0</v>
      </c>
      <c r="F176" s="46">
        <f t="shared" si="6"/>
        <v>733.90292118000013</v>
      </c>
      <c r="G176" s="86"/>
      <c r="H176" s="87"/>
      <c r="I176" s="34"/>
      <c r="L176" s="80"/>
      <c r="M176" s="80"/>
      <c r="N176" s="34"/>
    </row>
    <row r="177" spans="1:14" s="35" customFormat="1" ht="15.75" customHeight="1" x14ac:dyDescent="0.3">
      <c r="A177" s="78">
        <f t="shared" si="7"/>
        <v>4</v>
      </c>
      <c r="B177" s="79"/>
      <c r="C177" s="46" t="s">
        <v>203</v>
      </c>
      <c r="D177" s="44">
        <f>(3.65*2.74+2.75*1+0.75*2.74)*(10.764)</f>
        <v>159.37178399999999</v>
      </c>
      <c r="E177" s="44">
        <v>0</v>
      </c>
      <c r="F177" s="46">
        <f t="shared" ref="F177" si="8">(D177+E177)*(($F$142)+1)</f>
        <v>247.02626519999998</v>
      </c>
      <c r="G177" s="88"/>
      <c r="H177" s="89"/>
      <c r="I177" s="34"/>
      <c r="L177" s="80"/>
      <c r="M177" s="80"/>
      <c r="N177" s="34"/>
    </row>
    <row r="178" spans="1:14" s="35" customFormat="1" x14ac:dyDescent="0.3">
      <c r="A178" s="81" t="s">
        <v>217</v>
      </c>
      <c r="B178" s="82"/>
      <c r="C178" s="82"/>
      <c r="D178" s="82"/>
      <c r="E178" s="82"/>
      <c r="F178" s="82"/>
      <c r="G178" s="82"/>
      <c r="H178" s="83"/>
      <c r="J178" s="34"/>
    </row>
    <row r="179" spans="1:14" s="35" customFormat="1" x14ac:dyDescent="0.3">
      <c r="A179" s="81" t="s">
        <v>197</v>
      </c>
      <c r="B179" s="82"/>
      <c r="C179" s="82"/>
      <c r="D179" s="82"/>
      <c r="E179" s="82"/>
      <c r="F179" s="82"/>
      <c r="G179" s="82"/>
      <c r="H179" s="83"/>
      <c r="J179" s="34"/>
    </row>
    <row r="180" spans="1:14" s="35" customFormat="1" ht="15.75" customHeight="1" x14ac:dyDescent="0.3">
      <c r="A180" s="78">
        <v>1</v>
      </c>
      <c r="B180" s="79"/>
      <c r="C180" s="46" t="s">
        <v>190</v>
      </c>
      <c r="D180" s="44">
        <f>(3.65*2.74)*(10.764)</f>
        <v>107.65076400000001</v>
      </c>
      <c r="E180" s="44">
        <v>0</v>
      </c>
      <c r="F180" s="46">
        <f t="shared" ref="F180:F193" si="9">(D180+E180)*(($F$142)+1)</f>
        <v>166.85868420000003</v>
      </c>
      <c r="G180" s="84" t="str">
        <f>A179</f>
        <v>Ground Floor for Commercial &amp; Parking</v>
      </c>
      <c r="H180" s="85"/>
      <c r="I180" s="34"/>
      <c r="L180" s="80"/>
      <c r="M180" s="80"/>
      <c r="N180" s="34"/>
    </row>
    <row r="181" spans="1:14" s="35" customFormat="1" x14ac:dyDescent="0.3">
      <c r="A181" s="78">
        <f t="shared" ref="A181:A193" si="10">A180+1</f>
        <v>2</v>
      </c>
      <c r="B181" s="79"/>
      <c r="C181" s="46" t="s">
        <v>190</v>
      </c>
      <c r="D181" s="44">
        <f>(3.65*2.29)*(10.764)</f>
        <v>89.970893999999987</v>
      </c>
      <c r="E181" s="44">
        <v>0</v>
      </c>
      <c r="F181" s="46">
        <f t="shared" si="9"/>
        <v>139.45488569999998</v>
      </c>
      <c r="G181" s="86"/>
      <c r="H181" s="87"/>
      <c r="I181" s="34"/>
      <c r="J181" s="35">
        <f>2.75/2.25</f>
        <v>1.2222222222222223</v>
      </c>
      <c r="L181" s="80"/>
      <c r="M181" s="80"/>
      <c r="N181" s="34"/>
    </row>
    <row r="182" spans="1:14" s="35" customFormat="1" x14ac:dyDescent="0.3">
      <c r="A182" s="78">
        <f t="shared" si="10"/>
        <v>3</v>
      </c>
      <c r="B182" s="79"/>
      <c r="C182" s="46" t="s">
        <v>190</v>
      </c>
      <c r="D182" s="44">
        <f>(3.35*3.35)*(10.764)</f>
        <v>120.79898999999999</v>
      </c>
      <c r="E182" s="44">
        <v>0</v>
      </c>
      <c r="F182" s="46">
        <f t="shared" si="9"/>
        <v>187.23843449999998</v>
      </c>
      <c r="G182" s="86"/>
      <c r="H182" s="87"/>
      <c r="I182" s="34"/>
      <c r="J182" s="35">
        <f>2.44/2</f>
        <v>1.22</v>
      </c>
      <c r="L182" s="80"/>
      <c r="M182" s="80"/>
      <c r="N182" s="34"/>
    </row>
    <row r="183" spans="1:14" s="35" customFormat="1" x14ac:dyDescent="0.3">
      <c r="A183" s="78">
        <f t="shared" si="10"/>
        <v>4</v>
      </c>
      <c r="B183" s="79"/>
      <c r="C183" s="46" t="s">
        <v>190</v>
      </c>
      <c r="D183" s="44">
        <f>(3.05*7.06)*(10.764)</f>
        <v>231.78121199999995</v>
      </c>
      <c r="E183" s="44">
        <v>0</v>
      </c>
      <c r="F183" s="46">
        <f t="shared" si="9"/>
        <v>359.26087859999996</v>
      </c>
      <c r="G183" s="86"/>
      <c r="H183" s="87"/>
      <c r="I183" s="34"/>
      <c r="J183" s="35">
        <f>2.29/1.9</f>
        <v>1.2052631578947368</v>
      </c>
      <c r="L183" s="80"/>
      <c r="M183" s="80"/>
      <c r="N183" s="34"/>
    </row>
    <row r="184" spans="1:14" s="35" customFormat="1" x14ac:dyDescent="0.3">
      <c r="A184" s="78">
        <f t="shared" si="10"/>
        <v>5</v>
      </c>
      <c r="B184" s="79"/>
      <c r="C184" s="46" t="s">
        <v>190</v>
      </c>
      <c r="D184" s="44">
        <f>(2.74*7.06)*(10.764)</f>
        <v>208.22312159999998</v>
      </c>
      <c r="E184" s="44">
        <v>0</v>
      </c>
      <c r="F184" s="46">
        <f t="shared" si="9"/>
        <v>322.74583847999997</v>
      </c>
      <c r="G184" s="86"/>
      <c r="H184" s="87"/>
      <c r="I184" s="34"/>
      <c r="L184" s="80"/>
      <c r="M184" s="80"/>
      <c r="N184" s="34"/>
    </row>
    <row r="185" spans="1:14" s="35" customFormat="1" x14ac:dyDescent="0.3">
      <c r="A185" s="78">
        <f t="shared" si="10"/>
        <v>6</v>
      </c>
      <c r="B185" s="79"/>
      <c r="C185" s="46" t="s">
        <v>190</v>
      </c>
      <c r="D185" s="44">
        <f>(4.4*3.56+2.9*2)*(10.764)</f>
        <v>231.03849600000001</v>
      </c>
      <c r="E185" s="44">
        <v>0</v>
      </c>
      <c r="F185" s="46">
        <f t="shared" si="9"/>
        <v>358.10966880000001</v>
      </c>
      <c r="G185" s="86"/>
      <c r="H185" s="87"/>
      <c r="I185" s="34"/>
      <c r="K185" s="35">
        <f>4900000</f>
        <v>4900000</v>
      </c>
      <c r="L185" s="80"/>
      <c r="M185" s="80"/>
      <c r="N185" s="34"/>
    </row>
    <row r="186" spans="1:14" s="35" customFormat="1" x14ac:dyDescent="0.3">
      <c r="A186" s="78">
        <f t="shared" si="10"/>
        <v>7</v>
      </c>
      <c r="B186" s="79"/>
      <c r="C186" s="46" t="s">
        <v>190</v>
      </c>
      <c r="D186" s="44">
        <f>(4.4*3.56+2.9*2)*(10.764)</f>
        <v>231.03849600000001</v>
      </c>
      <c r="E186" s="44">
        <v>0</v>
      </c>
      <c r="F186" s="46">
        <f t="shared" si="9"/>
        <v>358.10966880000001</v>
      </c>
      <c r="G186" s="86"/>
      <c r="H186" s="87"/>
      <c r="I186" s="34"/>
      <c r="L186" s="80"/>
      <c r="M186" s="80"/>
      <c r="N186" s="34"/>
    </row>
    <row r="187" spans="1:14" s="35" customFormat="1" x14ac:dyDescent="0.3">
      <c r="A187" s="78">
        <f t="shared" si="10"/>
        <v>8</v>
      </c>
      <c r="B187" s="79"/>
      <c r="C187" s="46" t="s">
        <v>190</v>
      </c>
      <c r="D187" s="44">
        <f>(2.74*7.06)*(10.764)</f>
        <v>208.22312159999998</v>
      </c>
      <c r="E187" s="44">
        <v>0</v>
      </c>
      <c r="F187" s="46">
        <f t="shared" si="9"/>
        <v>322.74583847999997</v>
      </c>
      <c r="G187" s="86"/>
      <c r="H187" s="87"/>
      <c r="I187" s="34"/>
      <c r="L187" s="80"/>
      <c r="M187" s="80"/>
      <c r="N187" s="34"/>
    </row>
    <row r="188" spans="1:14" s="35" customFormat="1" x14ac:dyDescent="0.3">
      <c r="A188" s="78">
        <f t="shared" si="10"/>
        <v>9</v>
      </c>
      <c r="B188" s="79"/>
      <c r="C188" s="46" t="s">
        <v>190</v>
      </c>
      <c r="D188" s="44">
        <f>(2.74*7.06)*(10.764)</f>
        <v>208.22312159999998</v>
      </c>
      <c r="E188" s="44">
        <v>0</v>
      </c>
      <c r="F188" s="46">
        <f t="shared" si="9"/>
        <v>322.74583847999997</v>
      </c>
      <c r="G188" s="86"/>
      <c r="H188" s="87"/>
      <c r="I188" s="34"/>
      <c r="J188" s="35">
        <f>0.9*1.22</f>
        <v>1.0980000000000001</v>
      </c>
      <c r="L188" s="80"/>
      <c r="M188" s="80"/>
      <c r="N188" s="34"/>
    </row>
    <row r="189" spans="1:14" s="35" customFormat="1" x14ac:dyDescent="0.3">
      <c r="A189" s="78">
        <f t="shared" si="10"/>
        <v>10</v>
      </c>
      <c r="B189" s="79"/>
      <c r="C189" s="46" t="s">
        <v>190</v>
      </c>
      <c r="D189" s="44">
        <f>(2.29*4.38+1.2*1.1)*(10.764)</f>
        <v>122.1735528</v>
      </c>
      <c r="E189" s="44">
        <v>0</v>
      </c>
      <c r="F189" s="46">
        <f t="shared" si="9"/>
        <v>189.36900684</v>
      </c>
      <c r="G189" s="86"/>
      <c r="H189" s="87"/>
      <c r="I189" s="34"/>
      <c r="L189" s="80"/>
      <c r="M189" s="80"/>
      <c r="N189" s="34"/>
    </row>
    <row r="190" spans="1:14" s="35" customFormat="1" x14ac:dyDescent="0.3">
      <c r="A190" s="78">
        <f t="shared" si="10"/>
        <v>11</v>
      </c>
      <c r="B190" s="79"/>
      <c r="C190" s="46" t="s">
        <v>190</v>
      </c>
      <c r="D190" s="44">
        <f>(2.74*3.6+0.75*0.7)*(10.764)</f>
        <v>111.827196</v>
      </c>
      <c r="E190" s="44">
        <v>0</v>
      </c>
      <c r="F190" s="46">
        <f t="shared" si="9"/>
        <v>173.33215380000001</v>
      </c>
      <c r="G190" s="86"/>
      <c r="H190" s="87"/>
      <c r="I190" s="34"/>
      <c r="L190" s="80"/>
      <c r="M190" s="80"/>
      <c r="N190" s="34"/>
    </row>
    <row r="191" spans="1:14" s="35" customFormat="1" x14ac:dyDescent="0.3">
      <c r="A191" s="78">
        <f t="shared" si="10"/>
        <v>12</v>
      </c>
      <c r="B191" s="79"/>
      <c r="C191" s="46" t="s">
        <v>190</v>
      </c>
      <c r="D191" s="44">
        <f>(2.74*5.4)*(10.764)</f>
        <v>159.26414400000002</v>
      </c>
      <c r="E191" s="44">
        <v>0</v>
      </c>
      <c r="F191" s="46">
        <f t="shared" si="9"/>
        <v>246.85942320000004</v>
      </c>
      <c r="G191" s="86"/>
      <c r="H191" s="87"/>
      <c r="I191" s="34"/>
      <c r="L191" s="80"/>
      <c r="M191" s="80"/>
      <c r="N191" s="34"/>
    </row>
    <row r="192" spans="1:14" s="35" customFormat="1" x14ac:dyDescent="0.3">
      <c r="A192" s="78">
        <f t="shared" si="10"/>
        <v>13</v>
      </c>
      <c r="B192" s="79"/>
      <c r="C192" s="46" t="s">
        <v>190</v>
      </c>
      <c r="D192" s="44">
        <f>(3.35*5.7)*(10.764)</f>
        <v>205.53858000000002</v>
      </c>
      <c r="E192" s="44">
        <v>0</v>
      </c>
      <c r="F192" s="46">
        <f t="shared" si="9"/>
        <v>318.58479900000003</v>
      </c>
      <c r="G192" s="86"/>
      <c r="H192" s="87"/>
      <c r="I192" s="34"/>
      <c r="J192" s="35">
        <f>1.22*1.2</f>
        <v>1.464</v>
      </c>
      <c r="L192" s="80"/>
      <c r="M192" s="80"/>
      <c r="N192" s="34"/>
    </row>
    <row r="193" spans="1:14" s="35" customFormat="1" x14ac:dyDescent="0.3">
      <c r="A193" s="78">
        <f t="shared" si="10"/>
        <v>14</v>
      </c>
      <c r="B193" s="79"/>
      <c r="C193" s="46" t="s">
        <v>190</v>
      </c>
      <c r="D193" s="44">
        <f>(3.35*2.74)*(10.764)</f>
        <v>98.802756000000002</v>
      </c>
      <c r="E193" s="44">
        <v>0</v>
      </c>
      <c r="F193" s="46">
        <f t="shared" si="9"/>
        <v>153.14427180000001</v>
      </c>
      <c r="G193" s="88"/>
      <c r="H193" s="89"/>
      <c r="I193" s="34"/>
      <c r="L193" s="80"/>
      <c r="M193" s="80"/>
      <c r="N193" s="34"/>
    </row>
    <row r="194" spans="1:14" s="35" customFormat="1" x14ac:dyDescent="0.3">
      <c r="A194" s="78"/>
      <c r="B194" s="109"/>
      <c r="C194" s="109"/>
      <c r="D194" s="109"/>
      <c r="E194" s="109"/>
      <c r="F194" s="109"/>
      <c r="G194" s="109"/>
      <c r="H194" s="79"/>
      <c r="I194" s="34"/>
      <c r="N194" s="34"/>
    </row>
    <row r="195" spans="1:14" ht="47.25" customHeight="1" x14ac:dyDescent="0.3">
      <c r="A195" s="151" t="s">
        <v>125</v>
      </c>
      <c r="B195" s="151" t="s">
        <v>126</v>
      </c>
      <c r="C195" s="114" t="s">
        <v>59</v>
      </c>
      <c r="D195" s="114" t="s">
        <v>60</v>
      </c>
      <c r="E195" s="154" t="s">
        <v>61</v>
      </c>
      <c r="F195" s="47" t="s">
        <v>156</v>
      </c>
      <c r="G195" s="151" t="s">
        <v>62</v>
      </c>
      <c r="H195" s="156"/>
      <c r="I195" s="34"/>
    </row>
    <row r="196" spans="1:14" s="35" customFormat="1" x14ac:dyDescent="0.3">
      <c r="A196" s="152"/>
      <c r="B196" s="152"/>
      <c r="C196" s="115"/>
      <c r="D196" s="115"/>
      <c r="E196" s="155"/>
      <c r="F196" s="13">
        <v>0.5</v>
      </c>
      <c r="G196" s="152"/>
      <c r="H196" s="157"/>
      <c r="I196" s="34"/>
    </row>
    <row r="197" spans="1:14" s="35" customFormat="1" x14ac:dyDescent="0.3">
      <c r="A197" s="81" t="s">
        <v>188</v>
      </c>
      <c r="B197" s="82"/>
      <c r="C197" s="82"/>
      <c r="D197" s="82"/>
      <c r="E197" s="82"/>
      <c r="F197" s="82"/>
      <c r="G197" s="82"/>
      <c r="H197" s="83"/>
      <c r="J197" s="34"/>
    </row>
    <row r="198" spans="1:14" s="35" customFormat="1" x14ac:dyDescent="0.3">
      <c r="A198" s="81" t="s">
        <v>201</v>
      </c>
      <c r="B198" s="82"/>
      <c r="C198" s="82"/>
      <c r="D198" s="82"/>
      <c r="E198" s="82"/>
      <c r="F198" s="82"/>
      <c r="G198" s="82"/>
      <c r="H198" s="83"/>
      <c r="J198" s="34"/>
    </row>
    <row r="199" spans="1:14" s="35" customFormat="1" ht="15.75" customHeight="1" x14ac:dyDescent="0.3">
      <c r="A199" s="78">
        <v>1</v>
      </c>
      <c r="B199" s="79"/>
      <c r="C199" s="206" t="s">
        <v>200</v>
      </c>
      <c r="D199" s="207"/>
      <c r="E199" s="207"/>
      <c r="F199" s="208"/>
      <c r="G199" s="84" t="str">
        <f>A198</f>
        <v>1st Floor For Residential</v>
      </c>
      <c r="H199" s="85"/>
      <c r="I199" s="34" t="e">
        <f>3900000/F199</f>
        <v>#DIV/0!</v>
      </c>
      <c r="L199" s="80"/>
      <c r="M199" s="80"/>
      <c r="N199" s="34"/>
    </row>
    <row r="200" spans="1:14" s="35" customFormat="1" x14ac:dyDescent="0.3">
      <c r="A200" s="78">
        <f t="shared" ref="A200:A208" si="11">A199+1</f>
        <v>2</v>
      </c>
      <c r="B200" s="79"/>
      <c r="C200" s="209"/>
      <c r="D200" s="210"/>
      <c r="E200" s="210"/>
      <c r="F200" s="211"/>
      <c r="G200" s="86"/>
      <c r="H200" s="87"/>
      <c r="I200" s="34"/>
      <c r="L200" s="80"/>
      <c r="M200" s="80"/>
      <c r="N200" s="34"/>
    </row>
    <row r="201" spans="1:14" s="35" customFormat="1" x14ac:dyDescent="0.3">
      <c r="A201" s="78">
        <f t="shared" si="11"/>
        <v>3</v>
      </c>
      <c r="B201" s="79"/>
      <c r="C201" s="43">
        <v>2</v>
      </c>
      <c r="D201" s="44">
        <f>(39.47+2.74*1.2+0.85*(2.44+2.74)+0.75*(2.44+2.74))*10.764</f>
        <v>549.45914399999992</v>
      </c>
      <c r="E201" s="46">
        <v>0</v>
      </c>
      <c r="F201" s="46">
        <f t="shared" ref="F201:F208" si="12">D201*(($F$196)+1)+(IF(E201&lt;101,E201,IF(E201&lt;201,E201/2,IF(E201&lt;=301,E201/3,E201/4))))</f>
        <v>824.18871599999989</v>
      </c>
      <c r="G201" s="86"/>
      <c r="H201" s="87"/>
      <c r="I201" s="34">
        <f>2.74*4.26+2.29*2.44+2.44*2.05+1.05*2.25+2.74*2.25+2.13*1.2+1.05*0.55+1.4*0.8+4*0.8+1.8*0.6</f>
        <v>39.322999999999993</v>
      </c>
      <c r="L201" s="80"/>
      <c r="M201" s="80"/>
      <c r="N201" s="34"/>
    </row>
    <row r="202" spans="1:14" s="35" customFormat="1" x14ac:dyDescent="0.3">
      <c r="A202" s="78">
        <f t="shared" si="11"/>
        <v>4</v>
      </c>
      <c r="B202" s="79"/>
      <c r="C202" s="43">
        <v>1</v>
      </c>
      <c r="D202" s="44">
        <f>(29.46+1.2*2.74+0.85*(2.29+2.74)+0.75*(2.29+2.74))*10.764</f>
        <v>439.12814400000002</v>
      </c>
      <c r="E202" s="46">
        <v>0</v>
      </c>
      <c r="F202" s="46">
        <f t="shared" si="12"/>
        <v>658.69221600000003</v>
      </c>
      <c r="G202" s="86"/>
      <c r="H202" s="87"/>
      <c r="I202" s="34">
        <f>(2.74*4.26+2.29*1.4+2.74*2.5+1.8*1.2+1.2*1.8+2.4*0.8+1.8*0.6)</f>
        <v>29.048400000000001</v>
      </c>
      <c r="L202" s="80"/>
      <c r="M202" s="80"/>
      <c r="N202" s="34"/>
    </row>
    <row r="203" spans="1:14" s="35" customFormat="1" x14ac:dyDescent="0.3">
      <c r="A203" s="78">
        <f t="shared" si="11"/>
        <v>5</v>
      </c>
      <c r="B203" s="79"/>
      <c r="C203" s="43">
        <v>1</v>
      </c>
      <c r="D203" s="44">
        <f>(29.46+1.2*2.74+0.85*(2.29+2.74)+0.75*(2.29+2.74)+1.8*0.6)*10.764</f>
        <v>450.753264</v>
      </c>
      <c r="E203" s="46">
        <v>0</v>
      </c>
      <c r="F203" s="46">
        <f t="shared" si="12"/>
        <v>676.12989600000003</v>
      </c>
      <c r="G203" s="86"/>
      <c r="H203" s="87"/>
      <c r="I203" s="34"/>
      <c r="L203" s="80"/>
      <c r="M203" s="80"/>
      <c r="N203" s="34"/>
    </row>
    <row r="204" spans="1:14" s="35" customFormat="1" x14ac:dyDescent="0.3">
      <c r="A204" s="78">
        <f t="shared" si="11"/>
        <v>6</v>
      </c>
      <c r="B204" s="79"/>
      <c r="C204" s="43">
        <v>1</v>
      </c>
      <c r="D204" s="44">
        <f>(28.37+1.2*2.74+0.85*(2.75+2.29)+0.75*(2.29+2.75+4.15))*10.764</f>
        <v>461.07055799999995</v>
      </c>
      <c r="E204" s="46">
        <v>0</v>
      </c>
      <c r="F204" s="46">
        <f t="shared" si="12"/>
        <v>691.60583699999995</v>
      </c>
      <c r="G204" s="86"/>
      <c r="H204" s="87"/>
      <c r="I204" s="34"/>
      <c r="L204" s="80"/>
      <c r="M204" s="80"/>
      <c r="N204" s="34"/>
    </row>
    <row r="205" spans="1:14" s="35" customFormat="1" x14ac:dyDescent="0.3">
      <c r="A205" s="78">
        <f t="shared" si="11"/>
        <v>7</v>
      </c>
      <c r="B205" s="79"/>
      <c r="C205" s="43">
        <v>1</v>
      </c>
      <c r="D205" s="44">
        <f>(25.03+0.85*(2.5+2.44)+0.75*(2.5+2.44))*10.764</f>
        <v>354.50157599999994</v>
      </c>
      <c r="E205" s="46">
        <v>0</v>
      </c>
      <c r="F205" s="46">
        <f t="shared" si="12"/>
        <v>531.75236399999994</v>
      </c>
      <c r="G205" s="86"/>
      <c r="H205" s="87"/>
      <c r="I205" s="34">
        <f>(3.65*2.5+2.13*2.29+2.3*2.44+1.2*2.13+2.4*1.15)</f>
        <v>24.930700000000002</v>
      </c>
      <c r="L205" s="80"/>
      <c r="M205" s="80"/>
      <c r="N205" s="34"/>
    </row>
    <row r="206" spans="1:14" s="35" customFormat="1" x14ac:dyDescent="0.3">
      <c r="A206" s="78">
        <f>A205+1</f>
        <v>8</v>
      </c>
      <c r="B206" s="79"/>
      <c r="C206" s="43">
        <v>1</v>
      </c>
      <c r="D206" s="44">
        <f>(25.03+0.85*(2.65+2.44)+0.75*(2.65+2.44))*10.764</f>
        <v>357.08493599999997</v>
      </c>
      <c r="E206" s="46">
        <v>0</v>
      </c>
      <c r="F206" s="46">
        <f t="shared" si="12"/>
        <v>535.62740399999996</v>
      </c>
      <c r="G206" s="86"/>
      <c r="H206" s="87"/>
      <c r="I206" s="34"/>
      <c r="L206" s="80"/>
      <c r="M206" s="80"/>
      <c r="N206" s="34"/>
    </row>
    <row r="207" spans="1:14" s="35" customFormat="1" x14ac:dyDescent="0.3">
      <c r="A207" s="78">
        <f t="shared" si="11"/>
        <v>9</v>
      </c>
      <c r="B207" s="79"/>
      <c r="C207" s="43">
        <v>1</v>
      </c>
      <c r="D207" s="44">
        <f>(23.1+0.85*(2.85+2.13)+0.75*(2.85+2.13+3.85))*10.764</f>
        <v>365.49700200000001</v>
      </c>
      <c r="E207" s="46">
        <v>0</v>
      </c>
      <c r="F207" s="46">
        <f t="shared" si="12"/>
        <v>548.24550299999999</v>
      </c>
      <c r="G207" s="86"/>
      <c r="H207" s="87"/>
      <c r="I207" s="34"/>
      <c r="L207" s="80"/>
      <c r="M207" s="80"/>
      <c r="N207" s="34"/>
    </row>
    <row r="208" spans="1:14" s="35" customFormat="1" x14ac:dyDescent="0.3">
      <c r="A208" s="78">
        <f t="shared" si="11"/>
        <v>10</v>
      </c>
      <c r="B208" s="79"/>
      <c r="C208" s="43">
        <v>0</v>
      </c>
      <c r="D208" s="44">
        <f>(16.07+0.85*(3.05+1.8)+0.75*(3.05+1.8))*10.764</f>
        <v>256.50611999999995</v>
      </c>
      <c r="E208" s="46">
        <v>0</v>
      </c>
      <c r="F208" s="46">
        <f t="shared" si="12"/>
        <v>384.7591799999999</v>
      </c>
      <c r="G208" s="88"/>
      <c r="H208" s="89"/>
      <c r="I208" s="34"/>
      <c r="L208" s="80"/>
      <c r="M208" s="80"/>
      <c r="N208" s="34"/>
    </row>
    <row r="209" spans="1:14" s="35" customFormat="1" x14ac:dyDescent="0.3">
      <c r="A209" s="81" t="s">
        <v>218</v>
      </c>
      <c r="B209" s="82"/>
      <c r="C209" s="82"/>
      <c r="D209" s="82"/>
      <c r="E209" s="82"/>
      <c r="F209" s="82"/>
      <c r="G209" s="82"/>
      <c r="H209" s="83"/>
      <c r="J209" s="34"/>
    </row>
    <row r="210" spans="1:14" s="35" customFormat="1" ht="15.75" customHeight="1" x14ac:dyDescent="0.3">
      <c r="A210" s="78">
        <v>1</v>
      </c>
      <c r="B210" s="79"/>
      <c r="C210" s="43">
        <v>1</v>
      </c>
      <c r="D210" s="44">
        <f>(27.27+0.85*2.44+0.75*(2.44+2.74+2.38))*(10.764)</f>
        <v>376.89069599999999</v>
      </c>
      <c r="E210" s="46">
        <v>0</v>
      </c>
      <c r="F210" s="46">
        <f t="shared" ref="F210:F219" si="13">D210*(($F$196)+1)+(IF(E210&lt;101,E210,IF(E210&lt;201,E210/2,IF(E210&lt;=301,E210/3,E210/4))))</f>
        <v>565.33604400000002</v>
      </c>
      <c r="G210" s="84" t="str">
        <f>A209</f>
        <v>2nd, 4th, 6th, 10th, 12th &amp; 16th Floor For Residential</v>
      </c>
      <c r="H210" s="85"/>
      <c r="I210" s="34">
        <f>2878000/F210</f>
        <v>5090.7774774749723</v>
      </c>
      <c r="J210" s="35" t="s">
        <v>199</v>
      </c>
      <c r="L210" s="80"/>
      <c r="M210" s="80"/>
      <c r="N210" s="34"/>
    </row>
    <row r="211" spans="1:14" s="35" customFormat="1" x14ac:dyDescent="0.3">
      <c r="A211" s="78">
        <f t="shared" ref="A211:A219" si="14">A210+1</f>
        <v>2</v>
      </c>
      <c r="B211" s="79"/>
      <c r="C211" s="43">
        <v>2</v>
      </c>
      <c r="D211" s="44">
        <f>(39.47+0.85*(2.44+2.74)+0.75*(2.74+2.44+2.74))*10.764</f>
        <v>536.18713199999991</v>
      </c>
      <c r="E211" s="46">
        <v>0</v>
      </c>
      <c r="F211" s="46">
        <f t="shared" si="13"/>
        <v>804.2806979999998</v>
      </c>
      <c r="G211" s="86"/>
      <c r="H211" s="87"/>
      <c r="I211" s="34">
        <f>4987000/F211</f>
        <v>6200.5715323035156</v>
      </c>
      <c r="L211" s="80"/>
      <c r="M211" s="80"/>
      <c r="N211" s="34"/>
    </row>
    <row r="212" spans="1:14" s="35" customFormat="1" x14ac:dyDescent="0.3">
      <c r="A212" s="78">
        <f t="shared" si="14"/>
        <v>3</v>
      </c>
      <c r="B212" s="79"/>
      <c r="C212" s="43">
        <v>2</v>
      </c>
      <c r="D212" s="44">
        <f>(39.47+0.85*(2.44+2.74)+0.75*(2.74+2.44+2.74))*10.764</f>
        <v>536.18713199999991</v>
      </c>
      <c r="E212" s="46">
        <v>0</v>
      </c>
      <c r="F212" s="46">
        <f t="shared" si="13"/>
        <v>804.2806979999998</v>
      </c>
      <c r="G212" s="86"/>
      <c r="H212" s="87"/>
      <c r="I212" s="34"/>
      <c r="L212" s="80"/>
      <c r="M212" s="80"/>
      <c r="N212" s="34"/>
    </row>
    <row r="213" spans="1:14" s="35" customFormat="1" x14ac:dyDescent="0.3">
      <c r="A213" s="78">
        <f t="shared" si="14"/>
        <v>4</v>
      </c>
      <c r="B213" s="79"/>
      <c r="C213" s="43">
        <v>1</v>
      </c>
      <c r="D213" s="44">
        <f>(29.46+0.85*(2.29+2.74)+0.75*(2.74+2.29+2.74))*10.764</f>
        <v>425.856132</v>
      </c>
      <c r="E213" s="46">
        <v>0</v>
      </c>
      <c r="F213" s="46">
        <f t="shared" si="13"/>
        <v>638.78419800000006</v>
      </c>
      <c r="G213" s="86"/>
      <c r="H213" s="87"/>
      <c r="I213" s="34"/>
      <c r="L213" s="80"/>
      <c r="M213" s="80"/>
      <c r="N213" s="34"/>
    </row>
    <row r="214" spans="1:14" s="35" customFormat="1" x14ac:dyDescent="0.3">
      <c r="A214" s="78">
        <f t="shared" si="14"/>
        <v>5</v>
      </c>
      <c r="B214" s="79"/>
      <c r="C214" s="43">
        <v>1</v>
      </c>
      <c r="D214" s="44">
        <f>(29.46+0.85*(2.29+2.74)+0.75*(2.74+2.29+2.74))*10.764</f>
        <v>425.856132</v>
      </c>
      <c r="E214" s="46">
        <v>0</v>
      </c>
      <c r="F214" s="46">
        <f t="shared" si="13"/>
        <v>638.78419800000006</v>
      </c>
      <c r="G214" s="86"/>
      <c r="H214" s="87"/>
      <c r="I214" s="34"/>
      <c r="L214" s="80"/>
      <c r="M214" s="80"/>
      <c r="N214" s="34"/>
    </row>
    <row r="215" spans="1:14" s="35" customFormat="1" x14ac:dyDescent="0.3">
      <c r="A215" s="78">
        <f t="shared" si="14"/>
        <v>6</v>
      </c>
      <c r="B215" s="79"/>
      <c r="C215" s="43">
        <v>1</v>
      </c>
      <c r="D215" s="44">
        <f>(28.37+0.85*(2.75+2.29)+0.75*(2.74+2.29+2.75+4.15))*10.764</f>
        <v>447.79854599999999</v>
      </c>
      <c r="E215" s="46">
        <v>0</v>
      </c>
      <c r="F215" s="46">
        <f t="shared" si="13"/>
        <v>671.69781899999998</v>
      </c>
      <c r="G215" s="86"/>
      <c r="H215" s="87"/>
      <c r="I215" s="34"/>
      <c r="K215" s="35">
        <f>3200000/F215</f>
        <v>4764.0470304995888</v>
      </c>
      <c r="L215" s="80"/>
      <c r="M215" s="80"/>
      <c r="N215" s="34"/>
    </row>
    <row r="216" spans="1:14" s="35" customFormat="1" x14ac:dyDescent="0.3">
      <c r="A216" s="78">
        <f t="shared" si="14"/>
        <v>7</v>
      </c>
      <c r="B216" s="79"/>
      <c r="C216" s="43">
        <v>1</v>
      </c>
      <c r="D216" s="44">
        <f>(25.03+0.85*(2.5+2.44)+0.75*(2.5+2.44))*10.764</f>
        <v>354.50157599999994</v>
      </c>
      <c r="E216" s="46">
        <v>0</v>
      </c>
      <c r="F216" s="46">
        <f t="shared" si="13"/>
        <v>531.75236399999994</v>
      </c>
      <c r="G216" s="86"/>
      <c r="H216" s="87"/>
      <c r="I216" s="34">
        <f>2670000/F216</f>
        <v>5021.1342360858789</v>
      </c>
      <c r="J216" s="35" t="s">
        <v>199</v>
      </c>
      <c r="L216" s="80"/>
      <c r="M216" s="80"/>
      <c r="N216" s="34"/>
    </row>
    <row r="217" spans="1:14" s="35" customFormat="1" x14ac:dyDescent="0.3">
      <c r="A217" s="78">
        <f>A216+1</f>
        <v>8</v>
      </c>
      <c r="B217" s="79"/>
      <c r="C217" s="43">
        <v>1</v>
      </c>
      <c r="D217" s="44">
        <f>(25.03+0.85*(2.65+2.44)+0.75*(2.65+2.44))*10.764</f>
        <v>357.08493599999997</v>
      </c>
      <c r="E217" s="46">
        <v>0</v>
      </c>
      <c r="F217" s="46">
        <f t="shared" si="13"/>
        <v>535.62740399999996</v>
      </c>
      <c r="G217" s="86"/>
      <c r="H217" s="87"/>
      <c r="I217" s="34"/>
      <c r="K217" s="35">
        <f>4900000/F212</f>
        <v>6092.4003425480705</v>
      </c>
      <c r="L217" s="80"/>
      <c r="M217" s="80"/>
      <c r="N217" s="34"/>
    </row>
    <row r="218" spans="1:14" s="35" customFormat="1" x14ac:dyDescent="0.3">
      <c r="A218" s="78">
        <f t="shared" si="14"/>
        <v>9</v>
      </c>
      <c r="B218" s="79"/>
      <c r="C218" s="43">
        <v>1</v>
      </c>
      <c r="D218" s="44">
        <f>(23.1+0.85*(2.85+2.13)+0.75*(2.85+2.13+3.85))*10.764</f>
        <v>365.49700200000001</v>
      </c>
      <c r="E218" s="46">
        <v>0</v>
      </c>
      <c r="F218" s="46">
        <f t="shared" si="13"/>
        <v>548.24550299999999</v>
      </c>
      <c r="G218" s="86"/>
      <c r="H218" s="87"/>
      <c r="I218" s="34">
        <f>3200000/F218</f>
        <v>5836.8011821156697</v>
      </c>
      <c r="J218" s="35" t="s">
        <v>199</v>
      </c>
      <c r="L218" s="80"/>
      <c r="M218" s="80"/>
      <c r="N218" s="34"/>
    </row>
    <row r="219" spans="1:14" s="35" customFormat="1" x14ac:dyDescent="0.3">
      <c r="A219" s="78">
        <f t="shared" si="14"/>
        <v>10</v>
      </c>
      <c r="B219" s="79"/>
      <c r="C219" s="43">
        <v>0</v>
      </c>
      <c r="D219" s="44">
        <f>(16.07+0.85*(3.05+1.8)+0.75*(3.05+1.8))*10.764</f>
        <v>256.50611999999995</v>
      </c>
      <c r="E219" s="46">
        <v>0</v>
      </c>
      <c r="F219" s="46">
        <f t="shared" si="13"/>
        <v>384.7591799999999</v>
      </c>
      <c r="G219" s="88"/>
      <c r="H219" s="89"/>
      <c r="I219" s="34">
        <f>2400000/F219</f>
        <v>6237.6679355642682</v>
      </c>
      <c r="L219" s="80"/>
      <c r="M219" s="80"/>
      <c r="N219" s="34"/>
    </row>
    <row r="220" spans="1:14" s="35" customFormat="1" x14ac:dyDescent="0.3">
      <c r="A220" s="81" t="s">
        <v>231</v>
      </c>
      <c r="B220" s="82"/>
      <c r="C220" s="82"/>
      <c r="D220" s="82"/>
      <c r="E220" s="82"/>
      <c r="F220" s="82"/>
      <c r="G220" s="82"/>
      <c r="H220" s="83"/>
      <c r="J220" s="34"/>
    </row>
    <row r="221" spans="1:14" s="35" customFormat="1" ht="15.75" customHeight="1" x14ac:dyDescent="0.3">
      <c r="A221" s="78">
        <v>1</v>
      </c>
      <c r="B221" s="79"/>
      <c r="C221" s="43">
        <v>1</v>
      </c>
      <c r="D221" s="44">
        <f>(27.27+1.2*2.74+0.85*2.44+0.75*(2.44+2.38))*(10.764)</f>
        <v>390.16270799999995</v>
      </c>
      <c r="E221" s="46">
        <v>0</v>
      </c>
      <c r="F221" s="46">
        <f t="shared" ref="F221:F230" si="15">D221*(($F$196)+1)+(IF(E221&lt;101,E221,IF(E221&lt;201,E221/2,IF(E221&lt;=301,E221/3,E221/4))))</f>
        <v>585.24406199999999</v>
      </c>
      <c r="G221" s="84" t="str">
        <f>A220</f>
        <v>3rd, 5th, 7th, 9th, 11th, 15th &amp; 17th Floor</v>
      </c>
      <c r="H221" s="85"/>
      <c r="I221" s="34">
        <f>2878000/F221</f>
        <v>4917.6064942287276</v>
      </c>
      <c r="J221" s="35" t="s">
        <v>199</v>
      </c>
      <c r="L221" s="80"/>
      <c r="M221" s="80"/>
      <c r="N221" s="34"/>
    </row>
    <row r="222" spans="1:14" s="35" customFormat="1" x14ac:dyDescent="0.3">
      <c r="A222" s="78">
        <f t="shared" ref="A222:A230" si="16">A221+1</f>
        <v>2</v>
      </c>
      <c r="B222" s="79"/>
      <c r="C222" s="43">
        <v>2</v>
      </c>
      <c r="D222" s="44">
        <f>(39.47+2.74*1.2+0.85*(2.44+2.74)+0.75*(2.44+2.74))*10.764</f>
        <v>549.45914399999992</v>
      </c>
      <c r="E222" s="46">
        <v>0</v>
      </c>
      <c r="F222" s="46">
        <f t="shared" si="15"/>
        <v>824.18871599999989</v>
      </c>
      <c r="G222" s="86"/>
      <c r="H222" s="87"/>
      <c r="I222" s="34">
        <f>4987000/F222</f>
        <v>6050.7986862562202</v>
      </c>
      <c r="L222" s="80"/>
      <c r="M222" s="80"/>
      <c r="N222" s="34"/>
    </row>
    <row r="223" spans="1:14" s="35" customFormat="1" x14ac:dyDescent="0.3">
      <c r="A223" s="78">
        <f t="shared" si="16"/>
        <v>3</v>
      </c>
      <c r="B223" s="79"/>
      <c r="C223" s="43">
        <v>2</v>
      </c>
      <c r="D223" s="44">
        <f>(39.47+2.74*1.2+0.85*(2.44+2.74)+0.75*(2.44+2.74))*10.764</f>
        <v>549.45914399999992</v>
      </c>
      <c r="E223" s="46">
        <v>0</v>
      </c>
      <c r="F223" s="46">
        <f t="shared" si="15"/>
        <v>824.18871599999989</v>
      </c>
      <c r="G223" s="86"/>
      <c r="H223" s="87"/>
      <c r="I223" s="34"/>
      <c r="L223" s="80"/>
      <c r="M223" s="80"/>
      <c r="N223" s="34"/>
    </row>
    <row r="224" spans="1:14" s="35" customFormat="1" x14ac:dyDescent="0.3">
      <c r="A224" s="78">
        <f t="shared" si="16"/>
        <v>4</v>
      </c>
      <c r="B224" s="79"/>
      <c r="C224" s="43">
        <v>1</v>
      </c>
      <c r="D224" s="44">
        <f>(29.46+1.2*2.74+0.85*(2.29+2.74)+0.75*(2.29+2.74))*10.764</f>
        <v>439.12814400000002</v>
      </c>
      <c r="E224" s="46">
        <v>0</v>
      </c>
      <c r="F224" s="46">
        <f t="shared" si="15"/>
        <v>658.69221600000003</v>
      </c>
      <c r="G224" s="86"/>
      <c r="H224" s="87"/>
      <c r="I224" s="34"/>
      <c r="L224" s="80"/>
      <c r="M224" s="80"/>
      <c r="N224" s="34"/>
    </row>
    <row r="225" spans="1:14" s="35" customFormat="1" x14ac:dyDescent="0.3">
      <c r="A225" s="78">
        <f t="shared" si="16"/>
        <v>5</v>
      </c>
      <c r="B225" s="79"/>
      <c r="C225" s="43">
        <v>1</v>
      </c>
      <c r="D225" s="44">
        <f>(29.46+1.2*2.74+0.85*(2.29+2.74)+0.75*(2.29+2.74)+1.8*0.6)*10.764</f>
        <v>450.753264</v>
      </c>
      <c r="E225" s="46">
        <v>0</v>
      </c>
      <c r="F225" s="46">
        <f t="shared" si="15"/>
        <v>676.12989600000003</v>
      </c>
      <c r="G225" s="86"/>
      <c r="H225" s="87"/>
      <c r="I225" s="34"/>
      <c r="L225" s="80"/>
      <c r="M225" s="80"/>
      <c r="N225" s="34"/>
    </row>
    <row r="226" spans="1:14" s="35" customFormat="1" x14ac:dyDescent="0.3">
      <c r="A226" s="78">
        <f t="shared" si="16"/>
        <v>6</v>
      </c>
      <c r="B226" s="79"/>
      <c r="C226" s="43">
        <v>1</v>
      </c>
      <c r="D226" s="44">
        <f>(28.37+1.2*2.74+0.85*(2.75+2.29)+0.75*(2.29+2.75+4.15))*10.764</f>
        <v>461.07055799999995</v>
      </c>
      <c r="E226" s="46">
        <v>0</v>
      </c>
      <c r="F226" s="46">
        <f t="shared" si="15"/>
        <v>691.60583699999995</v>
      </c>
      <c r="G226" s="86"/>
      <c r="H226" s="87"/>
      <c r="I226" s="34"/>
      <c r="K226" s="35">
        <f>3200000/F226</f>
        <v>4626.9129449235697</v>
      </c>
      <c r="L226" s="80"/>
      <c r="M226" s="80"/>
      <c r="N226" s="34"/>
    </row>
    <row r="227" spans="1:14" s="35" customFormat="1" x14ac:dyDescent="0.3">
      <c r="A227" s="78">
        <f t="shared" si="16"/>
        <v>7</v>
      </c>
      <c r="B227" s="79"/>
      <c r="C227" s="43">
        <v>1</v>
      </c>
      <c r="D227" s="44">
        <f>(25.03+0.85*(2.5+2.44)+0.75*(2.5+2.44))*10.764</f>
        <v>354.50157599999994</v>
      </c>
      <c r="E227" s="46">
        <v>0</v>
      </c>
      <c r="F227" s="46">
        <f t="shared" si="15"/>
        <v>531.75236399999994</v>
      </c>
      <c r="G227" s="86"/>
      <c r="H227" s="87"/>
      <c r="I227" s="34">
        <f>2670000/F227</f>
        <v>5021.1342360858789</v>
      </c>
      <c r="J227" s="35" t="s">
        <v>199</v>
      </c>
      <c r="L227" s="80"/>
      <c r="M227" s="80"/>
      <c r="N227" s="34"/>
    </row>
    <row r="228" spans="1:14" s="35" customFormat="1" x14ac:dyDescent="0.3">
      <c r="A228" s="78">
        <f>A227+1</f>
        <v>8</v>
      </c>
      <c r="B228" s="79"/>
      <c r="C228" s="43">
        <v>1</v>
      </c>
      <c r="D228" s="44">
        <f>(25.03+0.85*(2.65+2.44)+0.75*(2.65+2.44))*10.764</f>
        <v>357.08493599999997</v>
      </c>
      <c r="E228" s="46">
        <v>0</v>
      </c>
      <c r="F228" s="46">
        <f t="shared" si="15"/>
        <v>535.62740399999996</v>
      </c>
      <c r="G228" s="86"/>
      <c r="H228" s="87"/>
      <c r="I228" s="34"/>
      <c r="K228" s="35">
        <f>4900000/F223</f>
        <v>5945.2403374083569</v>
      </c>
      <c r="L228" s="80"/>
      <c r="M228" s="80"/>
      <c r="N228" s="34"/>
    </row>
    <row r="229" spans="1:14" s="35" customFormat="1" x14ac:dyDescent="0.3">
      <c r="A229" s="78">
        <f t="shared" si="16"/>
        <v>9</v>
      </c>
      <c r="B229" s="79"/>
      <c r="C229" s="43">
        <v>1</v>
      </c>
      <c r="D229" s="44">
        <f>(23.1+0.85*(2.85+2.13)+0.75*(2.85+2.13+3.85))*10.764</f>
        <v>365.49700200000001</v>
      </c>
      <c r="E229" s="46">
        <v>0</v>
      </c>
      <c r="F229" s="46">
        <f t="shared" si="15"/>
        <v>548.24550299999999</v>
      </c>
      <c r="G229" s="86"/>
      <c r="H229" s="87"/>
      <c r="I229" s="34">
        <f>3200000/F229</f>
        <v>5836.8011821156697</v>
      </c>
      <c r="J229" s="35" t="s">
        <v>199</v>
      </c>
      <c r="L229" s="80"/>
      <c r="M229" s="80"/>
      <c r="N229" s="34"/>
    </row>
    <row r="230" spans="1:14" s="35" customFormat="1" x14ac:dyDescent="0.3">
      <c r="A230" s="78">
        <f t="shared" si="16"/>
        <v>10</v>
      </c>
      <c r="B230" s="79"/>
      <c r="C230" s="43">
        <v>0</v>
      </c>
      <c r="D230" s="44">
        <f>(16.07+0.85*(3.05+1.8)+0.75*(3.05+1.8))*10.764</f>
        <v>256.50611999999995</v>
      </c>
      <c r="E230" s="46">
        <v>0</v>
      </c>
      <c r="F230" s="46">
        <f t="shared" si="15"/>
        <v>384.7591799999999</v>
      </c>
      <c r="G230" s="88"/>
      <c r="H230" s="89"/>
      <c r="I230" s="34">
        <f>2400000/F230</f>
        <v>6237.6679355642682</v>
      </c>
      <c r="L230" s="80"/>
      <c r="M230" s="80"/>
      <c r="N230" s="34"/>
    </row>
    <row r="231" spans="1:14" s="35" customFormat="1" x14ac:dyDescent="0.3">
      <c r="A231" s="81" t="s">
        <v>220</v>
      </c>
      <c r="B231" s="82"/>
      <c r="C231" s="82"/>
      <c r="D231" s="82"/>
      <c r="E231" s="82"/>
      <c r="F231" s="82"/>
      <c r="G231" s="82"/>
      <c r="H231" s="83"/>
      <c r="J231" s="34"/>
    </row>
    <row r="232" spans="1:14" s="35" customFormat="1" ht="15.75" customHeight="1" x14ac:dyDescent="0.3">
      <c r="A232" s="78">
        <v>1</v>
      </c>
      <c r="B232" s="79"/>
      <c r="C232" s="43">
        <v>1</v>
      </c>
      <c r="D232" s="44">
        <f>(27.27+0.85*2.44+0.75*(2.44+2.74+2.38))*(10.764)</f>
        <v>376.89069599999999</v>
      </c>
      <c r="E232" s="46">
        <v>0</v>
      </c>
      <c r="F232" s="46">
        <f t="shared" ref="F232:F241" si="17">D232*(($F$196)+1)+(IF(E232&lt;101,E232,IF(E232&lt;201,E232/2,IF(E232&lt;=301,E232/3,E232/4))))</f>
        <v>565.33604400000002</v>
      </c>
      <c r="G232" s="84" t="str">
        <f>A231</f>
        <v>8th &amp; 14th Floor For Residential (Part Refuge Area)</v>
      </c>
      <c r="H232" s="85"/>
      <c r="I232" s="34"/>
      <c r="L232" s="80"/>
      <c r="M232" s="80"/>
      <c r="N232" s="34"/>
    </row>
    <row r="233" spans="1:14" s="35" customFormat="1" x14ac:dyDescent="0.3">
      <c r="A233" s="78">
        <f t="shared" ref="A233:A241" si="18">A232+1</f>
        <v>2</v>
      </c>
      <c r="B233" s="79"/>
      <c r="C233" s="43">
        <v>2</v>
      </c>
      <c r="D233" s="44">
        <f>(39.47+0.85*(2.44+2.74)+0.75*(2.74+2.44+2.74))*10.764</f>
        <v>536.18713199999991</v>
      </c>
      <c r="E233" s="46">
        <v>0</v>
      </c>
      <c r="F233" s="46">
        <f t="shared" si="17"/>
        <v>804.2806979999998</v>
      </c>
      <c r="G233" s="86"/>
      <c r="H233" s="87"/>
      <c r="I233" s="34"/>
      <c r="L233" s="80"/>
      <c r="M233" s="80"/>
      <c r="N233" s="34"/>
    </row>
    <row r="234" spans="1:14" s="35" customFormat="1" x14ac:dyDescent="0.3">
      <c r="A234" s="78">
        <f t="shared" si="18"/>
        <v>3</v>
      </c>
      <c r="B234" s="79"/>
      <c r="C234" s="43">
        <v>2</v>
      </c>
      <c r="D234" s="44">
        <f>(39.47+0.85*(2.44+2.74)+0.75*(2.74+2.44+2.74))*10.764</f>
        <v>536.18713199999991</v>
      </c>
      <c r="E234" s="46">
        <v>0</v>
      </c>
      <c r="F234" s="46">
        <f t="shared" si="17"/>
        <v>804.2806979999998</v>
      </c>
      <c r="G234" s="86"/>
      <c r="H234" s="87"/>
      <c r="I234" s="34"/>
      <c r="L234" s="80"/>
      <c r="M234" s="80"/>
      <c r="N234" s="34"/>
    </row>
    <row r="235" spans="1:14" s="35" customFormat="1" x14ac:dyDescent="0.3">
      <c r="A235" s="78">
        <f t="shared" si="18"/>
        <v>4</v>
      </c>
      <c r="B235" s="79"/>
      <c r="C235" s="43">
        <v>1</v>
      </c>
      <c r="D235" s="44">
        <f>(29.46+0.85*(2.29+2.74)+0.75*(2.74+2.29+2.74))*10.764</f>
        <v>425.856132</v>
      </c>
      <c r="E235" s="46">
        <v>0</v>
      </c>
      <c r="F235" s="46">
        <f t="shared" si="17"/>
        <v>638.78419800000006</v>
      </c>
      <c r="G235" s="86"/>
      <c r="H235" s="87"/>
      <c r="I235" s="34"/>
      <c r="L235" s="80"/>
      <c r="M235" s="80"/>
      <c r="N235" s="34"/>
    </row>
    <row r="236" spans="1:14" s="35" customFormat="1" x14ac:dyDescent="0.3">
      <c r="A236" s="78">
        <f t="shared" si="18"/>
        <v>5</v>
      </c>
      <c r="B236" s="79"/>
      <c r="C236" s="110" t="s">
        <v>191</v>
      </c>
      <c r="D236" s="111"/>
      <c r="E236" s="111"/>
      <c r="F236" s="112"/>
      <c r="G236" s="86"/>
      <c r="H236" s="87"/>
      <c r="I236" s="34"/>
      <c r="L236" s="80"/>
      <c r="M236" s="80"/>
      <c r="N236" s="34"/>
    </row>
    <row r="237" spans="1:14" s="35" customFormat="1" x14ac:dyDescent="0.3">
      <c r="A237" s="78">
        <f t="shared" si="18"/>
        <v>6</v>
      </c>
      <c r="B237" s="79"/>
      <c r="C237" s="43">
        <v>1</v>
      </c>
      <c r="D237" s="44">
        <f>(28.37+0.85*(2.75+2.29)+0.75*(2.74+2.29+2.75+4.15))*10.764</f>
        <v>447.79854599999999</v>
      </c>
      <c r="E237" s="46">
        <v>0</v>
      </c>
      <c r="F237" s="46">
        <f t="shared" si="17"/>
        <v>671.69781899999998</v>
      </c>
      <c r="G237" s="86"/>
      <c r="H237" s="87"/>
      <c r="I237" s="34"/>
      <c r="L237" s="80"/>
      <c r="M237" s="80"/>
      <c r="N237" s="34"/>
    </row>
    <row r="238" spans="1:14" s="35" customFormat="1" x14ac:dyDescent="0.3">
      <c r="A238" s="78">
        <f t="shared" si="18"/>
        <v>7</v>
      </c>
      <c r="B238" s="79"/>
      <c r="C238" s="43">
        <v>1</v>
      </c>
      <c r="D238" s="44">
        <f>(25.03+0.85*(2.5+2.44)+0.75*(2.5+2.44))*10.764</f>
        <v>354.50157599999994</v>
      </c>
      <c r="E238" s="46">
        <v>0</v>
      </c>
      <c r="F238" s="46">
        <f t="shared" si="17"/>
        <v>531.75236399999994</v>
      </c>
      <c r="G238" s="86"/>
      <c r="H238" s="87"/>
      <c r="I238" s="34"/>
      <c r="L238" s="80"/>
      <c r="M238" s="80"/>
      <c r="N238" s="34"/>
    </row>
    <row r="239" spans="1:14" s="35" customFormat="1" x14ac:dyDescent="0.3">
      <c r="A239" s="78">
        <f>A238+1</f>
        <v>8</v>
      </c>
      <c r="B239" s="79"/>
      <c r="C239" s="43">
        <v>1</v>
      </c>
      <c r="D239" s="44">
        <f>(25.03+0.85*(2.65+2.44)+0.75*(2.65+2.44))*10.764</f>
        <v>357.08493599999997</v>
      </c>
      <c r="E239" s="46">
        <v>0</v>
      </c>
      <c r="F239" s="46">
        <f t="shared" si="17"/>
        <v>535.62740399999996</v>
      </c>
      <c r="G239" s="86"/>
      <c r="H239" s="87"/>
      <c r="I239" s="34"/>
      <c r="L239" s="80"/>
      <c r="M239" s="80"/>
      <c r="N239" s="34"/>
    </row>
    <row r="240" spans="1:14" s="35" customFormat="1" x14ac:dyDescent="0.3">
      <c r="A240" s="78">
        <f t="shared" si="18"/>
        <v>9</v>
      </c>
      <c r="B240" s="79"/>
      <c r="C240" s="43">
        <v>1</v>
      </c>
      <c r="D240" s="44">
        <f>(23.1+0.85*(2.85+2.13)+0.75*(2.85+2.13+3.85))*10.764</f>
        <v>365.49700200000001</v>
      </c>
      <c r="E240" s="46">
        <v>0</v>
      </c>
      <c r="F240" s="46">
        <f t="shared" si="17"/>
        <v>548.24550299999999</v>
      </c>
      <c r="G240" s="86"/>
      <c r="H240" s="87"/>
      <c r="I240" s="34"/>
      <c r="L240" s="80"/>
      <c r="M240" s="80"/>
      <c r="N240" s="34"/>
    </row>
    <row r="241" spans="1:14" s="35" customFormat="1" x14ac:dyDescent="0.3">
      <c r="A241" s="78">
        <f t="shared" si="18"/>
        <v>10</v>
      </c>
      <c r="B241" s="79"/>
      <c r="C241" s="43">
        <v>0</v>
      </c>
      <c r="D241" s="44">
        <f>(16.07+0.85*(3.05+1.8)+0.75*(3.05+1.8))*10.764</f>
        <v>256.50611999999995</v>
      </c>
      <c r="E241" s="46">
        <v>0</v>
      </c>
      <c r="F241" s="46">
        <f t="shared" si="17"/>
        <v>384.7591799999999</v>
      </c>
      <c r="G241" s="88"/>
      <c r="H241" s="89"/>
      <c r="I241" s="34"/>
      <c r="L241" s="80"/>
      <c r="M241" s="80"/>
      <c r="N241" s="34"/>
    </row>
    <row r="242" spans="1:14" s="35" customFormat="1" x14ac:dyDescent="0.3">
      <c r="A242" s="81" t="s">
        <v>221</v>
      </c>
      <c r="B242" s="82"/>
      <c r="C242" s="82"/>
      <c r="D242" s="82"/>
      <c r="E242" s="82"/>
      <c r="F242" s="82"/>
      <c r="G242" s="82"/>
      <c r="H242" s="83"/>
      <c r="J242" s="34"/>
    </row>
    <row r="243" spans="1:14" s="35" customFormat="1" ht="15.75" customHeight="1" x14ac:dyDescent="0.3">
      <c r="A243" s="78">
        <v>1</v>
      </c>
      <c r="B243" s="79"/>
      <c r="C243" s="43">
        <v>1</v>
      </c>
      <c r="D243" s="44">
        <f>(27.27+1.2*2.74+0.85*2.44+0.75*(2.44+2.38))*(10.764)</f>
        <v>390.16270799999995</v>
      </c>
      <c r="E243" s="46">
        <v>0</v>
      </c>
      <c r="F243" s="46">
        <f t="shared" ref="F243:F252" si="19">D243*(($F$196)+1)+(IF(E243&lt;101,E243,IF(E243&lt;201,E243/2,IF(E243&lt;=301,E243/3,E243/4))))</f>
        <v>585.24406199999999</v>
      </c>
      <c r="G243" s="84" t="str">
        <f>A242</f>
        <v>13th Floor For Residential (Part Refuge Area)</v>
      </c>
      <c r="H243" s="85"/>
      <c r="I243" s="34"/>
      <c r="L243" s="80"/>
      <c r="M243" s="80"/>
      <c r="N243" s="34"/>
    </row>
    <row r="244" spans="1:14" s="35" customFormat="1" x14ac:dyDescent="0.3">
      <c r="A244" s="78">
        <f t="shared" ref="A244:A252" si="20">A243+1</f>
        <v>2</v>
      </c>
      <c r="B244" s="79"/>
      <c r="C244" s="43">
        <v>2</v>
      </c>
      <c r="D244" s="44">
        <f>(39.47+2.74*1.2+0.85*(2.44+2.74)+0.75*(2.44+2.74))*10.764</f>
        <v>549.45914399999992</v>
      </c>
      <c r="E244" s="46">
        <v>0</v>
      </c>
      <c r="F244" s="46">
        <f t="shared" si="19"/>
        <v>824.18871599999989</v>
      </c>
      <c r="G244" s="86"/>
      <c r="H244" s="87"/>
      <c r="I244" s="34"/>
      <c r="L244" s="80"/>
      <c r="M244" s="80"/>
      <c r="N244" s="34"/>
    </row>
    <row r="245" spans="1:14" s="35" customFormat="1" x14ac:dyDescent="0.3">
      <c r="A245" s="78">
        <f t="shared" si="20"/>
        <v>3</v>
      </c>
      <c r="B245" s="79"/>
      <c r="C245" s="43">
        <v>2</v>
      </c>
      <c r="D245" s="44">
        <f>(39.47+2.74*1.2+0.85*(2.44+2.74)+0.75*(2.44+2.74))*10.764</f>
        <v>549.45914399999992</v>
      </c>
      <c r="E245" s="46">
        <v>0</v>
      </c>
      <c r="F245" s="46">
        <f t="shared" si="19"/>
        <v>824.18871599999989</v>
      </c>
      <c r="G245" s="86"/>
      <c r="H245" s="87"/>
      <c r="I245" s="34"/>
      <c r="L245" s="80"/>
      <c r="M245" s="80"/>
      <c r="N245" s="34"/>
    </row>
    <row r="246" spans="1:14" s="35" customFormat="1" x14ac:dyDescent="0.3">
      <c r="A246" s="78">
        <f t="shared" si="20"/>
        <v>4</v>
      </c>
      <c r="B246" s="79"/>
      <c r="C246" s="43">
        <v>1</v>
      </c>
      <c r="D246" s="44">
        <f>(29.46+1.2*2.74+0.85*(2.29+2.74)+0.75*(2.29+2.74))*10.764</f>
        <v>439.12814400000002</v>
      </c>
      <c r="E246" s="46">
        <v>0</v>
      </c>
      <c r="F246" s="46">
        <f t="shared" si="19"/>
        <v>658.69221600000003</v>
      </c>
      <c r="G246" s="86"/>
      <c r="H246" s="87"/>
      <c r="I246" s="34"/>
      <c r="L246" s="80"/>
      <c r="M246" s="80"/>
      <c r="N246" s="34"/>
    </row>
    <row r="247" spans="1:14" s="35" customFormat="1" x14ac:dyDescent="0.3">
      <c r="A247" s="78">
        <f t="shared" si="20"/>
        <v>5</v>
      </c>
      <c r="B247" s="79"/>
      <c r="C247" s="43">
        <v>1</v>
      </c>
      <c r="D247" s="44">
        <f>(29.46+1.2*2.74+0.85*(2.29+2.74)+0.75*(2.29+2.74)+1.8*0.6)*10.764</f>
        <v>450.753264</v>
      </c>
      <c r="E247" s="46">
        <v>0</v>
      </c>
      <c r="F247" s="46">
        <f t="shared" si="19"/>
        <v>676.12989600000003</v>
      </c>
      <c r="G247" s="86"/>
      <c r="H247" s="87"/>
      <c r="I247" s="34"/>
      <c r="L247" s="80"/>
      <c r="M247" s="80"/>
      <c r="N247" s="34"/>
    </row>
    <row r="248" spans="1:14" s="35" customFormat="1" x14ac:dyDescent="0.3">
      <c r="A248" s="78">
        <f t="shared" si="20"/>
        <v>6</v>
      </c>
      <c r="B248" s="79"/>
      <c r="C248" s="43">
        <v>1</v>
      </c>
      <c r="D248" s="44">
        <f>(28.37+1.2*2.74+0.85*(2.75+2.29)+0.75*(2.29+2.75+4.15))*10.764</f>
        <v>461.07055799999995</v>
      </c>
      <c r="E248" s="46">
        <v>0</v>
      </c>
      <c r="F248" s="46">
        <f t="shared" si="19"/>
        <v>691.60583699999995</v>
      </c>
      <c r="G248" s="86"/>
      <c r="H248" s="87"/>
      <c r="I248" s="34"/>
      <c r="L248" s="80"/>
      <c r="M248" s="80"/>
      <c r="N248" s="34"/>
    </row>
    <row r="249" spans="1:14" s="35" customFormat="1" x14ac:dyDescent="0.3">
      <c r="A249" s="78">
        <f t="shared" si="20"/>
        <v>7</v>
      </c>
      <c r="B249" s="79"/>
      <c r="C249" s="43">
        <v>1</v>
      </c>
      <c r="D249" s="44">
        <f>(25.03+0.85*(2.5+2.44)+0.75*(2.5+2.44))*10.764</f>
        <v>354.50157599999994</v>
      </c>
      <c r="E249" s="46">
        <v>0</v>
      </c>
      <c r="F249" s="46">
        <f t="shared" si="19"/>
        <v>531.75236399999994</v>
      </c>
      <c r="G249" s="86"/>
      <c r="H249" s="87"/>
      <c r="I249" s="34"/>
      <c r="L249" s="80"/>
      <c r="M249" s="80"/>
      <c r="N249" s="34"/>
    </row>
    <row r="250" spans="1:14" s="35" customFormat="1" x14ac:dyDescent="0.3">
      <c r="A250" s="78">
        <f>A249+1</f>
        <v>8</v>
      </c>
      <c r="B250" s="79"/>
      <c r="C250" s="43">
        <v>1</v>
      </c>
      <c r="D250" s="44">
        <f>(25.03+0.85*(2.65+2.44)+0.75*(2.65+2.44))*10.764</f>
        <v>357.08493599999997</v>
      </c>
      <c r="E250" s="46">
        <v>0</v>
      </c>
      <c r="F250" s="46">
        <f t="shared" si="19"/>
        <v>535.62740399999996</v>
      </c>
      <c r="G250" s="86"/>
      <c r="H250" s="87"/>
      <c r="I250" s="34"/>
      <c r="L250" s="80"/>
      <c r="M250" s="80"/>
      <c r="N250" s="34"/>
    </row>
    <row r="251" spans="1:14" s="35" customFormat="1" x14ac:dyDescent="0.3">
      <c r="A251" s="78">
        <f t="shared" si="20"/>
        <v>9</v>
      </c>
      <c r="B251" s="79"/>
      <c r="C251" s="43">
        <v>1</v>
      </c>
      <c r="D251" s="44">
        <f>(23.1+0.85*(2.85+2.13)+0.75*(2.85+2.13+3.85))*10.764</f>
        <v>365.49700200000001</v>
      </c>
      <c r="E251" s="46">
        <v>0</v>
      </c>
      <c r="F251" s="46">
        <f t="shared" si="19"/>
        <v>548.24550299999999</v>
      </c>
      <c r="G251" s="86"/>
      <c r="H251" s="87"/>
      <c r="I251" s="34"/>
      <c r="L251" s="80"/>
      <c r="M251" s="80"/>
      <c r="N251" s="34"/>
    </row>
    <row r="252" spans="1:14" s="35" customFormat="1" x14ac:dyDescent="0.3">
      <c r="A252" s="78">
        <f t="shared" si="20"/>
        <v>10</v>
      </c>
      <c r="B252" s="79"/>
      <c r="C252" s="43">
        <v>0</v>
      </c>
      <c r="D252" s="44">
        <f>(16.07+0.85*(3.05+1.8)+0.75*(3.05+1.8))*10.764</f>
        <v>256.50611999999995</v>
      </c>
      <c r="E252" s="46">
        <v>0</v>
      </c>
      <c r="F252" s="46">
        <f t="shared" si="19"/>
        <v>384.7591799999999</v>
      </c>
      <c r="G252" s="88"/>
      <c r="H252" s="89"/>
      <c r="I252" s="34"/>
      <c r="L252" s="80"/>
      <c r="M252" s="80"/>
      <c r="N252" s="34"/>
    </row>
    <row r="253" spans="1:14" s="35" customFormat="1" x14ac:dyDescent="0.3">
      <c r="A253" s="81" t="s">
        <v>219</v>
      </c>
      <c r="B253" s="82"/>
      <c r="C253" s="82"/>
      <c r="D253" s="82"/>
      <c r="E253" s="82"/>
      <c r="F253" s="82"/>
      <c r="G253" s="82"/>
      <c r="H253" s="83"/>
      <c r="J253" s="34"/>
    </row>
    <row r="254" spans="1:14" s="35" customFormat="1" ht="15.75" customHeight="1" x14ac:dyDescent="0.3">
      <c r="A254" s="78">
        <v>1</v>
      </c>
      <c r="B254" s="79"/>
      <c r="C254" s="43">
        <v>1</v>
      </c>
      <c r="D254" s="44">
        <f>(27.27+0.85*2.44+0.75*(2.44+2.74+2.38))*(10.764)</f>
        <v>376.89069599999999</v>
      </c>
      <c r="E254" s="46">
        <v>0</v>
      </c>
      <c r="F254" s="46">
        <f t="shared" ref="F254:F263" si="21">D254*(($F$196)+1)+(IF(E254&lt;101,E254,IF(E254&lt;201,E254/2,IF(E254&lt;=301,E254/3,E254/4))))</f>
        <v>565.33604400000002</v>
      </c>
      <c r="G254" s="84" t="str">
        <f>A253</f>
        <v>18th Floor For Residential (Part Refuge Area)</v>
      </c>
      <c r="H254" s="85"/>
      <c r="I254" s="34"/>
      <c r="L254" s="80"/>
      <c r="M254" s="80"/>
      <c r="N254" s="34"/>
    </row>
    <row r="255" spans="1:14" s="35" customFormat="1" x14ac:dyDescent="0.3">
      <c r="A255" s="78">
        <f t="shared" ref="A255:A263" si="22">A254+1</f>
        <v>2</v>
      </c>
      <c r="B255" s="79"/>
      <c r="C255" s="43">
        <v>2</v>
      </c>
      <c r="D255" s="44">
        <f>(39.47+0.85*(2.44+2.74)+0.75*(2.74+2.44+2.74))*10.764</f>
        <v>536.18713199999991</v>
      </c>
      <c r="E255" s="46">
        <v>0</v>
      </c>
      <c r="F255" s="46">
        <f t="shared" si="21"/>
        <v>804.2806979999998</v>
      </c>
      <c r="G255" s="86"/>
      <c r="H255" s="87"/>
      <c r="I255" s="34"/>
      <c r="L255" s="80"/>
      <c r="M255" s="80"/>
      <c r="N255" s="34"/>
    </row>
    <row r="256" spans="1:14" s="35" customFormat="1" x14ac:dyDescent="0.3">
      <c r="A256" s="78">
        <f t="shared" si="22"/>
        <v>3</v>
      </c>
      <c r="B256" s="79"/>
      <c r="C256" s="43">
        <v>2</v>
      </c>
      <c r="D256" s="44">
        <f>(39.47+0.85*(2.44+2.74)+0.75*(2.74+2.44+2.74))*10.764</f>
        <v>536.18713199999991</v>
      </c>
      <c r="E256" s="46">
        <v>0</v>
      </c>
      <c r="F256" s="46">
        <f t="shared" si="21"/>
        <v>804.2806979999998</v>
      </c>
      <c r="G256" s="86"/>
      <c r="H256" s="87"/>
      <c r="I256" s="34"/>
      <c r="L256" s="80"/>
      <c r="M256" s="80"/>
      <c r="N256" s="34"/>
    </row>
    <row r="257" spans="1:14" s="35" customFormat="1" x14ac:dyDescent="0.3">
      <c r="A257" s="78">
        <f t="shared" si="22"/>
        <v>4</v>
      </c>
      <c r="B257" s="79"/>
      <c r="C257" s="43">
        <v>1</v>
      </c>
      <c r="D257" s="44">
        <f>(29.46+0.85*(2.29+2.74)+0.75*(2.74+2.29+2.74))*10.764</f>
        <v>425.856132</v>
      </c>
      <c r="E257" s="46">
        <v>0</v>
      </c>
      <c r="F257" s="46">
        <f t="shared" si="21"/>
        <v>638.78419800000006</v>
      </c>
      <c r="G257" s="86"/>
      <c r="H257" s="87"/>
      <c r="I257" s="34"/>
      <c r="L257" s="80"/>
      <c r="M257" s="80"/>
      <c r="N257" s="34"/>
    </row>
    <row r="258" spans="1:14" s="35" customFormat="1" x14ac:dyDescent="0.3">
      <c r="A258" s="78">
        <f t="shared" si="22"/>
        <v>5</v>
      </c>
      <c r="B258" s="79"/>
      <c r="C258" s="43">
        <v>1</v>
      </c>
      <c r="D258" s="44">
        <f>(29.46+0.85*(2.29+2.74)+0.75*(2.74+2.29+2.74))*10.764</f>
        <v>425.856132</v>
      </c>
      <c r="E258" s="46">
        <v>0</v>
      </c>
      <c r="F258" s="46">
        <f t="shared" si="21"/>
        <v>638.78419800000006</v>
      </c>
      <c r="G258" s="86"/>
      <c r="H258" s="87"/>
      <c r="I258" s="34"/>
      <c r="L258" s="80"/>
      <c r="M258" s="80"/>
      <c r="N258" s="34"/>
    </row>
    <row r="259" spans="1:14" s="35" customFormat="1" x14ac:dyDescent="0.3">
      <c r="A259" s="78">
        <f t="shared" si="22"/>
        <v>6</v>
      </c>
      <c r="B259" s="79"/>
      <c r="C259" s="43">
        <v>1</v>
      </c>
      <c r="D259" s="44">
        <f>(28.37+0.85*(2.75+2.29)+0.75*(2.74+2.29+2.75+4.15))*10.764</f>
        <v>447.79854599999999</v>
      </c>
      <c r="E259" s="46">
        <v>0</v>
      </c>
      <c r="F259" s="46">
        <f t="shared" si="21"/>
        <v>671.69781899999998</v>
      </c>
      <c r="G259" s="86"/>
      <c r="H259" s="87"/>
      <c r="I259" s="34"/>
      <c r="J259" s="44">
        <v>10.763999999999999</v>
      </c>
      <c r="L259" s="80"/>
      <c r="M259" s="80"/>
      <c r="N259" s="34"/>
    </row>
    <row r="260" spans="1:14" s="35" customFormat="1" x14ac:dyDescent="0.3">
      <c r="A260" s="78">
        <f t="shared" si="22"/>
        <v>7</v>
      </c>
      <c r="B260" s="79"/>
      <c r="C260" s="43">
        <v>1</v>
      </c>
      <c r="D260" s="44">
        <f>(25.03+0.85*(2.5+2.44)+0.75*(2.5+2.44))*10.764</f>
        <v>354.50157599999994</v>
      </c>
      <c r="E260" s="46">
        <v>0</v>
      </c>
      <c r="F260" s="46">
        <f t="shared" si="21"/>
        <v>531.75236399999994</v>
      </c>
      <c r="G260" s="86"/>
      <c r="H260" s="87"/>
      <c r="I260" s="34"/>
      <c r="L260" s="80"/>
      <c r="M260" s="80"/>
      <c r="N260" s="34"/>
    </row>
    <row r="261" spans="1:14" s="35" customFormat="1" x14ac:dyDescent="0.3">
      <c r="A261" s="78">
        <f>A260+1</f>
        <v>8</v>
      </c>
      <c r="B261" s="79"/>
      <c r="C261" s="43">
        <v>1</v>
      </c>
      <c r="D261" s="44">
        <f>(25.03+0.85*(2.65+2.44)+0.75*(2.65+2.44))*10.764</f>
        <v>357.08493599999997</v>
      </c>
      <c r="E261" s="46">
        <v>0</v>
      </c>
      <c r="F261" s="46">
        <f t="shared" si="21"/>
        <v>535.62740399999996</v>
      </c>
      <c r="G261" s="86"/>
      <c r="H261" s="87"/>
      <c r="I261" s="34"/>
      <c r="L261" s="80"/>
      <c r="M261" s="80"/>
      <c r="N261" s="34"/>
    </row>
    <row r="262" spans="1:14" s="35" customFormat="1" x14ac:dyDescent="0.3">
      <c r="A262" s="78">
        <f t="shared" si="22"/>
        <v>9</v>
      </c>
      <c r="B262" s="79"/>
      <c r="C262" s="43">
        <v>1</v>
      </c>
      <c r="D262" s="44">
        <f>(23.1+0.85*(2.85+2.13)+0.75*(2.85+2.13+3.85))*10.764</f>
        <v>365.49700200000001</v>
      </c>
      <c r="E262" s="46">
        <v>0</v>
      </c>
      <c r="F262" s="46">
        <f t="shared" si="21"/>
        <v>548.24550299999999</v>
      </c>
      <c r="G262" s="86"/>
      <c r="H262" s="87"/>
      <c r="I262" s="34"/>
      <c r="L262" s="80"/>
      <c r="M262" s="80"/>
      <c r="N262" s="34"/>
    </row>
    <row r="263" spans="1:14" s="35" customFormat="1" x14ac:dyDescent="0.3">
      <c r="A263" s="78">
        <f t="shared" si="22"/>
        <v>10</v>
      </c>
      <c r="B263" s="79"/>
      <c r="C263" s="43">
        <v>0</v>
      </c>
      <c r="D263" s="44">
        <f>(16.07+0.85*(3.05+1.8)+0.75*(3.05+1.8))*10.764</f>
        <v>256.50611999999995</v>
      </c>
      <c r="E263" s="46">
        <v>0</v>
      </c>
      <c r="F263" s="46">
        <f t="shared" si="21"/>
        <v>384.7591799999999</v>
      </c>
      <c r="G263" s="88"/>
      <c r="H263" s="89"/>
      <c r="I263" s="34"/>
      <c r="L263" s="80"/>
      <c r="M263" s="80"/>
      <c r="N263" s="34"/>
    </row>
    <row r="264" spans="1:14" s="35" customFormat="1" x14ac:dyDescent="0.3">
      <c r="A264" s="81" t="s">
        <v>189</v>
      </c>
      <c r="B264" s="82"/>
      <c r="C264" s="82"/>
      <c r="D264" s="82"/>
      <c r="E264" s="82"/>
      <c r="F264" s="82"/>
      <c r="G264" s="82"/>
      <c r="H264" s="83"/>
      <c r="J264" s="34"/>
    </row>
    <row r="265" spans="1:14" s="35" customFormat="1" x14ac:dyDescent="0.3">
      <c r="A265" s="81" t="s">
        <v>202</v>
      </c>
      <c r="B265" s="82"/>
      <c r="C265" s="82"/>
      <c r="D265" s="82"/>
      <c r="E265" s="82"/>
      <c r="F265" s="82"/>
      <c r="G265" s="82"/>
      <c r="H265" s="83"/>
      <c r="J265" s="34"/>
    </row>
    <row r="266" spans="1:14" s="35" customFormat="1" ht="15.75" customHeight="1" x14ac:dyDescent="0.3">
      <c r="A266" s="78">
        <v>1</v>
      </c>
      <c r="B266" s="79"/>
      <c r="C266" s="43">
        <v>1</v>
      </c>
      <c r="D266" s="44">
        <f>(29.46+0.75*(2.74+2.29+2.8+4)+0.85*(2.29+2.74))*10.764</f>
        <v>458.63251200000002</v>
      </c>
      <c r="E266" s="46">
        <v>0</v>
      </c>
      <c r="F266" s="46">
        <f>D266*(($F$196)+1)+(IF(E266&lt;101,E266,IF(E266&lt;201,E266/2,IF(E266&lt;=301,E266/3,E266/4))))</f>
        <v>687.94876799999997</v>
      </c>
      <c r="G266" s="86" t="str">
        <f>A265</f>
        <v>1st Floor For Residential &amp; Commercial</v>
      </c>
      <c r="H266" s="87"/>
      <c r="I266" s="34"/>
      <c r="L266" s="80"/>
      <c r="M266" s="80"/>
      <c r="N266" s="34"/>
    </row>
    <row r="267" spans="1:14" s="35" customFormat="1" ht="15.75" customHeight="1" x14ac:dyDescent="0.3">
      <c r="A267" s="78">
        <v>2</v>
      </c>
      <c r="B267" s="79"/>
      <c r="C267" s="43">
        <v>1</v>
      </c>
      <c r="D267" s="44">
        <f>(29.46+0.75*(2.74+2.29+2.74)+0.85*(2.29+2.74))*10.764</f>
        <v>425.856132</v>
      </c>
      <c r="E267" s="46">
        <v>0</v>
      </c>
      <c r="F267" s="46">
        <f>D267*(($F$196)+1)+(IF(E267&lt;101,E267,IF(E267&lt;201,E267/2,IF(E267&lt;=301,E267/3,E267/4))))</f>
        <v>638.78419800000006</v>
      </c>
      <c r="G267" s="86"/>
      <c r="H267" s="87"/>
      <c r="I267" s="34"/>
      <c r="L267" s="80"/>
      <c r="M267" s="80"/>
      <c r="N267" s="34"/>
    </row>
    <row r="268" spans="1:14" s="35" customFormat="1" ht="15.75" customHeight="1" x14ac:dyDescent="0.3">
      <c r="A268" s="78">
        <f t="shared" ref="A268" si="23">A267+1</f>
        <v>3</v>
      </c>
      <c r="B268" s="79"/>
      <c r="C268" s="43">
        <v>1</v>
      </c>
      <c r="D268" s="44">
        <f>(26.13+0.85*(2.75+2.44)+0.75*(2.75+2.44+1.35))*10.764</f>
        <v>381.54612599999996</v>
      </c>
      <c r="E268" s="46">
        <v>0</v>
      </c>
      <c r="F268" s="46">
        <f>D268*(($F$196)+1)+(IF(E268&lt;101,E268,IF(E268&lt;201,E268/2,IF(E268&lt;=301,E268/3,E268/4))))</f>
        <v>572.31918899999994</v>
      </c>
      <c r="G268" s="86"/>
      <c r="H268" s="87"/>
      <c r="I268" s="34"/>
      <c r="L268" s="80"/>
      <c r="M268" s="80"/>
      <c r="N268" s="34"/>
    </row>
    <row r="269" spans="1:14" s="35" customFormat="1" x14ac:dyDescent="0.3">
      <c r="A269" s="81" t="s">
        <v>232</v>
      </c>
      <c r="B269" s="82"/>
      <c r="C269" s="82"/>
      <c r="D269" s="82"/>
      <c r="E269" s="82"/>
      <c r="F269" s="82"/>
      <c r="G269" s="82"/>
      <c r="H269" s="83"/>
      <c r="J269" s="34"/>
    </row>
    <row r="270" spans="1:14" s="35" customFormat="1" ht="15.75" customHeight="1" x14ac:dyDescent="0.3">
      <c r="A270" s="78">
        <v>1</v>
      </c>
      <c r="B270" s="79"/>
      <c r="C270" s="43">
        <v>1</v>
      </c>
      <c r="D270" s="44">
        <f>(29.2+0.85*(2.74+2.29+2.74)+0.75*(2.74+2.29+2.74))*10.764</f>
        <v>448.12684799999994</v>
      </c>
      <c r="E270" s="46">
        <v>0</v>
      </c>
      <c r="F270" s="46">
        <f t="shared" ref="F270:F276" si="24">D270*(($F$196)+1)+(IF(E270&lt;101,E270,IF(E270&lt;201,E270/2,IF(E270&lt;=301,E270/3,E270/4))))</f>
        <v>672.19027199999994</v>
      </c>
      <c r="G270" s="84" t="str">
        <f>A269</f>
        <v>2nd, 4th, 6th, 10th, 12th &amp; 16th Floor for Residential</v>
      </c>
      <c r="H270" s="85"/>
      <c r="I270" s="34">
        <f>3900000/F270</f>
        <v>5801.9286539154209</v>
      </c>
      <c r="L270" s="80"/>
      <c r="M270" s="80"/>
      <c r="N270" s="34"/>
    </row>
    <row r="271" spans="1:14" s="35" customFormat="1" x14ac:dyDescent="0.3">
      <c r="A271" s="78">
        <f t="shared" ref="A271:A276" si="25">A270+1</f>
        <v>2</v>
      </c>
      <c r="B271" s="79"/>
      <c r="C271" s="43">
        <v>1</v>
      </c>
      <c r="D271" s="44">
        <f>(29.86+0.75*(2.74+2.29+2.74)+0.85*(2.29+2.74))*10.764</f>
        <v>430.16173199999997</v>
      </c>
      <c r="E271" s="46">
        <v>0</v>
      </c>
      <c r="F271" s="46">
        <f t="shared" si="24"/>
        <v>645.24259799999993</v>
      </c>
      <c r="G271" s="86"/>
      <c r="H271" s="87"/>
      <c r="I271" s="34"/>
      <c r="L271" s="80"/>
      <c r="M271" s="80"/>
      <c r="N271" s="34"/>
    </row>
    <row r="272" spans="1:14" s="35" customFormat="1" x14ac:dyDescent="0.3">
      <c r="A272" s="78">
        <f t="shared" si="25"/>
        <v>3</v>
      </c>
      <c r="B272" s="79"/>
      <c r="C272" s="43">
        <v>2</v>
      </c>
      <c r="D272" s="44">
        <f>(39.04+0.75*(2.74+2.44+2.74)+0.85*(2.44+2.74))*10.764</f>
        <v>531.55861199999993</v>
      </c>
      <c r="E272" s="46">
        <v>0</v>
      </c>
      <c r="F272" s="46">
        <f t="shared" si="24"/>
        <v>797.33791799999995</v>
      </c>
      <c r="G272" s="86"/>
      <c r="H272" s="87"/>
      <c r="I272" s="34">
        <f>4800000/F272</f>
        <v>6020.0322744465293</v>
      </c>
      <c r="L272" s="80"/>
      <c r="M272" s="80"/>
      <c r="N272" s="34"/>
    </row>
    <row r="273" spans="1:14" s="35" customFormat="1" x14ac:dyDescent="0.3">
      <c r="A273" s="78">
        <f t="shared" si="25"/>
        <v>4</v>
      </c>
      <c r="B273" s="79"/>
      <c r="C273" s="43">
        <v>1</v>
      </c>
      <c r="D273" s="44">
        <f>(29.46+0.75*(2.74+2.29+2.8+4)+0.85*(2.29+2.74))*10.764</f>
        <v>458.63251200000002</v>
      </c>
      <c r="E273" s="46">
        <v>0</v>
      </c>
      <c r="F273" s="46">
        <f t="shared" si="24"/>
        <v>687.94876799999997</v>
      </c>
      <c r="G273" s="86"/>
      <c r="H273" s="87"/>
      <c r="I273" s="34"/>
      <c r="L273" s="80"/>
      <c r="M273" s="80"/>
      <c r="N273" s="34"/>
    </row>
    <row r="274" spans="1:14" s="35" customFormat="1" x14ac:dyDescent="0.3">
      <c r="A274" s="78">
        <f t="shared" si="25"/>
        <v>5</v>
      </c>
      <c r="B274" s="79"/>
      <c r="C274" s="43">
        <v>1</v>
      </c>
      <c r="D274" s="44">
        <f>(29.46+0.75*(2.74+2.29+2.74)+0.85*(2.29+2.74))*10.764</f>
        <v>425.856132</v>
      </c>
      <c r="E274" s="46">
        <v>0</v>
      </c>
      <c r="F274" s="46">
        <f t="shared" si="24"/>
        <v>638.78419800000006</v>
      </c>
      <c r="G274" s="86"/>
      <c r="H274" s="87"/>
      <c r="I274" s="34"/>
      <c r="L274" s="80"/>
      <c r="M274" s="80"/>
      <c r="N274" s="34"/>
    </row>
    <row r="275" spans="1:14" s="35" customFormat="1" x14ac:dyDescent="0.3">
      <c r="A275" s="78">
        <f t="shared" si="25"/>
        <v>6</v>
      </c>
      <c r="B275" s="79"/>
      <c r="C275" s="43">
        <v>1</v>
      </c>
      <c r="D275" s="44">
        <f>(26.13+0.85*(2.75+2.44)+0.75*(2.75+2.44+1.35))*10.764</f>
        <v>381.54612599999996</v>
      </c>
      <c r="E275" s="46">
        <v>0</v>
      </c>
      <c r="F275" s="46">
        <f t="shared" si="24"/>
        <v>572.31918899999994</v>
      </c>
      <c r="G275" s="86"/>
      <c r="H275" s="87"/>
      <c r="I275" s="34">
        <f>(4.26*2.74+2.13*2.29+3.2*2.74+1.8*0.6+1.2*1.8+1.8*1.2+0.9*2.29+1.2*0.4+0.75*(2.29+2.74+0.75+3.2+0.6)+2.74*1.2)*(10.764)</f>
        <v>470.73232439999998</v>
      </c>
      <c r="L275" s="80"/>
      <c r="M275" s="80"/>
      <c r="N275" s="34"/>
    </row>
    <row r="276" spans="1:14" s="35" customFormat="1" x14ac:dyDescent="0.3">
      <c r="A276" s="78">
        <f t="shared" si="25"/>
        <v>7</v>
      </c>
      <c r="B276" s="79"/>
      <c r="C276" s="43">
        <v>1</v>
      </c>
      <c r="D276" s="44">
        <f>(26.31+0.75*(2.74+2.44+2.13)+0.85*2.44)*10.764</f>
        <v>364.53900599999992</v>
      </c>
      <c r="E276" s="46">
        <v>0</v>
      </c>
      <c r="F276" s="46">
        <f t="shared" si="24"/>
        <v>546.80850899999984</v>
      </c>
      <c r="G276" s="88"/>
      <c r="H276" s="89"/>
      <c r="I276" s="34"/>
      <c r="L276" s="80"/>
      <c r="M276" s="80"/>
      <c r="N276" s="34"/>
    </row>
    <row r="277" spans="1:14" s="35" customFormat="1" x14ac:dyDescent="0.3">
      <c r="A277" s="81" t="s">
        <v>222</v>
      </c>
      <c r="B277" s="82"/>
      <c r="C277" s="82"/>
      <c r="D277" s="82"/>
      <c r="E277" s="82"/>
      <c r="F277" s="82"/>
      <c r="G277" s="82"/>
      <c r="H277" s="83"/>
      <c r="J277" s="34"/>
    </row>
    <row r="278" spans="1:14" s="35" customFormat="1" ht="15.75" customHeight="1" x14ac:dyDescent="0.3">
      <c r="A278" s="78">
        <v>1</v>
      </c>
      <c r="B278" s="79"/>
      <c r="C278" s="43">
        <v>1</v>
      </c>
      <c r="D278" s="44">
        <f>(29.2+0.85*(2.74+2.29+2.74)+0.75*(2.74+2.29+2.74))*10.764</f>
        <v>448.12684799999994</v>
      </c>
      <c r="E278" s="46">
        <v>0</v>
      </c>
      <c r="F278" s="46">
        <f t="shared" ref="F278:F284" si="26">D278*(($F$196)+1)+(IF(E278&lt;101,E278,IF(E278&lt;201,E278/2,IF(E278&lt;=301,E278/3,E278/4))))</f>
        <v>672.19027199999994</v>
      </c>
      <c r="G278" s="84" t="str">
        <f>A277</f>
        <v>3rd, 5th, 7th, 9th, 11th, 15th, 17th &amp; 19th Floor</v>
      </c>
      <c r="H278" s="85"/>
      <c r="I278" s="34"/>
      <c r="L278" s="80"/>
      <c r="M278" s="80"/>
      <c r="N278" s="34"/>
    </row>
    <row r="279" spans="1:14" s="35" customFormat="1" ht="15.75" customHeight="1" x14ac:dyDescent="0.3">
      <c r="A279" s="78">
        <f t="shared" ref="A279:A284" si="27">A278+1</f>
        <v>2</v>
      </c>
      <c r="B279" s="79"/>
      <c r="C279" s="43">
        <v>1</v>
      </c>
      <c r="D279" s="44">
        <f>(29.86+1.2*2.74+0.75*(2.29+2.74)+0.85*(2.29+2.74))*10.764</f>
        <v>443.43374399999993</v>
      </c>
      <c r="E279" s="46">
        <v>0</v>
      </c>
      <c r="F279" s="46">
        <f t="shared" si="26"/>
        <v>665.1506159999999</v>
      </c>
      <c r="G279" s="86"/>
      <c r="H279" s="87"/>
      <c r="I279" s="34"/>
      <c r="L279" s="80"/>
      <c r="M279" s="80"/>
      <c r="N279" s="34"/>
    </row>
    <row r="280" spans="1:14" s="35" customFormat="1" ht="15.75" customHeight="1" x14ac:dyDescent="0.3">
      <c r="A280" s="78">
        <f t="shared" si="27"/>
        <v>3</v>
      </c>
      <c r="B280" s="79"/>
      <c r="C280" s="43">
        <v>2</v>
      </c>
      <c r="D280" s="44">
        <f>(39.04+1.2*2.74+0.75*(2.44+2.74)+0.85*(2.44+2.74))*10.764</f>
        <v>544.83062399999994</v>
      </c>
      <c r="E280" s="46">
        <v>0</v>
      </c>
      <c r="F280" s="46">
        <f t="shared" si="26"/>
        <v>817.24593599999992</v>
      </c>
      <c r="G280" s="86"/>
      <c r="H280" s="87"/>
      <c r="I280" s="34"/>
      <c r="L280" s="80"/>
      <c r="M280" s="80"/>
      <c r="N280" s="34"/>
    </row>
    <row r="281" spans="1:14" s="35" customFormat="1" ht="15.75" customHeight="1" x14ac:dyDescent="0.3">
      <c r="A281" s="78">
        <f t="shared" si="27"/>
        <v>4</v>
      </c>
      <c r="B281" s="79"/>
      <c r="C281" s="43">
        <v>1</v>
      </c>
      <c r="D281" s="44">
        <f>(29.46+1.2*2.74+0.75*(2.29+2.8+4)+0.85*(2.29+2.74))*10.764</f>
        <v>471.90452400000004</v>
      </c>
      <c r="E281" s="46">
        <v>0</v>
      </c>
      <c r="F281" s="46">
        <f t="shared" si="26"/>
        <v>707.85678600000006</v>
      </c>
      <c r="G281" s="86"/>
      <c r="H281" s="87"/>
      <c r="I281" s="34">
        <f>(2.74*4.26+2.29*1.25+2.74*2.35+1.8*0.6+1.8*1.2+1.2*1.8+0.9*2.4+1.2*0.5)</f>
        <v>29.133900000000001</v>
      </c>
      <c r="L281" s="80"/>
      <c r="M281" s="80"/>
      <c r="N281" s="34"/>
    </row>
    <row r="282" spans="1:14" s="35" customFormat="1" ht="15.75" customHeight="1" x14ac:dyDescent="0.3">
      <c r="A282" s="78">
        <f t="shared" si="27"/>
        <v>5</v>
      </c>
      <c r="B282" s="79"/>
      <c r="C282" s="43">
        <v>1</v>
      </c>
      <c r="D282" s="44">
        <f>(29.46+1.2*2.74+0.75*(2.29+2.74)+0.85*(2.29+2.74))*10.764</f>
        <v>439.12814400000002</v>
      </c>
      <c r="E282" s="46">
        <v>0</v>
      </c>
      <c r="F282" s="46">
        <f t="shared" si="26"/>
        <v>658.69221600000003</v>
      </c>
      <c r="G282" s="86"/>
      <c r="H282" s="87"/>
      <c r="I282" s="34"/>
      <c r="L282" s="80"/>
      <c r="M282" s="80"/>
      <c r="N282" s="34"/>
    </row>
    <row r="283" spans="1:14" s="35" customFormat="1" ht="15.75" customHeight="1" x14ac:dyDescent="0.3">
      <c r="A283" s="78">
        <f t="shared" si="27"/>
        <v>6</v>
      </c>
      <c r="B283" s="79"/>
      <c r="C283" s="43">
        <v>1</v>
      </c>
      <c r="D283" s="44">
        <f>(26.13+0.85*(2.75+2.44)+0.75*(2.75+2.44+1.35))*10.764</f>
        <v>381.54612599999996</v>
      </c>
      <c r="E283" s="46">
        <v>0</v>
      </c>
      <c r="F283" s="46">
        <f t="shared" si="26"/>
        <v>572.31918899999994</v>
      </c>
      <c r="G283" s="86"/>
      <c r="H283" s="87"/>
      <c r="I283" s="34"/>
      <c r="L283" s="80"/>
      <c r="M283" s="80"/>
      <c r="N283" s="34"/>
    </row>
    <row r="284" spans="1:14" s="35" customFormat="1" ht="15.75" customHeight="1" x14ac:dyDescent="0.3">
      <c r="A284" s="78">
        <f t="shared" si="27"/>
        <v>7</v>
      </c>
      <c r="B284" s="79"/>
      <c r="C284" s="43">
        <v>1</v>
      </c>
      <c r="D284" s="44">
        <f>(26.31+1.2*2.74+0.75*(2.44+2.13)+0.85*2.44)*10.764</f>
        <v>377.81101799999999</v>
      </c>
      <c r="E284" s="46">
        <v>0</v>
      </c>
      <c r="F284" s="46">
        <f t="shared" si="26"/>
        <v>566.71652700000004</v>
      </c>
      <c r="G284" s="88"/>
      <c r="H284" s="89"/>
      <c r="I284" s="34"/>
      <c r="L284" s="80"/>
      <c r="M284" s="80"/>
      <c r="N284" s="34"/>
    </row>
    <row r="285" spans="1:14" s="35" customFormat="1" x14ac:dyDescent="0.3">
      <c r="A285" s="81" t="s">
        <v>192</v>
      </c>
      <c r="B285" s="82"/>
      <c r="C285" s="82"/>
      <c r="D285" s="82"/>
      <c r="E285" s="82"/>
      <c r="F285" s="82"/>
      <c r="G285" s="82"/>
      <c r="H285" s="83"/>
      <c r="J285" s="34"/>
    </row>
    <row r="286" spans="1:14" s="35" customFormat="1" ht="15.75" customHeight="1" x14ac:dyDescent="0.3">
      <c r="A286" s="78">
        <v>1</v>
      </c>
      <c r="B286" s="79"/>
      <c r="C286" s="43">
        <v>1</v>
      </c>
      <c r="D286" s="44">
        <f>(29.2+0.85*(2.74+2.29+2.74)+0.75*(2.74+2.29+2.74))*10.764</f>
        <v>448.12684799999994</v>
      </c>
      <c r="E286" s="46">
        <v>0</v>
      </c>
      <c r="F286" s="46">
        <f t="shared" ref="F286:F292" si="28">D286*(($F$196)+1)+(IF(E286&lt;101,E286,IF(E286&lt;201,E286/2,IF(E286&lt;=301,E286/3,E286/4))))</f>
        <v>672.19027199999994</v>
      </c>
      <c r="G286" s="84" t="str">
        <f>A285</f>
        <v>8th &amp; 14th Floor (Part Refuge Area)</v>
      </c>
      <c r="H286" s="85"/>
      <c r="I286" s="34"/>
      <c r="L286" s="80"/>
      <c r="M286" s="80"/>
      <c r="N286" s="34"/>
    </row>
    <row r="287" spans="1:14" s="35" customFormat="1" ht="15.75" customHeight="1" x14ac:dyDescent="0.3">
      <c r="A287" s="78">
        <f t="shared" ref="A287:A292" si="29">A286+1</f>
        <v>2</v>
      </c>
      <c r="B287" s="79"/>
      <c r="C287" s="43">
        <v>1</v>
      </c>
      <c r="D287" s="44">
        <f>(29.86+0.75*(2.74+2.29+2.74)+0.85*(2.29+2.74))*10.764</f>
        <v>430.16173199999997</v>
      </c>
      <c r="E287" s="46">
        <v>0</v>
      </c>
      <c r="F287" s="46">
        <f t="shared" si="28"/>
        <v>645.24259799999993</v>
      </c>
      <c r="G287" s="86"/>
      <c r="H287" s="87"/>
      <c r="I287" s="34"/>
      <c r="L287" s="80"/>
      <c r="M287" s="80"/>
      <c r="N287" s="34"/>
    </row>
    <row r="288" spans="1:14" s="35" customFormat="1" ht="15.75" customHeight="1" x14ac:dyDescent="0.3">
      <c r="A288" s="78">
        <f t="shared" si="29"/>
        <v>3</v>
      </c>
      <c r="B288" s="79"/>
      <c r="C288" s="43">
        <v>2</v>
      </c>
      <c r="D288" s="44">
        <f>(39.04+0.75*(2.74+2.44+2.74)+0.85*(2.44+2.74))*10.764</f>
        <v>531.55861199999993</v>
      </c>
      <c r="E288" s="46">
        <v>0</v>
      </c>
      <c r="F288" s="46">
        <f t="shared" si="28"/>
        <v>797.33791799999995</v>
      </c>
      <c r="G288" s="86"/>
      <c r="H288" s="87"/>
      <c r="I288" s="34"/>
      <c r="L288" s="80"/>
      <c r="M288" s="80"/>
      <c r="N288" s="34"/>
    </row>
    <row r="289" spans="1:14" s="35" customFormat="1" ht="15.75" customHeight="1" x14ac:dyDescent="0.3">
      <c r="A289" s="78">
        <f t="shared" si="29"/>
        <v>4</v>
      </c>
      <c r="B289" s="79"/>
      <c r="C289" s="43">
        <v>1</v>
      </c>
      <c r="D289" s="44">
        <f>(29.46+0.75*(2.74+2.29+2.8+4)+0.85*(2.29+2.74))*10.764</f>
        <v>458.63251200000002</v>
      </c>
      <c r="E289" s="46">
        <v>0</v>
      </c>
      <c r="F289" s="46">
        <f t="shared" si="28"/>
        <v>687.94876799999997</v>
      </c>
      <c r="G289" s="86"/>
      <c r="H289" s="87"/>
      <c r="I289" s="34"/>
      <c r="L289" s="80"/>
      <c r="M289" s="80"/>
      <c r="N289" s="34"/>
    </row>
    <row r="290" spans="1:14" s="35" customFormat="1" ht="15.75" customHeight="1" x14ac:dyDescent="0.3">
      <c r="A290" s="78">
        <f t="shared" si="29"/>
        <v>5</v>
      </c>
      <c r="B290" s="79"/>
      <c r="C290" s="78" t="s">
        <v>191</v>
      </c>
      <c r="D290" s="109"/>
      <c r="E290" s="109"/>
      <c r="F290" s="79"/>
      <c r="G290" s="86"/>
      <c r="H290" s="87"/>
      <c r="I290" s="34"/>
      <c r="L290" s="80"/>
      <c r="M290" s="80"/>
      <c r="N290" s="34"/>
    </row>
    <row r="291" spans="1:14" s="35" customFormat="1" ht="15.75" customHeight="1" x14ac:dyDescent="0.3">
      <c r="A291" s="78">
        <f t="shared" si="29"/>
        <v>6</v>
      </c>
      <c r="B291" s="79"/>
      <c r="C291" s="43">
        <v>1</v>
      </c>
      <c r="D291" s="44">
        <f>(26.13+0.85*(2.75+2.44)+0.75*(2.75+2.44+1.35))*10.764</f>
        <v>381.54612599999996</v>
      </c>
      <c r="E291" s="46">
        <v>0</v>
      </c>
      <c r="F291" s="46">
        <f t="shared" si="28"/>
        <v>572.31918899999994</v>
      </c>
      <c r="G291" s="86"/>
      <c r="H291" s="87"/>
      <c r="I291" s="34"/>
      <c r="L291" s="80"/>
      <c r="M291" s="80"/>
      <c r="N291" s="34"/>
    </row>
    <row r="292" spans="1:14" s="35" customFormat="1" ht="15.75" customHeight="1" x14ac:dyDescent="0.3">
      <c r="A292" s="78">
        <f t="shared" si="29"/>
        <v>7</v>
      </c>
      <c r="B292" s="79"/>
      <c r="C292" s="43">
        <v>1</v>
      </c>
      <c r="D292" s="44">
        <f>(26.31+0.75*(2.74+2.44+2.13)+0.85*2.44)*10.764</f>
        <v>364.53900599999992</v>
      </c>
      <c r="E292" s="46">
        <v>0</v>
      </c>
      <c r="F292" s="46">
        <f t="shared" si="28"/>
        <v>546.80850899999984</v>
      </c>
      <c r="G292" s="88"/>
      <c r="H292" s="89"/>
      <c r="I292" s="34"/>
      <c r="L292" s="80"/>
      <c r="M292" s="80"/>
      <c r="N292" s="34"/>
    </row>
    <row r="293" spans="1:14" s="35" customFormat="1" x14ac:dyDescent="0.3">
      <c r="A293" s="81" t="s">
        <v>221</v>
      </c>
      <c r="B293" s="82"/>
      <c r="C293" s="82"/>
      <c r="D293" s="82"/>
      <c r="E293" s="82"/>
      <c r="F293" s="82"/>
      <c r="G293" s="82"/>
      <c r="H293" s="83"/>
      <c r="J293" s="34"/>
    </row>
    <row r="294" spans="1:14" s="35" customFormat="1" ht="15.75" customHeight="1" x14ac:dyDescent="0.3">
      <c r="A294" s="78">
        <v>1</v>
      </c>
      <c r="B294" s="79"/>
      <c r="C294" s="43">
        <v>1</v>
      </c>
      <c r="D294" s="44">
        <f>(29.2+0.85*(2.74+2.29+2.74)+0.75*(2.74+2.29+2.74))*10.764</f>
        <v>448.12684799999994</v>
      </c>
      <c r="E294" s="46">
        <v>0</v>
      </c>
      <c r="F294" s="46">
        <f t="shared" ref="F294:F300" si="30">D294*(($F$196)+1)+(IF(E294&lt;101,E294,IF(E294&lt;201,E294/2,IF(E294&lt;=301,E294/3,E294/4))))</f>
        <v>672.19027199999994</v>
      </c>
      <c r="G294" s="84" t="str">
        <f>A293</f>
        <v>13th Floor For Residential (Part Refuge Area)</v>
      </c>
      <c r="H294" s="85"/>
      <c r="I294" s="34"/>
      <c r="L294" s="80"/>
      <c r="M294" s="80"/>
      <c r="N294" s="34"/>
    </row>
    <row r="295" spans="1:14" s="35" customFormat="1" ht="15.75" customHeight="1" x14ac:dyDescent="0.3">
      <c r="A295" s="78">
        <f t="shared" ref="A295:A300" si="31">A294+1</f>
        <v>2</v>
      </c>
      <c r="B295" s="79"/>
      <c r="C295" s="43">
        <v>1</v>
      </c>
      <c r="D295" s="44">
        <f>(29.86+1.2*2.74+0.75*(2.29+2.74)+0.85*(2.29+2.74))*10.764</f>
        <v>443.43374399999993</v>
      </c>
      <c r="E295" s="46">
        <v>0</v>
      </c>
      <c r="F295" s="46">
        <f t="shared" si="30"/>
        <v>665.1506159999999</v>
      </c>
      <c r="G295" s="86"/>
      <c r="H295" s="87"/>
      <c r="I295" s="34"/>
      <c r="L295" s="80"/>
      <c r="M295" s="80"/>
      <c r="N295" s="34"/>
    </row>
    <row r="296" spans="1:14" s="35" customFormat="1" ht="15.75" customHeight="1" x14ac:dyDescent="0.3">
      <c r="A296" s="78">
        <f t="shared" si="31"/>
        <v>3</v>
      </c>
      <c r="B296" s="79"/>
      <c r="C296" s="43">
        <v>2</v>
      </c>
      <c r="D296" s="44">
        <f>(39.04+1.2*2.74+0.75*(2.44+2.74)+0.85*(2.44+2.74))*10.764</f>
        <v>544.83062399999994</v>
      </c>
      <c r="E296" s="46">
        <v>0</v>
      </c>
      <c r="F296" s="46">
        <f t="shared" si="30"/>
        <v>817.24593599999992</v>
      </c>
      <c r="G296" s="86"/>
      <c r="H296" s="87"/>
      <c r="I296" s="34"/>
      <c r="L296" s="80"/>
      <c r="M296" s="80"/>
      <c r="N296" s="34"/>
    </row>
    <row r="297" spans="1:14" s="35" customFormat="1" ht="15.75" customHeight="1" x14ac:dyDescent="0.3">
      <c r="A297" s="78">
        <f t="shared" si="31"/>
        <v>4</v>
      </c>
      <c r="B297" s="79"/>
      <c r="C297" s="43">
        <v>1</v>
      </c>
      <c r="D297" s="44">
        <f>(29.46+1.2*2.74+0.75*(2.29+2.8+4)+0.85*(2.29+2.74))*10.764</f>
        <v>471.90452400000004</v>
      </c>
      <c r="E297" s="46">
        <v>0</v>
      </c>
      <c r="F297" s="46">
        <f t="shared" si="30"/>
        <v>707.85678600000006</v>
      </c>
      <c r="G297" s="86"/>
      <c r="H297" s="87"/>
      <c r="I297" s="34"/>
      <c r="L297" s="80"/>
      <c r="M297" s="80"/>
      <c r="N297" s="34"/>
    </row>
    <row r="298" spans="1:14" s="35" customFormat="1" ht="15.75" customHeight="1" x14ac:dyDescent="0.3">
      <c r="A298" s="78">
        <f t="shared" si="31"/>
        <v>5</v>
      </c>
      <c r="B298" s="79"/>
      <c r="C298" s="43">
        <v>1</v>
      </c>
      <c r="D298" s="44">
        <f>(29.46+1.2*2.74+0.75*(2.29+2.74)+0.85*(2.29+2.74))*10.764</f>
        <v>439.12814400000002</v>
      </c>
      <c r="E298" s="46">
        <v>0</v>
      </c>
      <c r="F298" s="46">
        <f t="shared" si="30"/>
        <v>658.69221600000003</v>
      </c>
      <c r="G298" s="86"/>
      <c r="H298" s="87"/>
      <c r="I298" s="34"/>
      <c r="L298" s="80"/>
      <c r="M298" s="80"/>
      <c r="N298" s="34"/>
    </row>
    <row r="299" spans="1:14" s="35" customFormat="1" ht="15.75" customHeight="1" x14ac:dyDescent="0.3">
      <c r="A299" s="78">
        <f t="shared" si="31"/>
        <v>6</v>
      </c>
      <c r="B299" s="79"/>
      <c r="C299" s="43">
        <v>1</v>
      </c>
      <c r="D299" s="44">
        <f>(26.13+0.85*(2.75+2.44)+0.75*(2.75+2.44+1.35))*10.764</f>
        <v>381.54612599999996</v>
      </c>
      <c r="E299" s="46">
        <v>0</v>
      </c>
      <c r="F299" s="46">
        <f t="shared" si="30"/>
        <v>572.31918899999994</v>
      </c>
      <c r="G299" s="86"/>
      <c r="H299" s="87"/>
      <c r="I299" s="34"/>
      <c r="L299" s="80"/>
      <c r="M299" s="80"/>
      <c r="N299" s="34"/>
    </row>
    <row r="300" spans="1:14" s="35" customFormat="1" ht="15.75" customHeight="1" x14ac:dyDescent="0.3">
      <c r="A300" s="78">
        <f t="shared" si="31"/>
        <v>7</v>
      </c>
      <c r="B300" s="79"/>
      <c r="C300" s="43">
        <v>1</v>
      </c>
      <c r="D300" s="44">
        <f>(26.31+1.2*2.74+0.75*(2.44+2.13)+0.85*2.44)*10.764</f>
        <v>377.81101799999999</v>
      </c>
      <c r="E300" s="46">
        <v>0</v>
      </c>
      <c r="F300" s="46">
        <f t="shared" si="30"/>
        <v>566.71652700000004</v>
      </c>
      <c r="G300" s="88"/>
      <c r="H300" s="89"/>
      <c r="I300" s="34"/>
      <c r="L300" s="80"/>
      <c r="M300" s="80"/>
      <c r="N300" s="34"/>
    </row>
    <row r="301" spans="1:14" s="35" customFormat="1" x14ac:dyDescent="0.3">
      <c r="A301" s="81" t="s">
        <v>223</v>
      </c>
      <c r="B301" s="82"/>
      <c r="C301" s="82"/>
      <c r="D301" s="82"/>
      <c r="E301" s="82"/>
      <c r="F301" s="82"/>
      <c r="G301" s="82"/>
      <c r="H301" s="83"/>
      <c r="J301" s="34"/>
    </row>
    <row r="302" spans="1:14" s="35" customFormat="1" ht="15.75" customHeight="1" x14ac:dyDescent="0.3">
      <c r="A302" s="78">
        <v>1</v>
      </c>
      <c r="B302" s="79"/>
      <c r="C302" s="43">
        <v>1</v>
      </c>
      <c r="D302" s="44">
        <f>(29.2+0.85*(2.74+2.29+2.74)+0.75*(2.74+2.29+2.74))*10.764</f>
        <v>448.12684799999994</v>
      </c>
      <c r="E302" s="46">
        <v>0</v>
      </c>
      <c r="F302" s="46">
        <f t="shared" ref="F302:F308" si="32">D302*(($F$196)+1)+(IF(E302&lt;101,E302,IF(E302&lt;201,E302/2,IF(E302&lt;=301,E302/3,E302/4))))</f>
        <v>672.19027199999994</v>
      </c>
      <c r="G302" s="84" t="str">
        <f>A301</f>
        <v>18th Floor (Part Refuge Area)</v>
      </c>
      <c r="H302" s="85"/>
      <c r="I302" s="34">
        <f>3900000/F302</f>
        <v>5801.9286539154209</v>
      </c>
      <c r="L302" s="80"/>
      <c r="M302" s="80"/>
      <c r="N302" s="34"/>
    </row>
    <row r="303" spans="1:14" s="35" customFormat="1" x14ac:dyDescent="0.3">
      <c r="A303" s="78">
        <f t="shared" ref="A303:A308" si="33">A302+1</f>
        <v>2</v>
      </c>
      <c r="B303" s="79"/>
      <c r="C303" s="43">
        <v>1</v>
      </c>
      <c r="D303" s="44">
        <f>(29.86+0.75*(2.74+2.29+2.74)+0.85*(2.29+2.74))*10.764</f>
        <v>430.16173199999997</v>
      </c>
      <c r="E303" s="46">
        <v>0</v>
      </c>
      <c r="F303" s="46">
        <f t="shared" si="32"/>
        <v>645.24259799999993</v>
      </c>
      <c r="G303" s="86"/>
      <c r="H303" s="87"/>
      <c r="I303" s="34"/>
      <c r="L303" s="80"/>
      <c r="M303" s="80"/>
      <c r="N303" s="34"/>
    </row>
    <row r="304" spans="1:14" s="35" customFormat="1" x14ac:dyDescent="0.3">
      <c r="A304" s="78">
        <f t="shared" si="33"/>
        <v>3</v>
      </c>
      <c r="B304" s="79"/>
      <c r="C304" s="43">
        <v>2</v>
      </c>
      <c r="D304" s="44">
        <f>(39.04+0.75*(2.74+2.44+2.74)+0.85*(2.44+2.74))*10.764</f>
        <v>531.55861199999993</v>
      </c>
      <c r="E304" s="46">
        <v>0</v>
      </c>
      <c r="F304" s="46">
        <f t="shared" si="32"/>
        <v>797.33791799999995</v>
      </c>
      <c r="G304" s="86"/>
      <c r="H304" s="87"/>
      <c r="I304" s="34">
        <f>4800000/F304</f>
        <v>6020.0322744465293</v>
      </c>
      <c r="L304" s="80"/>
      <c r="M304" s="80"/>
      <c r="N304" s="34"/>
    </row>
    <row r="305" spans="1:14" s="35" customFormat="1" x14ac:dyDescent="0.3">
      <c r="A305" s="78">
        <f t="shared" si="33"/>
        <v>4</v>
      </c>
      <c r="B305" s="79"/>
      <c r="C305" s="43">
        <v>1</v>
      </c>
      <c r="D305" s="44">
        <f>(29.46+0.75*(2.74+2.29+2.8+4)+0.85*(2.29+2.74))*10.764</f>
        <v>458.63251200000002</v>
      </c>
      <c r="E305" s="46">
        <v>0</v>
      </c>
      <c r="F305" s="46">
        <f t="shared" si="32"/>
        <v>687.94876799999997</v>
      </c>
      <c r="G305" s="86"/>
      <c r="H305" s="87"/>
      <c r="I305" s="34"/>
      <c r="L305" s="80"/>
      <c r="M305" s="80"/>
      <c r="N305" s="34"/>
    </row>
    <row r="306" spans="1:14" s="35" customFormat="1" x14ac:dyDescent="0.3">
      <c r="A306" s="78">
        <f t="shared" si="33"/>
        <v>5</v>
      </c>
      <c r="B306" s="79"/>
      <c r="C306" s="43">
        <v>1</v>
      </c>
      <c r="D306" s="44">
        <f>(29.46+0.75*(2.74+2.29+2.74)+0.85*(2.29+2.74))*10.764</f>
        <v>425.856132</v>
      </c>
      <c r="E306" s="46">
        <v>0</v>
      </c>
      <c r="F306" s="46">
        <f t="shared" si="32"/>
        <v>638.78419800000006</v>
      </c>
      <c r="G306" s="86"/>
      <c r="H306" s="87"/>
      <c r="I306" s="34"/>
      <c r="L306" s="80"/>
      <c r="M306" s="80"/>
      <c r="N306" s="34"/>
    </row>
    <row r="307" spans="1:14" s="35" customFormat="1" x14ac:dyDescent="0.3">
      <c r="A307" s="78">
        <f t="shared" si="33"/>
        <v>6</v>
      </c>
      <c r="B307" s="79"/>
      <c r="C307" s="43">
        <v>1</v>
      </c>
      <c r="D307" s="44">
        <f>(26.13+0.85*(2.75+2.44)+0.75*(2.75+2.44+1.35))*10.764</f>
        <v>381.54612599999996</v>
      </c>
      <c r="E307" s="46">
        <v>0</v>
      </c>
      <c r="F307" s="46">
        <f t="shared" si="32"/>
        <v>572.31918899999994</v>
      </c>
      <c r="G307" s="86"/>
      <c r="H307" s="87"/>
      <c r="I307" s="34">
        <f>(4.26*2.74+2.13*2.29+3.2*2.74+1.8*0.6+1.2*1.8+1.8*1.2+0.9*2.29+1.2*0.4+0.75*(2.29+2.74+0.75+3.2+0.6)+2.74*1.2)*(10.764)</f>
        <v>470.73232439999998</v>
      </c>
      <c r="L307" s="80"/>
      <c r="M307" s="80"/>
      <c r="N307" s="34"/>
    </row>
    <row r="308" spans="1:14" s="35" customFormat="1" x14ac:dyDescent="0.3">
      <c r="A308" s="78">
        <f t="shared" si="33"/>
        <v>7</v>
      </c>
      <c r="B308" s="79"/>
      <c r="C308" s="43">
        <v>1</v>
      </c>
      <c r="D308" s="44">
        <f>(26.31+0.75*(2.74+2.44+2.13)+0.85*2.44)*10.764</f>
        <v>364.53900599999992</v>
      </c>
      <c r="E308" s="46">
        <v>0</v>
      </c>
      <c r="F308" s="46">
        <f t="shared" si="32"/>
        <v>546.80850899999984</v>
      </c>
      <c r="G308" s="88"/>
      <c r="H308" s="89"/>
      <c r="I308" s="34"/>
      <c r="L308" s="80"/>
      <c r="M308" s="80"/>
      <c r="N308" s="34"/>
    </row>
    <row r="309" spans="1:14" s="35" customFormat="1" x14ac:dyDescent="0.3">
      <c r="A309" s="81" t="s">
        <v>217</v>
      </c>
      <c r="B309" s="82"/>
      <c r="C309" s="82"/>
      <c r="D309" s="82"/>
      <c r="E309" s="82"/>
      <c r="F309" s="82"/>
      <c r="G309" s="82"/>
      <c r="H309" s="83"/>
      <c r="I309" s="34"/>
    </row>
    <row r="310" spans="1:14" s="35" customFormat="1" x14ac:dyDescent="0.3">
      <c r="A310" s="81" t="s">
        <v>228</v>
      </c>
      <c r="B310" s="82"/>
      <c r="C310" s="82"/>
      <c r="D310" s="82"/>
      <c r="E310" s="82"/>
      <c r="F310" s="82"/>
      <c r="G310" s="82"/>
      <c r="H310" s="83"/>
      <c r="I310" s="34"/>
    </row>
    <row r="311" spans="1:14" s="35" customFormat="1" ht="15.75" customHeight="1" x14ac:dyDescent="0.3">
      <c r="A311" s="78">
        <v>1</v>
      </c>
      <c r="B311" s="79"/>
      <c r="C311" s="43" t="s">
        <v>224</v>
      </c>
      <c r="D311" s="44">
        <f>(28.01+0.75*(2.74+3.05+2.08))*10.764</f>
        <v>365.03415000000001</v>
      </c>
      <c r="E311" s="46">
        <v>0</v>
      </c>
      <c r="F311" s="46">
        <f t="shared" ref="F311:F316" si="34">D311*(($F$196)+1)+(IF(E311&lt;101,E311,IF(E311&lt;201,E311/2,IF(E311&lt;=301,E311/3,E311/4))))</f>
        <v>547.55122500000004</v>
      </c>
      <c r="G311" s="84" t="str">
        <f>A310</f>
        <v>1st to 7th, 9th to 12th &amp; 14th to 16th Floor For Residential</v>
      </c>
      <c r="H311" s="85"/>
    </row>
    <row r="312" spans="1:14" s="35" customFormat="1" x14ac:dyDescent="0.3">
      <c r="A312" s="78">
        <f>A311+1</f>
        <v>2</v>
      </c>
      <c r="B312" s="79"/>
      <c r="C312" s="43" t="s">
        <v>225</v>
      </c>
      <c r="D312" s="44">
        <f>(43.58+0.75*(2.74+3.35+2.29+2.74))*10.764</f>
        <v>558.86688000000004</v>
      </c>
      <c r="E312" s="46">
        <v>0</v>
      </c>
      <c r="F312" s="46">
        <f t="shared" si="34"/>
        <v>838.30032000000006</v>
      </c>
      <c r="G312" s="86"/>
      <c r="H312" s="87"/>
      <c r="I312" s="34">
        <f>(2.74*4.26+2.29*2.29+3.05*2.74+3.35*2.6+2.29*1.2+1.2*2.13+0.9*3.9)</f>
        <v>42.797499999999992</v>
      </c>
    </row>
    <row r="313" spans="1:14" s="35" customFormat="1" x14ac:dyDescent="0.3">
      <c r="A313" s="78">
        <f t="shared" ref="A313:A316" si="35">A312+1</f>
        <v>3</v>
      </c>
      <c r="B313" s="79"/>
      <c r="C313" s="43" t="s">
        <v>224</v>
      </c>
      <c r="D313" s="44">
        <f>(31.6+0.75*(2.74+2.29+2.74)+1*2.74)*10.764</f>
        <v>432.36297000000002</v>
      </c>
      <c r="E313" s="46">
        <v>0</v>
      </c>
      <c r="F313" s="46">
        <f t="shared" si="34"/>
        <v>648.54445499999997</v>
      </c>
      <c r="G313" s="86"/>
      <c r="H313" s="87"/>
      <c r="I313" s="34">
        <f>(2.74*4.26+2.29*2.13+2.74*2.2+1.8*1.2+1.8*0.6+1.2*1.8+0.9*2.6+1.25*0.55)</f>
        <v>31.005600000000001</v>
      </c>
    </row>
    <row r="314" spans="1:14" s="35" customFormat="1" x14ac:dyDescent="0.3">
      <c r="A314" s="78">
        <f t="shared" si="35"/>
        <v>4</v>
      </c>
      <c r="B314" s="79"/>
      <c r="C314" s="43" t="s">
        <v>224</v>
      </c>
      <c r="D314" s="44">
        <f>(28.01+0.75*(2.74+3.05+2.08))*10.764</f>
        <v>365.03415000000001</v>
      </c>
      <c r="E314" s="46">
        <v>0</v>
      </c>
      <c r="F314" s="46">
        <f t="shared" si="34"/>
        <v>547.55122500000004</v>
      </c>
      <c r="G314" s="86"/>
      <c r="H314" s="87"/>
      <c r="I314" s="34"/>
    </row>
    <row r="315" spans="1:14" s="35" customFormat="1" x14ac:dyDescent="0.3">
      <c r="A315" s="78">
        <f t="shared" si="35"/>
        <v>5</v>
      </c>
      <c r="B315" s="79"/>
      <c r="C315" s="43" t="s">
        <v>224</v>
      </c>
      <c r="D315" s="44">
        <f>(28.01+0.75*(2.74+3.05+2.08))*10.764</f>
        <v>365.03415000000001</v>
      </c>
      <c r="E315" s="46">
        <v>0</v>
      </c>
      <c r="F315" s="46">
        <f t="shared" si="34"/>
        <v>547.55122500000004</v>
      </c>
      <c r="G315" s="86"/>
      <c r="H315" s="87"/>
      <c r="I315" s="34"/>
    </row>
    <row r="316" spans="1:14" s="35" customFormat="1" x14ac:dyDescent="0.3">
      <c r="A316" s="78">
        <f t="shared" si="35"/>
        <v>6</v>
      </c>
      <c r="B316" s="79"/>
      <c r="C316" s="43" t="s">
        <v>225</v>
      </c>
      <c r="D316" s="44">
        <f>(45+0.75*(3.05+3.35+2.29+2.74))*10.764</f>
        <v>576.65439000000003</v>
      </c>
      <c r="E316" s="46">
        <v>0</v>
      </c>
      <c r="F316" s="46">
        <f t="shared" si="34"/>
        <v>864.981585</v>
      </c>
      <c r="G316" s="88"/>
      <c r="H316" s="89"/>
      <c r="I316" s="34"/>
    </row>
    <row r="317" spans="1:14" s="35" customFormat="1" x14ac:dyDescent="0.3">
      <c r="A317" s="81" t="s">
        <v>226</v>
      </c>
      <c r="B317" s="82"/>
      <c r="C317" s="82"/>
      <c r="D317" s="82"/>
      <c r="E317" s="82"/>
      <c r="F317" s="82"/>
      <c r="G317" s="82"/>
      <c r="H317" s="83"/>
      <c r="I317" s="34"/>
    </row>
    <row r="318" spans="1:14" s="35" customFormat="1" ht="15.75" customHeight="1" x14ac:dyDescent="0.3">
      <c r="A318" s="78">
        <v>1</v>
      </c>
      <c r="B318" s="79"/>
      <c r="C318" s="43" t="s">
        <v>224</v>
      </c>
      <c r="D318" s="44">
        <f>(28.01+0.75*(2.74+3.05+2.08))*10.764</f>
        <v>365.03415000000001</v>
      </c>
      <c r="E318" s="46">
        <v>0</v>
      </c>
      <c r="F318" s="46">
        <f>D318*(($F$196)+1)+(IF(E318&lt;101,E318,IF(E318&lt;201,E318/2,IF(E318&lt;=301,E318/3,E318/4))))</f>
        <v>547.55122500000004</v>
      </c>
      <c r="G318" s="84" t="str">
        <f>A317</f>
        <v>8th &amp; 13th Floor (Part Refuge Area)</v>
      </c>
      <c r="H318" s="85"/>
      <c r="I318" s="34"/>
    </row>
    <row r="319" spans="1:14" s="35" customFormat="1" x14ac:dyDescent="0.3">
      <c r="A319" s="78">
        <f>A318+1</f>
        <v>2</v>
      </c>
      <c r="B319" s="79"/>
      <c r="C319" s="43" t="s">
        <v>225</v>
      </c>
      <c r="D319" s="44">
        <f>(43.58+0.75*(2.74+3.35+2.29+2.74))*10.764</f>
        <v>558.86688000000004</v>
      </c>
      <c r="E319" s="46">
        <v>0</v>
      </c>
      <c r="F319" s="46">
        <f>D319*(($F$196)+1)+(IF(E319&lt;101,E319,IF(E319&lt;201,E319/2,IF(E319&lt;=301,E319/3,E319/4))))</f>
        <v>838.30032000000006</v>
      </c>
      <c r="G319" s="86"/>
      <c r="H319" s="87"/>
      <c r="I319" s="34"/>
    </row>
    <row r="320" spans="1:14" s="35" customFormat="1" x14ac:dyDescent="0.3">
      <c r="A320" s="78">
        <f t="shared" ref="A320" si="36">A319+1</f>
        <v>3</v>
      </c>
      <c r="B320" s="79"/>
      <c r="C320" s="43" t="s">
        <v>225</v>
      </c>
      <c r="D320" s="44">
        <f>(31.6+2.74*4.26+1.2*1.8+0.75*(2.74+2.29+2.74+2.74)+1*2.74)*10.764</f>
        <v>603.37494360000005</v>
      </c>
      <c r="E320" s="46">
        <v>0</v>
      </c>
      <c r="F320" s="46">
        <f>D320*(($F$196)+1)+(IF(E320&lt;101,E320,IF(E320&lt;201,E320/2,IF(E320&lt;=301,E320/3,E320/4))))</f>
        <v>905.06241540000008</v>
      </c>
      <c r="G320" s="86"/>
      <c r="H320" s="87"/>
      <c r="I320" s="34"/>
    </row>
    <row r="321" spans="1:14" s="35" customFormat="1" x14ac:dyDescent="0.3">
      <c r="A321" s="78" t="s">
        <v>250</v>
      </c>
      <c r="B321" s="79"/>
      <c r="C321" s="110" t="s">
        <v>191</v>
      </c>
      <c r="D321" s="111"/>
      <c r="E321" s="111"/>
      <c r="F321" s="112"/>
      <c r="G321" s="86"/>
      <c r="H321" s="87"/>
      <c r="I321" s="34"/>
    </row>
    <row r="322" spans="1:14" s="35" customFormat="1" x14ac:dyDescent="0.3">
      <c r="A322" s="78">
        <f>A320+1</f>
        <v>4</v>
      </c>
      <c r="B322" s="79"/>
      <c r="C322" s="43" t="s">
        <v>224</v>
      </c>
      <c r="D322" s="44">
        <f>(28.01+0.75*(2.74+3.05+2.08))*10.764</f>
        <v>365.03415000000001</v>
      </c>
      <c r="E322" s="46">
        <v>0</v>
      </c>
      <c r="F322" s="46">
        <f>D322*(($F$196)+1)+(IF(E322&lt;101,E322,IF(E322&lt;201,E322/2,IF(E322&lt;=301,E322/3,E322/4))))</f>
        <v>547.55122500000004</v>
      </c>
      <c r="G322" s="86"/>
      <c r="H322" s="87"/>
      <c r="I322" s="34"/>
    </row>
    <row r="323" spans="1:14" s="35" customFormat="1" x14ac:dyDescent="0.3">
      <c r="A323" s="78">
        <f t="shared" ref="A323" si="37">A322+1</f>
        <v>5</v>
      </c>
      <c r="B323" s="79"/>
      <c r="C323" s="43" t="s">
        <v>225</v>
      </c>
      <c r="D323" s="44">
        <f>(45+0.75*(3.05+3.35+2.29+2.74))*10.764</f>
        <v>576.65439000000003</v>
      </c>
      <c r="E323" s="46">
        <v>0</v>
      </c>
      <c r="F323" s="46">
        <f>D323*(($F$196)+1)+(IF(E323&lt;101,E323,IF(E323&lt;201,E323/2,IF(E323&lt;=301,E323/3,E323/4))))</f>
        <v>864.981585</v>
      </c>
      <c r="G323" s="88"/>
      <c r="H323" s="89"/>
      <c r="I323" s="34"/>
    </row>
    <row r="324" spans="1:14" s="35" customFormat="1" x14ac:dyDescent="0.3">
      <c r="A324" s="153" t="s">
        <v>227</v>
      </c>
      <c r="B324" s="153"/>
      <c r="C324" s="153"/>
      <c r="D324" s="153"/>
      <c r="E324" s="153"/>
      <c r="F324" s="153"/>
      <c r="G324" s="153"/>
      <c r="H324" s="153"/>
      <c r="I324" s="34"/>
      <c r="L324" s="80"/>
      <c r="M324" s="80"/>
    </row>
    <row r="325" spans="1:14" s="35" customFormat="1" hidden="1" x14ac:dyDescent="0.3">
      <c r="A325" s="81" t="s">
        <v>121</v>
      </c>
      <c r="B325" s="82"/>
      <c r="C325" s="82"/>
      <c r="D325" s="82"/>
      <c r="E325" s="82"/>
      <c r="F325" s="82"/>
      <c r="G325" s="82"/>
      <c r="H325" s="83"/>
      <c r="J325" s="34"/>
    </row>
    <row r="326" spans="1:14" s="35" customFormat="1" hidden="1" x14ac:dyDescent="0.3">
      <c r="A326" s="78">
        <v>1</v>
      </c>
      <c r="B326" s="79"/>
      <c r="C326" s="43"/>
      <c r="D326" s="46"/>
      <c r="E326" s="46">
        <v>0</v>
      </c>
      <c r="F326" s="46">
        <f>D326*(($F$196)+1)+(IF(E326&lt;101,E326,IF(E326&lt;201,E326/2,IF(E326&lt;=301,E326/3,E326/4))))</f>
        <v>0</v>
      </c>
      <c r="G326" s="78" t="str">
        <f>A325</f>
        <v>Ground Floor</v>
      </c>
      <c r="H326" s="79"/>
      <c r="I326" s="34"/>
      <c r="L326" s="80"/>
      <c r="M326" s="80"/>
      <c r="N326" s="34"/>
    </row>
    <row r="327" spans="1:14" s="35" customFormat="1" hidden="1" x14ac:dyDescent="0.3">
      <c r="A327" s="78">
        <f t="shared" ref="A327:A329" si="38">A326+1</f>
        <v>2</v>
      </c>
      <c r="B327" s="79"/>
      <c r="C327" s="43"/>
      <c r="D327" s="46"/>
      <c r="E327" s="46">
        <v>0</v>
      </c>
      <c r="F327" s="46">
        <f>D327*(($F$196)+1)+(IF(E327&lt;101,E327,IF(E327&lt;201,E327/2,IF(E327&lt;=301,E327/3,E327/4))))</f>
        <v>0</v>
      </c>
      <c r="G327" s="78" t="str">
        <f t="shared" ref="G327:G329" si="39">G326</f>
        <v>Ground Floor</v>
      </c>
      <c r="H327" s="79"/>
      <c r="I327" s="34"/>
      <c r="L327" s="80"/>
      <c r="M327" s="80"/>
      <c r="N327" s="34"/>
    </row>
    <row r="328" spans="1:14" s="35" customFormat="1" hidden="1" x14ac:dyDescent="0.3">
      <c r="A328" s="78">
        <f t="shared" si="38"/>
        <v>3</v>
      </c>
      <c r="B328" s="79"/>
      <c r="C328" s="43"/>
      <c r="D328" s="46"/>
      <c r="E328" s="46">
        <v>0</v>
      </c>
      <c r="F328" s="46">
        <f>D328*(($F$196)+1)+(IF(E328&lt;101,E328,IF(E328&lt;201,E328/2,IF(E328&lt;=301,E328/3,E328/4))))</f>
        <v>0</v>
      </c>
      <c r="G328" s="78" t="str">
        <f t="shared" si="39"/>
        <v>Ground Floor</v>
      </c>
      <c r="H328" s="79"/>
      <c r="I328" s="34"/>
      <c r="L328" s="80"/>
      <c r="M328" s="80"/>
      <c r="N328" s="34"/>
    </row>
    <row r="329" spans="1:14" s="35" customFormat="1" hidden="1" x14ac:dyDescent="0.3">
      <c r="A329" s="78">
        <f t="shared" si="38"/>
        <v>4</v>
      </c>
      <c r="B329" s="79"/>
      <c r="C329" s="43"/>
      <c r="D329" s="46"/>
      <c r="E329" s="46">
        <v>0</v>
      </c>
      <c r="F329" s="46">
        <f>D329*(($F$196)+1)+(IF(E329&lt;101,E329,IF(E329&lt;201,E329/2,IF(E329&lt;=301,E329/3,E329/4))))</f>
        <v>0</v>
      </c>
      <c r="G329" s="78" t="str">
        <f t="shared" si="39"/>
        <v>Ground Floor</v>
      </c>
      <c r="H329" s="79"/>
      <c r="I329" s="34"/>
      <c r="L329" s="80"/>
      <c r="M329" s="80"/>
      <c r="N329" s="34"/>
    </row>
    <row r="330" spans="1:14" s="35" customFormat="1" hidden="1" x14ac:dyDescent="0.3">
      <c r="A330" s="153" t="s">
        <v>122</v>
      </c>
      <c r="B330" s="153"/>
      <c r="C330" s="153"/>
      <c r="D330" s="153"/>
      <c r="E330" s="153"/>
      <c r="F330" s="153"/>
      <c r="G330" s="153"/>
      <c r="H330" s="153"/>
      <c r="I330" s="34"/>
      <c r="L330" s="80"/>
      <c r="M330" s="80"/>
    </row>
    <row r="331" spans="1:14" s="35" customFormat="1" hidden="1" x14ac:dyDescent="0.3">
      <c r="A331" s="90">
        <f>LEFT(A330,SUM(LEN(A330)-LEN(SUBSTITUTE(A330,{"0","1","2","3","4","5","6","7","8","9"},""))))*100+1</f>
        <v>201</v>
      </c>
      <c r="B331" s="90"/>
      <c r="C331" s="43"/>
      <c r="D331" s="46"/>
      <c r="E331" s="46">
        <v>0</v>
      </c>
      <c r="F331" s="46">
        <f t="shared" ref="F331:F332" si="40">D331*(($F$196)+1)+(IF(E331&lt;101,E331,IF(E331&lt;201,E331/2,IF(E331&lt;=301,E331/3,E331/4))))</f>
        <v>0</v>
      </c>
      <c r="G331" s="90" t="str">
        <f>A330</f>
        <v>2nd Floor</v>
      </c>
      <c r="H331" s="90"/>
      <c r="I331" s="34"/>
      <c r="N331" s="34"/>
    </row>
    <row r="332" spans="1:14" s="35" customFormat="1" hidden="1" x14ac:dyDescent="0.3">
      <c r="A332" s="90">
        <f>A331+1</f>
        <v>202</v>
      </c>
      <c r="B332" s="90"/>
      <c r="C332" s="43"/>
      <c r="D332" s="46"/>
      <c r="E332" s="46">
        <v>0</v>
      </c>
      <c r="F332" s="46">
        <f t="shared" si="40"/>
        <v>0</v>
      </c>
      <c r="G332" s="90" t="str">
        <f>G331</f>
        <v>2nd Floor</v>
      </c>
      <c r="H332" s="90"/>
      <c r="I332" s="34"/>
      <c r="J332" s="35">
        <f>2.74*4.26+2.29*2.13+2.74*3.2+1.8*0.6+1.8*1.2+1.2*1.8+2.29*0.9+1.2*0.4</f>
        <v>33.259099999999997</v>
      </c>
      <c r="K332" s="35">
        <v>4</v>
      </c>
      <c r="N332" s="34"/>
    </row>
    <row r="333" spans="1:14" s="35" customFormat="1" hidden="1" x14ac:dyDescent="0.3">
      <c r="A333" s="90">
        <f>A332+1</f>
        <v>203</v>
      </c>
      <c r="B333" s="90"/>
      <c r="C333" s="43"/>
      <c r="D333" s="46"/>
      <c r="E333" s="46">
        <v>0</v>
      </c>
      <c r="F333" s="46">
        <f>D333*(($F$196)+1)+(IF(E333&lt;101,E333,IF(E333&lt;201,E333/2,IF(E333&lt;=301,E333/3,E333/4))))</f>
        <v>0</v>
      </c>
      <c r="G333" s="90" t="str">
        <f>G332</f>
        <v>2nd Floor</v>
      </c>
      <c r="H333" s="90"/>
      <c r="I333" s="34"/>
      <c r="N333" s="34"/>
    </row>
    <row r="334" spans="1:14" s="35" customFormat="1" hidden="1" x14ac:dyDescent="0.3">
      <c r="A334" s="90">
        <f>A333+1</f>
        <v>204</v>
      </c>
      <c r="B334" s="90"/>
      <c r="C334" s="43"/>
      <c r="D334" s="46"/>
      <c r="E334" s="46">
        <v>0</v>
      </c>
      <c r="F334" s="46">
        <f>D334*(($F$196)+1)+(IF(E334&lt;101,E334,IF(E334&lt;201,E334/2,IF(E334&lt;=301,E334/3,E334/4))))</f>
        <v>0</v>
      </c>
      <c r="G334" s="90" t="str">
        <f>G333</f>
        <v>2nd Floor</v>
      </c>
      <c r="H334" s="90"/>
      <c r="I334" s="34"/>
      <c r="J334" s="35">
        <f>2.13*2.29+1.2*2.13+3.05*2.44+4.4*2.59+1.464*1.22</f>
        <v>28.057779999999998</v>
      </c>
      <c r="K334" s="35">
        <v>7</v>
      </c>
      <c r="N334" s="34"/>
    </row>
    <row r="335" spans="1:14" s="35" customFormat="1" hidden="1" x14ac:dyDescent="0.3">
      <c r="A335" s="90">
        <f>A334+1</f>
        <v>205</v>
      </c>
      <c r="B335" s="90"/>
      <c r="C335" s="43"/>
      <c r="D335" s="46"/>
      <c r="E335" s="46">
        <v>0</v>
      </c>
      <c r="F335" s="46">
        <f>D335*(($F$196)+1)+(IF(E335&lt;101,E335,IF(E335&lt;201,E335/2,IF(E335&lt;=301,E335/3,E335/4))))</f>
        <v>0</v>
      </c>
      <c r="G335" s="90" t="str">
        <f>G334</f>
        <v>2nd Floor</v>
      </c>
      <c r="H335" s="90"/>
      <c r="I335" s="34"/>
      <c r="N335" s="34"/>
    </row>
    <row r="336" spans="1:14" s="35" customFormat="1" ht="15.75" hidden="1" customHeight="1" x14ac:dyDescent="0.3">
      <c r="A336" s="81" t="s">
        <v>157</v>
      </c>
      <c r="B336" s="82"/>
      <c r="C336" s="82"/>
      <c r="D336" s="82"/>
      <c r="E336" s="82"/>
      <c r="F336" s="82"/>
      <c r="G336" s="82"/>
      <c r="H336" s="83"/>
      <c r="I336" s="34"/>
    </row>
    <row r="337" spans="1:9" s="35" customFormat="1" hidden="1" x14ac:dyDescent="0.3">
      <c r="A337" s="78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10^ROW(INDIRECT("1:"&amp;LEN((LEFT(A336,SUM(LEN(A336)-LEN(SUBSTITUTE(A336,{"0","1","2"},""))))))))/10))*100+1&amp;""&amp;" ,..,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",LEN(A336))),LEN(A336)))))))/10))*100+1</f>
        <v>301 ,.., 1501</v>
      </c>
      <c r="B337" s="79"/>
      <c r="C337" s="43"/>
      <c r="D337" s="46"/>
      <c r="E337" s="46">
        <v>0</v>
      </c>
      <c r="F337" s="46">
        <f>D337*(($F$196)+1)+(IF(E337&lt;101,E337,IF(E337&lt;201,E337/2,IF(E337&lt;=301,E337/3,E337/4))))</f>
        <v>0</v>
      </c>
      <c r="G337" s="78" t="str">
        <f>A336</f>
        <v>3rd, 5th, 7th, 9th, 11th, 13th, 15th Floor</v>
      </c>
      <c r="H337" s="79"/>
      <c r="I337" s="34"/>
    </row>
    <row r="338" spans="1:9" s="35" customFormat="1" hidden="1" x14ac:dyDescent="0.3">
      <c r="A338" s="78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,..,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302 ,.., 1502</v>
      </c>
      <c r="B338" s="79"/>
      <c r="C338" s="43"/>
      <c r="D338" s="46"/>
      <c r="E338" s="46">
        <v>0</v>
      </c>
      <c r="F338" s="46">
        <f>D338*(($F$196)+1)+(IF(E338&lt;101,E338,IF(E338&lt;201,E338/2,IF(E338&lt;=301,E338/3,E338/4))))</f>
        <v>0</v>
      </c>
      <c r="G338" s="78" t="str">
        <f>G337</f>
        <v>3rd, 5th, 7th, 9th, 11th, 13th, 15th Floor</v>
      </c>
      <c r="H338" s="79"/>
      <c r="I338" s="34"/>
    </row>
    <row r="339" spans="1:9" s="35" customFormat="1" ht="15.75" hidden="1" customHeight="1" x14ac:dyDescent="0.3">
      <c r="A339" s="78" t="str">
        <f ca="1">(SUMPRODUCT(MID(0&amp;(LEFT(A338,SUM(LEN(A338)-LEN(SUBSTITUTE(A338,{"0","1","2"},""))))), LARGE(INDEX(ISNUMBER(--MID((LEFT(A338,SUM(LEN(A338)-LEN(SUBSTITUTE(A338,{"0","1","2"},""))))), ROW(INDIRECT("1:"&amp;LEN((LEFT(A338,SUM(LEN(A338)-LEN(SUBSTITUTE(A338,{"0","1","2"},"")))))))), 1)) * ROW(INDIRECT("1:"&amp;LEN((LEFT(A338,SUM(LEN(A338)-LEN(SUBSTITUTE(A338,{"0","1","2"},"")))))))), 0), ROW(INDIRECT("1:"&amp;LEN((LEFT(A338,SUM(LEN(A338)-LEN(SUBSTITUTE(A338,{"0","1","2"},"")))))))))+1, 1) * 10^ROW(INDIRECT("1:"&amp;LEN((LEFT(A338,SUM(LEN(A338)-LEN(SUBSTITUTE(A338,{"0","1","2"},""))))))))/10))*1+1&amp;""&amp;" ,.., "&amp;""&amp;(SUMPRODUCT(MID(0&amp;(--TRIM(RIGHT(SUBSTITUTE(LEFT(A338,_xlfn.AGGREGATE(16,6,FIND({0,1,2,3,4,5,6,7,8,9},A338,ROW(INDIRECT("1:"&amp;LEN(A338)))),1))," ",REPT(" ",LEN(A338))),LEN(A338)))), LARGE(INDEX(ISNUMBER(--MID((--TRIM(RIGHT(SUBSTITUTE(LEFT(A338,_xlfn.AGGREGATE(16,6,FIND({0,1,2,3,4,5,6,7,8,9},A338,ROW(INDIRECT("1:"&amp;LEN(A338)))),1))," ",REPT(" ",LEN(A338))),LEN(A338)))), ROW(INDIRECT("1:"&amp;LEN((--TRIM(RIGHT(SUBSTITUTE(LEFT(A338,_xlfn.AGGREGATE(16,6,FIND({0,1,2,3,4,5,6,7,8,9},A338,ROW(INDIRECT("1:"&amp;LEN(A338)))),1))," ",REPT(" ",LEN(A338))),LEN(A338))))))), 1)) * ROW(INDIRECT("1:"&amp;LEN((--TRIM(RIGHT(SUBSTITUTE(LEFT(A338,_xlfn.AGGREGATE(16,6,FIND({0,1,2,3,4,5,6,7,8,9},A338,ROW(INDIRECT("1:"&amp;LEN(A338)))),1))," ",REPT(" ",LEN(A338))),LEN(A338))))))), 0), ROW(INDIRECT("1:"&amp;LEN((--TRIM(RIGHT(SUBSTITUTE(LEFT(A338,_xlfn.AGGREGATE(16,6,FIND({0,1,2,3,4,5,6,7,8,9},A338,ROW(INDIRECT("1:"&amp;LEN(A338)))),1))," ",REPT(" ",LEN(A338))),LEN(A338))))))))+1, 1) * 10^ROW(INDIRECT("1:"&amp;LEN((--TRIM(RIGHT(SUBSTITUTE(LEFT(A338,_xlfn.AGGREGATE(16,6,FIND({0,1,2,3,4,5,6,7,8,9},A338,ROW(INDIRECT("1:"&amp;LEN(A338)))),1))," ",REPT(" ",LEN(A338))),LEN(A338)))))))/10))*1+1</f>
        <v>303 ,.., 1503</v>
      </c>
      <c r="B339" s="79"/>
      <c r="C339" s="43"/>
      <c r="D339" s="46"/>
      <c r="E339" s="46">
        <v>0</v>
      </c>
      <c r="F339" s="46">
        <f>D339*(($F$196)+1)+(IF(E339&lt;101,E339,IF(E339&lt;201,E339/2,IF(E339&lt;=301,E339/3,E339/4))))</f>
        <v>0</v>
      </c>
      <c r="G339" s="78" t="str">
        <f>G338</f>
        <v>3rd, 5th, 7th, 9th, 11th, 13th, 15th Floor</v>
      </c>
      <c r="H339" s="79"/>
      <c r="I339" s="34"/>
    </row>
    <row r="340" spans="1:9" s="35" customFormat="1" ht="15.75" hidden="1" customHeight="1" x14ac:dyDescent="0.3">
      <c r="A340" s="78" t="str">
        <f ca="1">(SUMPRODUCT(MID(0&amp;(LEFT(A339,SUM(LEN(A339)-LEN(SUBSTITUTE(A339,{"0","1","2"},""))))), LARGE(INDEX(ISNUMBER(--MID((LEFT(A339,SUM(LEN(A339)-LEN(SUBSTITUTE(A339,{"0","1","2"},""))))), ROW(INDIRECT("1:"&amp;LEN((LEFT(A339,SUM(LEN(A339)-LEN(SUBSTITUTE(A339,{"0","1","2"},"")))))))), 1)) * ROW(INDIRECT("1:"&amp;LEN((LEFT(A339,SUM(LEN(A339)-LEN(SUBSTITUTE(A339,{"0","1","2"},"")))))))), 0), ROW(INDIRECT("1:"&amp;LEN((LEFT(A339,SUM(LEN(A339)-LEN(SUBSTITUTE(A339,{"0","1","2"},"")))))))))+1, 1) * 10^ROW(INDIRECT("1:"&amp;LEN((LEFT(A339,SUM(LEN(A339)-LEN(SUBSTITUTE(A339,{"0","1","2"},""))))))))/10))*1+1&amp;""&amp;" ,.., "&amp;""&amp;(SUMPRODUCT(MID(0&amp;(--TRIM(RIGHT(SUBSTITUTE(LEFT(A339,_xlfn.AGGREGATE(16,6,FIND({0,1,2,3,4,5,6,7,8,9},A339,ROW(INDIRECT("1:"&amp;LEN(A339)))),1))," ",REPT(" ",LEN(A339))),LEN(A339)))), LARGE(INDEX(ISNUMBER(--MID((--TRIM(RIGHT(SUBSTITUTE(LEFT(A339,_xlfn.AGGREGATE(16,6,FIND({0,1,2,3,4,5,6,7,8,9},A339,ROW(INDIRECT("1:"&amp;LEN(A339)))),1))," ",REPT(" ",LEN(A339))),LEN(A339)))), ROW(INDIRECT("1:"&amp;LEN((--TRIM(RIGHT(SUBSTITUTE(LEFT(A339,_xlfn.AGGREGATE(16,6,FIND({0,1,2,3,4,5,6,7,8,9},A339,ROW(INDIRECT("1:"&amp;LEN(A339)))),1))," ",REPT(" ",LEN(A339))),LEN(A339))))))), 1)) * ROW(INDIRECT("1:"&amp;LEN((--TRIM(RIGHT(SUBSTITUTE(LEFT(A339,_xlfn.AGGREGATE(16,6,FIND({0,1,2,3,4,5,6,7,8,9},A339,ROW(INDIRECT("1:"&amp;LEN(A339)))),1))," ",REPT(" ",LEN(A339))),LEN(A339))))))), 0), ROW(INDIRECT("1:"&amp;LEN((--TRIM(RIGHT(SUBSTITUTE(LEFT(A339,_xlfn.AGGREGATE(16,6,FIND({0,1,2,3,4,5,6,7,8,9},A339,ROW(INDIRECT("1:"&amp;LEN(A339)))),1))," ",REPT(" ",LEN(A339))),LEN(A339))))))))+1, 1) * 10^ROW(INDIRECT("1:"&amp;LEN((--TRIM(RIGHT(SUBSTITUTE(LEFT(A339,_xlfn.AGGREGATE(16,6,FIND({0,1,2,3,4,5,6,7,8,9},A339,ROW(INDIRECT("1:"&amp;LEN(A339)))),1))," ",REPT(" ",LEN(A339))),LEN(A339)))))))/10))*1+1</f>
        <v>304 ,.., 1504</v>
      </c>
      <c r="B340" s="79"/>
      <c r="C340" s="43"/>
      <c r="D340" s="46"/>
      <c r="E340" s="46">
        <v>0</v>
      </c>
      <c r="F340" s="46">
        <f>D340*(($F$196)+1)+(IF(E340&lt;101,E340,IF(E340&lt;201,E340/2,IF(E340&lt;=301,E340/3,E340/4))))</f>
        <v>0</v>
      </c>
      <c r="G340" s="78" t="str">
        <f>G339</f>
        <v>3rd, 5th, 7th, 9th, 11th, 13th, 15th Floor</v>
      </c>
      <c r="H340" s="79"/>
      <c r="I340" s="34"/>
    </row>
    <row r="341" spans="1:9" s="35" customFormat="1" ht="15.75" hidden="1" customHeight="1" x14ac:dyDescent="0.3">
      <c r="A341" s="78" t="str">
        <f ca="1">(SUMPRODUCT(MID(0&amp;(LEFT(A340,SUM(LEN(A340)-LEN(SUBSTITUTE(A340,{"0","1","2"},""))))), LARGE(INDEX(ISNUMBER(--MID((LEFT(A340,SUM(LEN(A340)-LEN(SUBSTITUTE(A340,{"0","1","2"},""))))), ROW(INDIRECT("1:"&amp;LEN((LEFT(A340,SUM(LEN(A340)-LEN(SUBSTITUTE(A340,{"0","1","2"},"")))))))), 1)) * ROW(INDIRECT("1:"&amp;LEN((LEFT(A340,SUM(LEN(A340)-LEN(SUBSTITUTE(A340,{"0","1","2"},"")))))))), 0), ROW(INDIRECT("1:"&amp;LEN((LEFT(A340,SUM(LEN(A340)-LEN(SUBSTITUTE(A340,{"0","1","2"},"")))))))))+1, 1) * 10^ROW(INDIRECT("1:"&amp;LEN((LEFT(A340,SUM(LEN(A340)-LEN(SUBSTITUTE(A340,{"0","1","2"},""))))))))/10))*1+1&amp;""&amp;" ,.., "&amp;""&amp;(SUMPRODUCT(MID(0&amp;(--TRIM(RIGHT(SUBSTITUTE(LEFT(A340,_xlfn.AGGREGATE(16,6,FIND({0,1,2,3,4,5,6,7,8,9},A340,ROW(INDIRECT("1:"&amp;LEN(A340)))),1))," ",REPT(" ",LEN(A340))),LEN(A340)))), LARGE(INDEX(ISNUMBER(--MID((--TRIM(RIGHT(SUBSTITUTE(LEFT(A340,_xlfn.AGGREGATE(16,6,FIND({0,1,2,3,4,5,6,7,8,9},A340,ROW(INDIRECT("1:"&amp;LEN(A340)))),1))," ",REPT(" ",LEN(A340))),LEN(A340)))), ROW(INDIRECT("1:"&amp;LEN((--TRIM(RIGHT(SUBSTITUTE(LEFT(A340,_xlfn.AGGREGATE(16,6,FIND({0,1,2,3,4,5,6,7,8,9},A340,ROW(INDIRECT("1:"&amp;LEN(A340)))),1))," ",REPT(" ",LEN(A340))),LEN(A340))))))), 1)) * ROW(INDIRECT("1:"&amp;LEN((--TRIM(RIGHT(SUBSTITUTE(LEFT(A340,_xlfn.AGGREGATE(16,6,FIND({0,1,2,3,4,5,6,7,8,9},A340,ROW(INDIRECT("1:"&amp;LEN(A340)))),1))," ",REPT(" ",LEN(A340))),LEN(A340))))))), 0), ROW(INDIRECT("1:"&amp;LEN((--TRIM(RIGHT(SUBSTITUTE(LEFT(A340,_xlfn.AGGREGATE(16,6,FIND({0,1,2,3,4,5,6,7,8,9},A340,ROW(INDIRECT("1:"&amp;LEN(A340)))),1))," ",REPT(" ",LEN(A340))),LEN(A340))))))))+1, 1) * 10^ROW(INDIRECT("1:"&amp;LEN((--TRIM(RIGHT(SUBSTITUTE(LEFT(A340,_xlfn.AGGREGATE(16,6,FIND({0,1,2,3,4,5,6,7,8,9},A340,ROW(INDIRECT("1:"&amp;LEN(A340)))),1))," ",REPT(" ",LEN(A340))),LEN(A340)))))))/10))*1+1</f>
        <v>305 ,.., 1505</v>
      </c>
      <c r="B341" s="79"/>
      <c r="C341" s="43"/>
      <c r="D341" s="46"/>
      <c r="E341" s="46">
        <v>0</v>
      </c>
      <c r="F341" s="46">
        <f>D341*(($F$196)+1)+(IF(E341&lt;101,E341,IF(E341&lt;201,E341/2,IF(E341&lt;=301,E341/3,E341/4))))</f>
        <v>0</v>
      </c>
      <c r="G341" s="78" t="str">
        <f>G340</f>
        <v>3rd, 5th, 7th, 9th, 11th, 13th, 15th Floor</v>
      </c>
      <c r="H341" s="79"/>
      <c r="I341" s="34"/>
    </row>
    <row r="342" spans="1:9" s="35" customFormat="1" hidden="1" x14ac:dyDescent="0.3">
      <c r="A342" s="81" t="s">
        <v>151</v>
      </c>
      <c r="B342" s="82"/>
      <c r="C342" s="82"/>
      <c r="D342" s="82"/>
      <c r="E342" s="82"/>
      <c r="F342" s="82"/>
      <c r="G342" s="82"/>
      <c r="H342" s="83"/>
      <c r="I342" s="34"/>
    </row>
    <row r="343" spans="1:9" s="35" customFormat="1" hidden="1" x14ac:dyDescent="0.3">
      <c r="A343" s="78" t="str">
        <f ca="1">(SUMPRODUCT(MID(0&amp;(LEFT(A342,SUM(LEN(A342)-LEN(SUBSTITUTE(A342,{"0","1","2"},""))))), LARGE(INDEX(ISNUMBER(--MID((LEFT(A342,SUM(LEN(A342)-LEN(SUBSTITUTE(A342,{"0","1","2"},""))))), ROW(INDIRECT("1:"&amp;LEN((LEFT(A342,SUM(LEN(A342)-LEN(SUBSTITUTE(A342,{"0","1","2"},"")))))))), 1)) * ROW(INDIRECT("1:"&amp;LEN((LEFT(A342,SUM(LEN(A342)-LEN(SUBSTITUTE(A342,{"0","1","2"},"")))))))), 0), ROW(INDIRECT("1:"&amp;LEN((LEFT(A342,SUM(LEN(A342)-LEN(SUBSTITUTE(A342,{"0","1","2"},"")))))))))+1, 1) * 10^ROW(INDIRECT("1:"&amp;LEN((LEFT(A342,SUM(LEN(A342)-LEN(SUBSTITUTE(A342,{"0","1","2"},""))))))))/10))*100+1&amp;""&amp;" to "&amp;""&amp;(SUMPRODUCT(MID(0&amp;(--TRIM(RIGHT(SUBSTITUTE(LEFT(A342,_xlfn.AGGREGATE(16,6,FIND({0,1,2,3,4,5,6,7,8,9},A342,ROW(INDIRECT("1:"&amp;LEN(A342)))),1))," ",REPT(" ",LEN(A342))),LEN(A342)))), LARGE(INDEX(ISNUMBER(--MID((--TRIM(RIGHT(SUBSTITUTE(LEFT(A342,_xlfn.AGGREGATE(16,6,FIND({0,1,2,3,4,5,6,7,8,9},A342,ROW(INDIRECT("1:"&amp;LEN(A342)))),1))," ",REPT(" ",LEN(A342))),LEN(A342)))), ROW(INDIRECT("1:"&amp;LEN((--TRIM(RIGHT(SUBSTITUTE(LEFT(A342,_xlfn.AGGREGATE(16,6,FIND({0,1,2,3,4,5,6,7,8,9},A342,ROW(INDIRECT("1:"&amp;LEN(A342)))),1))," ",REPT(" ",LEN(A342))),LEN(A342))))))), 1)) * ROW(INDIRECT("1:"&amp;LEN((--TRIM(RIGHT(SUBSTITUTE(LEFT(A342,_xlfn.AGGREGATE(16,6,FIND({0,1,2,3,4,5,6,7,8,9},A342,ROW(INDIRECT("1:"&amp;LEN(A342)))),1))," ",REPT(" ",LEN(A342))),LEN(A342))))))), 0), ROW(INDIRECT("1:"&amp;LEN((--TRIM(RIGHT(SUBSTITUTE(LEFT(A342,_xlfn.AGGREGATE(16,6,FIND({0,1,2,3,4,5,6,7,8,9},A342,ROW(INDIRECT("1:"&amp;LEN(A342)))),1))," ",REPT(" ",LEN(A342))),LEN(A342))))))))+1, 1) * 10^ROW(INDIRECT("1:"&amp;LEN((--TRIM(RIGHT(SUBSTITUTE(LEFT(A342,_xlfn.AGGREGATE(16,6,FIND({0,1,2,3,4,5,6,7,8,9},A342,ROW(INDIRECT("1:"&amp;LEN(A342)))),1))," ",REPT(" ",LEN(A342))),LEN(A342)))))))/10))*100+1</f>
        <v>201 to 501</v>
      </c>
      <c r="B343" s="79"/>
      <c r="C343" s="43"/>
      <c r="D343" s="46"/>
      <c r="E343" s="46">
        <v>0</v>
      </c>
      <c r="F343" s="46">
        <f>D343*(($F$196)+1)+(IF(E343&lt;101,E343,IF(E343&lt;201,E343/2,IF(E343&lt;=301,E343/3,E343/4))))</f>
        <v>0</v>
      </c>
      <c r="G343" s="78" t="str">
        <f>A342</f>
        <v>2nd to 5th Floor</v>
      </c>
      <c r="H343" s="79"/>
      <c r="I343" s="34"/>
    </row>
    <row r="344" spans="1:9" s="35" customFormat="1" hidden="1" x14ac:dyDescent="0.3">
      <c r="A344" s="78" t="str">
        <f ca="1">(SUMPRODUCT(MID(0&amp;(LEFT(A343,SUM(LEN(A343)-LEN(SUBSTITUTE(A343,{"0","1","2"},""))))), LARGE(INDEX(ISNUMBER(--MID((LEFT(A343,SUM(LEN(A343)-LEN(SUBSTITUTE(A343,{"0","1","2"},""))))), ROW(INDIRECT("1:"&amp;LEN((LEFT(A343,SUM(LEN(A343)-LEN(SUBSTITUTE(A343,{"0","1","2"},"")))))))), 1)) * ROW(INDIRECT("1:"&amp;LEN((LEFT(A343,SUM(LEN(A343)-LEN(SUBSTITUTE(A343,{"0","1","2"},"")))))))), 0), ROW(INDIRECT("1:"&amp;LEN((LEFT(A343,SUM(LEN(A343)-LEN(SUBSTITUTE(A343,{"0","1","2"},"")))))))))+1, 1) * 10^ROW(INDIRECT("1:"&amp;LEN((LEFT(A343,SUM(LEN(A343)-LEN(SUBSTITUTE(A343,{"0","1","2"},""))))))))/10))*1+1&amp;""&amp;" to "&amp;""&amp;(SUMPRODUCT(MID(0&amp;(--TRIM(RIGHT(SUBSTITUTE(LEFT(A343,_xlfn.AGGREGATE(16,6,FIND({0,1,2,3,4,5,6,7,8,9},A343,ROW(INDIRECT("1:"&amp;LEN(A343)))),1))," ",REPT(" ",LEN(A343))),LEN(A343)))), LARGE(INDEX(ISNUMBER(--MID((--TRIM(RIGHT(SUBSTITUTE(LEFT(A343,_xlfn.AGGREGATE(16,6,FIND({0,1,2,3,4,5,6,7,8,9},A343,ROW(INDIRECT("1:"&amp;LEN(A343)))),1))," ",REPT(" ",LEN(A343))),LEN(A343)))), ROW(INDIRECT("1:"&amp;LEN((--TRIM(RIGHT(SUBSTITUTE(LEFT(A343,_xlfn.AGGREGATE(16,6,FIND({0,1,2,3,4,5,6,7,8,9},A343,ROW(INDIRECT("1:"&amp;LEN(A343)))),1))," ",REPT(" ",LEN(A343))),LEN(A343))))))), 1)) * ROW(INDIRECT("1:"&amp;LEN((--TRIM(RIGHT(SUBSTITUTE(LEFT(A343,_xlfn.AGGREGATE(16,6,FIND({0,1,2,3,4,5,6,7,8,9},A343,ROW(INDIRECT("1:"&amp;LEN(A343)))),1))," ",REPT(" ",LEN(A343))),LEN(A343))))))), 0), ROW(INDIRECT("1:"&amp;LEN((--TRIM(RIGHT(SUBSTITUTE(LEFT(A343,_xlfn.AGGREGATE(16,6,FIND({0,1,2,3,4,5,6,7,8,9},A343,ROW(INDIRECT("1:"&amp;LEN(A343)))),1))," ",REPT(" ",LEN(A343))),LEN(A343))))))))+1, 1) * 10^ROW(INDIRECT("1:"&amp;LEN((--TRIM(RIGHT(SUBSTITUTE(LEFT(A343,_xlfn.AGGREGATE(16,6,FIND({0,1,2,3,4,5,6,7,8,9},A343,ROW(INDIRECT("1:"&amp;LEN(A343)))),1))," ",REPT(" ",LEN(A343))),LEN(A343)))))))/10))*1+1</f>
        <v>202 to 502</v>
      </c>
      <c r="B344" s="79"/>
      <c r="C344" s="43"/>
      <c r="D344" s="46"/>
      <c r="E344" s="46">
        <v>0</v>
      </c>
      <c r="F344" s="46">
        <f>D344*(($F$196)+1)+(IF(E344&lt;101,E344,IF(E344&lt;201,E344/2,IF(E344&lt;=301,E344/3,E344/4))))</f>
        <v>0</v>
      </c>
      <c r="G344" s="78" t="str">
        <f>G343</f>
        <v>2nd to 5th Floor</v>
      </c>
      <c r="H344" s="79"/>
      <c r="I344" s="34"/>
    </row>
    <row r="345" spans="1:9" s="35" customFormat="1" hidden="1" x14ac:dyDescent="0.3">
      <c r="A345" s="78" t="str">
        <f ca="1">(SUMPRODUCT(MID(0&amp;(LEFT(A344,SUM(LEN(A344)-LEN(SUBSTITUTE(A344,{"0","1","2"},""))))), LARGE(INDEX(ISNUMBER(--MID((LEFT(A344,SUM(LEN(A344)-LEN(SUBSTITUTE(A344,{"0","1","2"},""))))), ROW(INDIRECT("1:"&amp;LEN((LEFT(A344,SUM(LEN(A344)-LEN(SUBSTITUTE(A344,{"0","1","2"},"")))))))), 1)) * ROW(INDIRECT("1:"&amp;LEN((LEFT(A344,SUM(LEN(A344)-LEN(SUBSTITUTE(A344,{"0","1","2"},"")))))))), 0), ROW(INDIRECT("1:"&amp;LEN((LEFT(A344,SUM(LEN(A344)-LEN(SUBSTITUTE(A344,{"0","1","2"},"")))))))))+1, 1) * 10^ROW(INDIRECT("1:"&amp;LEN((LEFT(A344,SUM(LEN(A344)-LEN(SUBSTITUTE(A344,{"0","1","2"},""))))))))/10))*1+1&amp;""&amp;" to "&amp;""&amp;(SUMPRODUCT(MID(0&amp;(--TRIM(RIGHT(SUBSTITUTE(LEFT(A344,_xlfn.AGGREGATE(16,6,FIND({0,1,2,3,4,5,6,7,8,9},A344,ROW(INDIRECT("1:"&amp;LEN(A344)))),1))," ",REPT(" ",LEN(A344))),LEN(A344)))), LARGE(INDEX(ISNUMBER(--MID((--TRIM(RIGHT(SUBSTITUTE(LEFT(A344,_xlfn.AGGREGATE(16,6,FIND({0,1,2,3,4,5,6,7,8,9},A344,ROW(INDIRECT("1:"&amp;LEN(A344)))),1))," ",REPT(" ",LEN(A344))),LEN(A344)))), ROW(INDIRECT("1:"&amp;LEN((--TRIM(RIGHT(SUBSTITUTE(LEFT(A344,_xlfn.AGGREGATE(16,6,FIND({0,1,2,3,4,5,6,7,8,9},A344,ROW(INDIRECT("1:"&amp;LEN(A344)))),1))," ",REPT(" ",LEN(A344))),LEN(A344))))))), 1)) * ROW(INDIRECT("1:"&amp;LEN((--TRIM(RIGHT(SUBSTITUTE(LEFT(A344,_xlfn.AGGREGATE(16,6,FIND({0,1,2,3,4,5,6,7,8,9},A344,ROW(INDIRECT("1:"&amp;LEN(A344)))),1))," ",REPT(" ",LEN(A344))),LEN(A344))))))), 0), ROW(INDIRECT("1:"&amp;LEN((--TRIM(RIGHT(SUBSTITUTE(LEFT(A344,_xlfn.AGGREGATE(16,6,FIND({0,1,2,3,4,5,6,7,8,9},A344,ROW(INDIRECT("1:"&amp;LEN(A344)))),1))," ",REPT(" ",LEN(A344))),LEN(A344))))))))+1, 1) * 10^ROW(INDIRECT("1:"&amp;LEN((--TRIM(RIGHT(SUBSTITUTE(LEFT(A344,_xlfn.AGGREGATE(16,6,FIND({0,1,2,3,4,5,6,7,8,9},A344,ROW(INDIRECT("1:"&amp;LEN(A344)))),1))," ",REPT(" ",LEN(A344))),LEN(A344)))))))/10))*1+1</f>
        <v>203 to 503</v>
      </c>
      <c r="B345" s="79"/>
      <c r="C345" s="43"/>
      <c r="D345" s="46"/>
      <c r="E345" s="46">
        <v>0</v>
      </c>
      <c r="F345" s="46">
        <f>D345*(($F$196)+1)+(IF(E345&lt;101,E345,IF(E345&lt;201,E345/2,IF(E345&lt;=301,E345/3,E345/4))))</f>
        <v>0</v>
      </c>
      <c r="G345" s="78" t="str">
        <f>G344</f>
        <v>2nd to 5th Floor</v>
      </c>
      <c r="H345" s="79"/>
      <c r="I345" s="34"/>
    </row>
    <row r="346" spans="1:9" s="35" customFormat="1" hidden="1" x14ac:dyDescent="0.3">
      <c r="A346" s="78" t="str">
        <f ca="1">(SUMPRODUCT(MID(0&amp;(LEFT(A345,SUM(LEN(A345)-LEN(SUBSTITUTE(A345,{"0","1","2"},""))))), LARGE(INDEX(ISNUMBER(--MID((LEFT(A345,SUM(LEN(A345)-LEN(SUBSTITUTE(A345,{"0","1","2"},""))))), ROW(INDIRECT("1:"&amp;LEN((LEFT(A345,SUM(LEN(A345)-LEN(SUBSTITUTE(A345,{"0","1","2"},"")))))))), 1)) * ROW(INDIRECT("1:"&amp;LEN((LEFT(A345,SUM(LEN(A345)-LEN(SUBSTITUTE(A345,{"0","1","2"},"")))))))), 0), ROW(INDIRECT("1:"&amp;LEN((LEFT(A345,SUM(LEN(A345)-LEN(SUBSTITUTE(A345,{"0","1","2"},"")))))))))+1, 1) * 10^ROW(INDIRECT("1:"&amp;LEN((LEFT(A345,SUM(LEN(A345)-LEN(SUBSTITUTE(A345,{"0","1","2"},""))))))))/10))*1+1&amp;""&amp;" to "&amp;""&amp;(SUMPRODUCT(MID(0&amp;(--TRIM(RIGHT(SUBSTITUTE(LEFT(A345,_xlfn.AGGREGATE(16,6,FIND({0,1,2,3,4,5,6,7,8,9},A345,ROW(INDIRECT("1:"&amp;LEN(A345)))),1))," ",REPT(" ",LEN(A345))),LEN(A345)))), LARGE(INDEX(ISNUMBER(--MID((--TRIM(RIGHT(SUBSTITUTE(LEFT(A345,_xlfn.AGGREGATE(16,6,FIND({0,1,2,3,4,5,6,7,8,9},A345,ROW(INDIRECT("1:"&amp;LEN(A345)))),1))," ",REPT(" ",LEN(A345))),LEN(A345)))), ROW(INDIRECT("1:"&amp;LEN((--TRIM(RIGHT(SUBSTITUTE(LEFT(A345,_xlfn.AGGREGATE(16,6,FIND({0,1,2,3,4,5,6,7,8,9},A345,ROW(INDIRECT("1:"&amp;LEN(A345)))),1))," ",REPT(" ",LEN(A345))),LEN(A345))))))), 1)) * ROW(INDIRECT("1:"&amp;LEN((--TRIM(RIGHT(SUBSTITUTE(LEFT(A345,_xlfn.AGGREGATE(16,6,FIND({0,1,2,3,4,5,6,7,8,9},A345,ROW(INDIRECT("1:"&amp;LEN(A345)))),1))," ",REPT(" ",LEN(A345))),LEN(A345))))))), 0), ROW(INDIRECT("1:"&amp;LEN((--TRIM(RIGHT(SUBSTITUTE(LEFT(A345,_xlfn.AGGREGATE(16,6,FIND({0,1,2,3,4,5,6,7,8,9},A345,ROW(INDIRECT("1:"&amp;LEN(A345)))),1))," ",REPT(" ",LEN(A345))),LEN(A345))))))))+1, 1) * 10^ROW(INDIRECT("1:"&amp;LEN((--TRIM(RIGHT(SUBSTITUTE(LEFT(A345,_xlfn.AGGREGATE(16,6,FIND({0,1,2,3,4,5,6,7,8,9},A345,ROW(INDIRECT("1:"&amp;LEN(A345)))),1))," ",REPT(" ",LEN(A345))),LEN(A345)))))))/10))*1+1</f>
        <v>204 to 504</v>
      </c>
      <c r="B346" s="79"/>
      <c r="C346" s="43"/>
      <c r="D346" s="46"/>
      <c r="E346" s="46">
        <v>0</v>
      </c>
      <c r="F346" s="46">
        <f>D346*(($F$196)+1)+(IF(E346&lt;101,E346,IF(E346&lt;201,E346/2,IF(E346&lt;=301,E346/3,E346/4))))</f>
        <v>0</v>
      </c>
      <c r="G346" s="78" t="str">
        <f>G345</f>
        <v>2nd to 5th Floor</v>
      </c>
      <c r="H346" s="79"/>
      <c r="I346" s="34"/>
    </row>
    <row r="347" spans="1:9" s="35" customFormat="1" hidden="1" x14ac:dyDescent="0.3">
      <c r="A347" s="78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10^ROW(INDIRECT("1:"&amp;LEN((LEFT(A346,SUM(LEN(A346)-LEN(SUBSTITUTE(A346,{"0","1","2"},""))))))))/10))*1+1&amp;""&amp;" to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",LEN(A346))),LEN(A346)))))))/10))*1+1</f>
        <v>205 to 505</v>
      </c>
      <c r="B347" s="79"/>
      <c r="C347" s="43"/>
      <c r="D347" s="46"/>
      <c r="E347" s="46">
        <v>0</v>
      </c>
      <c r="F347" s="46">
        <f>D347*(($F$196)+1)+(IF(E347&lt;101,E347,IF(E347&lt;201,E347/2,IF(E347&lt;=301,E347/3,E347/4))))</f>
        <v>0</v>
      </c>
      <c r="G347" s="78" t="str">
        <f>G346</f>
        <v>2nd to 5th Floor</v>
      </c>
      <c r="H347" s="79"/>
      <c r="I347" s="34"/>
    </row>
    <row r="348" spans="1:9" s="35" customFormat="1" hidden="1" x14ac:dyDescent="0.3">
      <c r="A348" s="81" t="s">
        <v>152</v>
      </c>
      <c r="B348" s="82"/>
      <c r="C348" s="82"/>
      <c r="D348" s="82"/>
      <c r="E348" s="82"/>
      <c r="F348" s="82"/>
      <c r="G348" s="82"/>
      <c r="H348" s="83"/>
      <c r="I348" s="34"/>
    </row>
    <row r="349" spans="1:9" s="35" customFormat="1" hidden="1" x14ac:dyDescent="0.3">
      <c r="A349" s="78" t="str">
        <f ca="1">(SUMPRODUCT(MID(0&amp;(LEFT(A348,SUM(LEN(A348)-LEN(SUBSTITUTE(A348,{"0","1","2"},""))))), LARGE(INDEX(ISNUMBER(--MID((LEFT(A348,SUM(LEN(A348)-LEN(SUBSTITUTE(A348,{"0","1","2"},""))))), ROW(INDIRECT("1:"&amp;LEN((LEFT(A348,SUM(LEN(A348)-LEN(SUBSTITUTE(A348,{"0","1","2"},"")))))))), 1)) * ROW(INDIRECT("1:"&amp;LEN((LEFT(A348,SUM(LEN(A348)-LEN(SUBSTITUTE(A348,{"0","1","2"},"")))))))), 0), ROW(INDIRECT("1:"&amp;LEN((LEFT(A348,SUM(LEN(A348)-LEN(SUBSTITUTE(A348,{"0","1","2"},"")))))))))+1, 1) * 10^ROW(INDIRECT("1:"&amp;LEN((LEFT(A348,SUM(LEN(A348)-LEN(SUBSTITUTE(A348,{"0","1","2"},""))))))))/10))*100+1&amp;""&amp;" &amp; "&amp;""&amp;(SUMPRODUCT(MID(0&amp;(--TRIM(RIGHT(SUBSTITUTE(LEFT(A348,_xlfn.AGGREGATE(16,6,FIND({0,1,2,3,4,5,6,7,8,9},A348,ROW(INDIRECT("1:"&amp;LEN(A348)))),1))," ",REPT(" ",LEN(A348))),LEN(A348)))), LARGE(INDEX(ISNUMBER(--MID((--TRIM(RIGHT(SUBSTITUTE(LEFT(A348,_xlfn.AGGREGATE(16,6,FIND({0,1,2,3,4,5,6,7,8,9},A348,ROW(INDIRECT("1:"&amp;LEN(A348)))),1))," ",REPT(" ",LEN(A348))),LEN(A348)))), ROW(INDIRECT("1:"&amp;LEN((--TRIM(RIGHT(SUBSTITUTE(LEFT(A348,_xlfn.AGGREGATE(16,6,FIND({0,1,2,3,4,5,6,7,8,9},A348,ROW(INDIRECT("1:"&amp;LEN(A348)))),1))," ",REPT(" ",LEN(A348))),LEN(A348))))))), 1)) * ROW(INDIRECT("1:"&amp;LEN((--TRIM(RIGHT(SUBSTITUTE(LEFT(A348,_xlfn.AGGREGATE(16,6,FIND({0,1,2,3,4,5,6,7,8,9},A348,ROW(INDIRECT("1:"&amp;LEN(A348)))),1))," ",REPT(" ",LEN(A348))),LEN(A348))))))), 0), ROW(INDIRECT("1:"&amp;LEN((--TRIM(RIGHT(SUBSTITUTE(LEFT(A348,_xlfn.AGGREGATE(16,6,FIND({0,1,2,3,4,5,6,7,8,9},A348,ROW(INDIRECT("1:"&amp;LEN(A348)))),1))," ",REPT(" ",LEN(A348))),LEN(A348))))))))+1, 1) * 10^ROW(INDIRECT("1:"&amp;LEN((--TRIM(RIGHT(SUBSTITUTE(LEFT(A348,_xlfn.AGGREGATE(16,6,FIND({0,1,2,3,4,5,6,7,8,9},A348,ROW(INDIRECT("1:"&amp;LEN(A348)))),1))," ",REPT(" ",LEN(A348))),LEN(A348)))))))/10))*100+1</f>
        <v>201 &amp; 501</v>
      </c>
      <c r="B349" s="79"/>
      <c r="C349" s="43"/>
      <c r="D349" s="46"/>
      <c r="E349" s="46">
        <v>0</v>
      </c>
      <c r="F349" s="46">
        <f>D349*(($F$196)+1)+(IF(E349&lt;101,E349,IF(E349&lt;201,E349/2,IF(E349&lt;=301,E349/3,E349/4))))</f>
        <v>0</v>
      </c>
      <c r="G349" s="78" t="str">
        <f>A348</f>
        <v>2nd &amp; 5th Floor</v>
      </c>
      <c r="H349" s="79"/>
      <c r="I349" s="34"/>
    </row>
    <row r="350" spans="1:9" s="35" customFormat="1" hidden="1" x14ac:dyDescent="0.3">
      <c r="A350" s="78" t="str">
        <f ca="1">(SUMPRODUCT(MID(0&amp;(LEFT(A349,SUM(LEN(A349)-LEN(SUBSTITUTE(A349,{"0","1","2"},""))))), LARGE(INDEX(ISNUMBER(--MID((LEFT(A349,SUM(LEN(A349)-LEN(SUBSTITUTE(A349,{"0","1","2"},""))))), ROW(INDIRECT("1:"&amp;LEN((LEFT(A349,SUM(LEN(A349)-LEN(SUBSTITUTE(A349,{"0","1","2"},"")))))))), 1)) * ROW(INDIRECT("1:"&amp;LEN((LEFT(A349,SUM(LEN(A349)-LEN(SUBSTITUTE(A349,{"0","1","2"},"")))))))), 0), ROW(INDIRECT("1:"&amp;LEN((LEFT(A349,SUM(LEN(A349)-LEN(SUBSTITUTE(A349,{"0","1","2"},"")))))))))+1, 1) * 10^ROW(INDIRECT("1:"&amp;LEN((LEFT(A349,SUM(LEN(A349)-LEN(SUBSTITUTE(A349,{"0","1","2"},""))))))))/10))*1+1&amp;""&amp;" &amp; "&amp;""&amp;(SUMPRODUCT(MID(0&amp;(--TRIM(RIGHT(SUBSTITUTE(LEFT(A349,_xlfn.AGGREGATE(16,6,FIND({0,1,2,3,4,5,6,7,8,9},A349,ROW(INDIRECT("1:"&amp;LEN(A349)))),1))," ",REPT(" ",LEN(A349))),LEN(A349)))), LARGE(INDEX(ISNUMBER(--MID((--TRIM(RIGHT(SUBSTITUTE(LEFT(A349,_xlfn.AGGREGATE(16,6,FIND({0,1,2,3,4,5,6,7,8,9},A349,ROW(INDIRECT("1:"&amp;LEN(A349)))),1))," ",REPT(" ",LEN(A349))),LEN(A349)))), ROW(INDIRECT("1:"&amp;LEN((--TRIM(RIGHT(SUBSTITUTE(LEFT(A349,_xlfn.AGGREGATE(16,6,FIND({0,1,2,3,4,5,6,7,8,9},A349,ROW(INDIRECT("1:"&amp;LEN(A349)))),1))," ",REPT(" ",LEN(A349))),LEN(A349))))))), 1)) * ROW(INDIRECT("1:"&amp;LEN((--TRIM(RIGHT(SUBSTITUTE(LEFT(A349,_xlfn.AGGREGATE(16,6,FIND({0,1,2,3,4,5,6,7,8,9},A349,ROW(INDIRECT("1:"&amp;LEN(A349)))),1))," ",REPT(" ",LEN(A349))),LEN(A349))))))), 0), ROW(INDIRECT("1:"&amp;LEN((--TRIM(RIGHT(SUBSTITUTE(LEFT(A349,_xlfn.AGGREGATE(16,6,FIND({0,1,2,3,4,5,6,7,8,9},A349,ROW(INDIRECT("1:"&amp;LEN(A349)))),1))," ",REPT(" ",LEN(A349))),LEN(A349))))))))+1, 1) * 10^ROW(INDIRECT("1:"&amp;LEN((--TRIM(RIGHT(SUBSTITUTE(LEFT(A349,_xlfn.AGGREGATE(16,6,FIND({0,1,2,3,4,5,6,7,8,9},A349,ROW(INDIRECT("1:"&amp;LEN(A349)))),1))," ",REPT(" ",LEN(A349))),LEN(A349)))))))/10))*1+1</f>
        <v>202 &amp; 502</v>
      </c>
      <c r="B350" s="79"/>
      <c r="C350" s="43"/>
      <c r="D350" s="46"/>
      <c r="E350" s="46">
        <v>0</v>
      </c>
      <c r="F350" s="46">
        <f>D350*(($F$196)+1)+(IF(E350&lt;101,E350,IF(E350&lt;201,E350/2,IF(E350&lt;=301,E350/3,E350/4))))</f>
        <v>0</v>
      </c>
      <c r="G350" s="78" t="str">
        <f t="shared" ref="G350:G353" si="41">G349</f>
        <v>2nd &amp; 5th Floor</v>
      </c>
      <c r="H350" s="79"/>
      <c r="I350" s="34"/>
    </row>
    <row r="351" spans="1:9" s="35" customFormat="1" hidden="1" x14ac:dyDescent="0.3">
      <c r="A351" s="78" t="str">
        <f ca="1">(SUMPRODUCT(MID(0&amp;(LEFT(A350,SUM(LEN(A350)-LEN(SUBSTITUTE(A350,{"0","1","2"},""))))), LARGE(INDEX(ISNUMBER(--MID((LEFT(A350,SUM(LEN(A350)-LEN(SUBSTITUTE(A350,{"0","1","2"},""))))), ROW(INDIRECT("1:"&amp;LEN((LEFT(A350,SUM(LEN(A350)-LEN(SUBSTITUTE(A350,{"0","1","2"},"")))))))), 1)) * ROW(INDIRECT("1:"&amp;LEN((LEFT(A350,SUM(LEN(A350)-LEN(SUBSTITUTE(A350,{"0","1","2"},"")))))))), 0), ROW(INDIRECT("1:"&amp;LEN((LEFT(A350,SUM(LEN(A350)-LEN(SUBSTITUTE(A350,{"0","1","2"},"")))))))))+1, 1) * 10^ROW(INDIRECT("1:"&amp;LEN((LEFT(A350,SUM(LEN(A350)-LEN(SUBSTITUTE(A350,{"0","1","2"},""))))))))/10))*1+1&amp;""&amp;" &amp; "&amp;""&amp;(SUMPRODUCT(MID(0&amp;(--TRIM(RIGHT(SUBSTITUTE(LEFT(A350,_xlfn.AGGREGATE(16,6,FIND({0,1,2,3,4,5,6,7,8,9},A350,ROW(INDIRECT("1:"&amp;LEN(A350)))),1))," ",REPT(" ",LEN(A350))),LEN(A350)))), LARGE(INDEX(ISNUMBER(--MID((--TRIM(RIGHT(SUBSTITUTE(LEFT(A350,_xlfn.AGGREGATE(16,6,FIND({0,1,2,3,4,5,6,7,8,9},A350,ROW(INDIRECT("1:"&amp;LEN(A350)))),1))," ",REPT(" ",LEN(A350))),LEN(A350)))), ROW(INDIRECT("1:"&amp;LEN((--TRIM(RIGHT(SUBSTITUTE(LEFT(A350,_xlfn.AGGREGATE(16,6,FIND({0,1,2,3,4,5,6,7,8,9},A350,ROW(INDIRECT("1:"&amp;LEN(A350)))),1))," ",REPT(" ",LEN(A350))),LEN(A350))))))), 1)) * ROW(INDIRECT("1:"&amp;LEN((--TRIM(RIGHT(SUBSTITUTE(LEFT(A350,_xlfn.AGGREGATE(16,6,FIND({0,1,2,3,4,5,6,7,8,9},A350,ROW(INDIRECT("1:"&amp;LEN(A350)))),1))," ",REPT(" ",LEN(A350))),LEN(A350))))))), 0), ROW(INDIRECT("1:"&amp;LEN((--TRIM(RIGHT(SUBSTITUTE(LEFT(A350,_xlfn.AGGREGATE(16,6,FIND({0,1,2,3,4,5,6,7,8,9},A350,ROW(INDIRECT("1:"&amp;LEN(A350)))),1))," ",REPT(" ",LEN(A350))),LEN(A350))))))))+1, 1) * 10^ROW(INDIRECT("1:"&amp;LEN((--TRIM(RIGHT(SUBSTITUTE(LEFT(A350,_xlfn.AGGREGATE(16,6,FIND({0,1,2,3,4,5,6,7,8,9},A350,ROW(INDIRECT("1:"&amp;LEN(A350)))),1))," ",REPT(" ",LEN(A350))),LEN(A350)))))))/10))*1+1</f>
        <v>203 &amp; 503</v>
      </c>
      <c r="B351" s="79"/>
      <c r="C351" s="43"/>
      <c r="D351" s="46"/>
      <c r="E351" s="46">
        <v>0</v>
      </c>
      <c r="F351" s="46">
        <f>D351*(($F$196)+1)+(IF(E351&lt;101,E351,IF(E351&lt;201,E351/2,IF(E351&lt;=301,E351/3,E351/4))))</f>
        <v>0</v>
      </c>
      <c r="G351" s="78" t="str">
        <f t="shared" si="41"/>
        <v>2nd &amp; 5th Floor</v>
      </c>
      <c r="H351" s="79"/>
      <c r="I351" s="34"/>
    </row>
    <row r="352" spans="1:9" s="35" customFormat="1" hidden="1" x14ac:dyDescent="0.3">
      <c r="A352" s="78" t="str">
        <f ca="1">(SUMPRODUCT(MID(0&amp;(LEFT(A351,SUM(LEN(A351)-LEN(SUBSTITUTE(A351,{"0","1","2"},""))))), LARGE(INDEX(ISNUMBER(--MID((LEFT(A351,SUM(LEN(A351)-LEN(SUBSTITUTE(A351,{"0","1","2"},""))))), ROW(INDIRECT("1:"&amp;LEN((LEFT(A351,SUM(LEN(A351)-LEN(SUBSTITUTE(A351,{"0","1","2"},"")))))))), 1)) * ROW(INDIRECT("1:"&amp;LEN((LEFT(A351,SUM(LEN(A351)-LEN(SUBSTITUTE(A351,{"0","1","2"},"")))))))), 0), ROW(INDIRECT("1:"&amp;LEN((LEFT(A351,SUM(LEN(A351)-LEN(SUBSTITUTE(A351,{"0","1","2"},"")))))))))+1, 1) * 10^ROW(INDIRECT("1:"&amp;LEN((LEFT(A351,SUM(LEN(A351)-LEN(SUBSTITUTE(A351,{"0","1","2"},""))))))))/10))*1+1&amp;""&amp;" &amp; "&amp;""&amp;(SUMPRODUCT(MID(0&amp;(--TRIM(RIGHT(SUBSTITUTE(LEFT(A351,_xlfn.AGGREGATE(16,6,FIND({0,1,2,3,4,5,6,7,8,9},A351,ROW(INDIRECT("1:"&amp;LEN(A351)))),1))," ",REPT(" ",LEN(A351))),LEN(A351)))), LARGE(INDEX(ISNUMBER(--MID((--TRIM(RIGHT(SUBSTITUTE(LEFT(A351,_xlfn.AGGREGATE(16,6,FIND({0,1,2,3,4,5,6,7,8,9},A351,ROW(INDIRECT("1:"&amp;LEN(A351)))),1))," ",REPT(" ",LEN(A351))),LEN(A351)))), ROW(INDIRECT("1:"&amp;LEN((--TRIM(RIGHT(SUBSTITUTE(LEFT(A351,_xlfn.AGGREGATE(16,6,FIND({0,1,2,3,4,5,6,7,8,9},A351,ROW(INDIRECT("1:"&amp;LEN(A351)))),1))," ",REPT(" ",LEN(A351))),LEN(A351))))))), 1)) * ROW(INDIRECT("1:"&amp;LEN((--TRIM(RIGHT(SUBSTITUTE(LEFT(A351,_xlfn.AGGREGATE(16,6,FIND({0,1,2,3,4,5,6,7,8,9},A351,ROW(INDIRECT("1:"&amp;LEN(A351)))),1))," ",REPT(" ",LEN(A351))),LEN(A351))))))), 0), ROW(INDIRECT("1:"&amp;LEN((--TRIM(RIGHT(SUBSTITUTE(LEFT(A351,_xlfn.AGGREGATE(16,6,FIND({0,1,2,3,4,5,6,7,8,9},A351,ROW(INDIRECT("1:"&amp;LEN(A351)))),1))," ",REPT(" ",LEN(A351))),LEN(A351))))))))+1, 1) * 10^ROW(INDIRECT("1:"&amp;LEN((--TRIM(RIGHT(SUBSTITUTE(LEFT(A351,_xlfn.AGGREGATE(16,6,FIND({0,1,2,3,4,5,6,7,8,9},A351,ROW(INDIRECT("1:"&amp;LEN(A351)))),1))," ",REPT(" ",LEN(A351))),LEN(A351)))))))/10))*1+1</f>
        <v>204 &amp; 504</v>
      </c>
      <c r="B352" s="79"/>
      <c r="C352" s="43"/>
      <c r="D352" s="46"/>
      <c r="E352" s="46">
        <v>0</v>
      </c>
      <c r="F352" s="46">
        <f>D352*(($F$196)+1)+(IF(E352&lt;101,E352,IF(E352&lt;201,E352/2,IF(E352&lt;=301,E352/3,E352/4))))</f>
        <v>0</v>
      </c>
      <c r="G352" s="78" t="str">
        <f t="shared" si="41"/>
        <v>2nd &amp; 5th Floor</v>
      </c>
      <c r="H352" s="79"/>
      <c r="I352" s="34"/>
    </row>
    <row r="353" spans="1:9" s="35" customFormat="1" hidden="1" x14ac:dyDescent="0.3">
      <c r="A353" s="78" t="str">
        <f ca="1">(SUMPRODUCT(MID(0&amp;(LEFT(A352,SUM(LEN(A352)-LEN(SUBSTITUTE(A352,{"0","1","2"},""))))), LARGE(INDEX(ISNUMBER(--MID((LEFT(A352,SUM(LEN(A352)-LEN(SUBSTITUTE(A352,{"0","1","2"},""))))), ROW(INDIRECT("1:"&amp;LEN((LEFT(A352,SUM(LEN(A352)-LEN(SUBSTITUTE(A352,{"0","1","2"},"")))))))), 1)) * ROW(INDIRECT("1:"&amp;LEN((LEFT(A352,SUM(LEN(A352)-LEN(SUBSTITUTE(A352,{"0","1","2"},"")))))))), 0), ROW(INDIRECT("1:"&amp;LEN((LEFT(A352,SUM(LEN(A352)-LEN(SUBSTITUTE(A352,{"0","1","2"},"")))))))))+1, 1) * 10^ROW(INDIRECT("1:"&amp;LEN((LEFT(A352,SUM(LEN(A352)-LEN(SUBSTITUTE(A352,{"0","1","2"},""))))))))/10))*1+1&amp;""&amp;" &amp; "&amp;""&amp;(SUMPRODUCT(MID(0&amp;(--TRIM(RIGHT(SUBSTITUTE(LEFT(A352,_xlfn.AGGREGATE(16,6,FIND({0,1,2,3,4,5,6,7,8,9},A352,ROW(INDIRECT("1:"&amp;LEN(A352)))),1))," ",REPT(" ",LEN(A352))),LEN(A352)))), LARGE(INDEX(ISNUMBER(--MID((--TRIM(RIGHT(SUBSTITUTE(LEFT(A352,_xlfn.AGGREGATE(16,6,FIND({0,1,2,3,4,5,6,7,8,9},A352,ROW(INDIRECT("1:"&amp;LEN(A352)))),1))," ",REPT(" ",LEN(A352))),LEN(A352)))), ROW(INDIRECT("1:"&amp;LEN((--TRIM(RIGHT(SUBSTITUTE(LEFT(A352,_xlfn.AGGREGATE(16,6,FIND({0,1,2,3,4,5,6,7,8,9},A352,ROW(INDIRECT("1:"&amp;LEN(A352)))),1))," ",REPT(" ",LEN(A352))),LEN(A352))))))), 1)) * ROW(INDIRECT("1:"&amp;LEN((--TRIM(RIGHT(SUBSTITUTE(LEFT(A352,_xlfn.AGGREGATE(16,6,FIND({0,1,2,3,4,5,6,7,8,9},A352,ROW(INDIRECT("1:"&amp;LEN(A352)))),1))," ",REPT(" ",LEN(A352))),LEN(A352))))))), 0), ROW(INDIRECT("1:"&amp;LEN((--TRIM(RIGHT(SUBSTITUTE(LEFT(A352,_xlfn.AGGREGATE(16,6,FIND({0,1,2,3,4,5,6,7,8,9},A352,ROW(INDIRECT("1:"&amp;LEN(A352)))),1))," ",REPT(" ",LEN(A352))),LEN(A352))))))))+1, 1) * 10^ROW(INDIRECT("1:"&amp;LEN((--TRIM(RIGHT(SUBSTITUTE(LEFT(A352,_xlfn.AGGREGATE(16,6,FIND({0,1,2,3,4,5,6,7,8,9},A352,ROW(INDIRECT("1:"&amp;LEN(A352)))),1))," ",REPT(" ",LEN(A352))),LEN(A352)))))))/10))*1+1</f>
        <v>205 &amp; 505</v>
      </c>
      <c r="B353" s="79"/>
      <c r="C353" s="43"/>
      <c r="D353" s="46"/>
      <c r="E353" s="46">
        <v>0</v>
      </c>
      <c r="F353" s="46">
        <f>D353*(($F$196)+1)+(IF(E353&lt;101,E353,IF(E353&lt;201,E353/2,IF(E353&lt;=301,E353/3,E353/4))))</f>
        <v>0</v>
      </c>
      <c r="G353" s="78" t="str">
        <f t="shared" si="41"/>
        <v>2nd &amp; 5th Floor</v>
      </c>
      <c r="H353" s="79"/>
      <c r="I353" s="34"/>
    </row>
    <row r="354" spans="1:9" s="33" customFormat="1" x14ac:dyDescent="0.3">
      <c r="A354" s="150" t="s">
        <v>70</v>
      </c>
      <c r="B354" s="150"/>
      <c r="C354" s="150"/>
      <c r="D354" s="150"/>
      <c r="E354" s="150"/>
      <c r="F354" s="150"/>
      <c r="G354" s="150"/>
      <c r="H354" s="150"/>
    </row>
    <row r="355" spans="1:9" s="33" customFormat="1" x14ac:dyDescent="0.3">
      <c r="A355" s="48" t="s">
        <v>161</v>
      </c>
      <c r="B355" s="188" t="s">
        <v>263</v>
      </c>
      <c r="C355" s="189"/>
      <c r="D355" s="189"/>
      <c r="E355" s="189"/>
      <c r="F355" s="189"/>
      <c r="G355" s="189"/>
      <c r="H355" s="190"/>
    </row>
    <row r="356" spans="1:9" s="33" customFormat="1" x14ac:dyDescent="0.3">
      <c r="A356" s="48" t="s">
        <v>161</v>
      </c>
      <c r="B356" s="188" t="str">
        <f>(IF(F195="Saleable area Loading :","We have considered Saleable area of Flats as per our Calculation.","We considered Saleable area of Flat as per Builder area Sheet."))</f>
        <v>We have considered Saleable area of Flats as per our Calculation.</v>
      </c>
      <c r="C356" s="189"/>
      <c r="D356" s="189"/>
      <c r="E356" s="189"/>
      <c r="F356" s="189"/>
      <c r="G356" s="189"/>
      <c r="H356" s="190"/>
    </row>
    <row r="357" spans="1:9" s="33" customFormat="1" x14ac:dyDescent="0.3">
      <c r="A357" s="48" t="s">
        <v>161</v>
      </c>
      <c r="B357" s="188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57" s="189"/>
      <c r="D357" s="189"/>
      <c r="E357" s="189"/>
      <c r="F357" s="189"/>
      <c r="G357" s="189"/>
      <c r="H357" s="190"/>
    </row>
    <row r="358" spans="1:9" s="33" customFormat="1" x14ac:dyDescent="0.3">
      <c r="A358" s="48" t="s">
        <v>161</v>
      </c>
      <c r="B358" s="75" t="s">
        <v>128</v>
      </c>
      <c r="C358" s="76"/>
      <c r="D358" s="76"/>
      <c r="E358" s="76"/>
      <c r="F358" s="76"/>
      <c r="G358" s="76"/>
      <c r="H358" s="77"/>
    </row>
    <row r="359" spans="1:9" s="33" customFormat="1" x14ac:dyDescent="0.3">
      <c r="A359" s="48" t="s">
        <v>161</v>
      </c>
      <c r="B359" s="188" t="s">
        <v>253</v>
      </c>
      <c r="C359" s="189"/>
      <c r="D359" s="189"/>
      <c r="E359" s="189"/>
      <c r="F359" s="189"/>
      <c r="G359" s="189"/>
      <c r="H359" s="190"/>
    </row>
    <row r="360" spans="1:9" s="33" customFormat="1" x14ac:dyDescent="0.3">
      <c r="A360" s="48" t="s">
        <v>161</v>
      </c>
      <c r="B360" s="75" t="s">
        <v>160</v>
      </c>
      <c r="C360" s="76"/>
      <c r="D360" s="76"/>
      <c r="E360" s="76"/>
      <c r="F360" s="76"/>
      <c r="G360" s="76"/>
      <c r="H360" s="77"/>
    </row>
    <row r="361" spans="1:9" s="33" customFormat="1" x14ac:dyDescent="0.3">
      <c r="A361" s="48" t="s">
        <v>161</v>
      </c>
      <c r="B361" s="75" t="s">
        <v>129</v>
      </c>
      <c r="C361" s="76"/>
      <c r="D361" s="76"/>
      <c r="E361" s="76"/>
      <c r="F361" s="76"/>
      <c r="G361" s="76"/>
      <c r="H361" s="77"/>
    </row>
    <row r="362" spans="1:9" s="33" customFormat="1" ht="34.5" customHeight="1" x14ac:dyDescent="0.3">
      <c r="A362" s="48" t="s">
        <v>161</v>
      </c>
      <c r="B362" s="75" t="s">
        <v>162</v>
      </c>
      <c r="C362" s="76"/>
      <c r="D362" s="76"/>
      <c r="E362" s="76"/>
      <c r="F362" s="76"/>
      <c r="G362" s="76"/>
      <c r="H362" s="77"/>
    </row>
    <row r="363" spans="1:9" s="33" customFormat="1" x14ac:dyDescent="0.3">
      <c r="A363" s="48" t="s">
        <v>161</v>
      </c>
      <c r="B363" s="75" t="s">
        <v>130</v>
      </c>
      <c r="C363" s="76"/>
      <c r="D363" s="76"/>
      <c r="E363" s="76"/>
      <c r="F363" s="76"/>
      <c r="G363" s="76"/>
      <c r="H363" s="77"/>
    </row>
    <row r="364" spans="1:9" s="33" customFormat="1" ht="34.200000000000003" customHeight="1" x14ac:dyDescent="0.3">
      <c r="A364" s="62" t="s">
        <v>161</v>
      </c>
      <c r="B364" s="185" t="s">
        <v>261</v>
      </c>
      <c r="C364" s="186"/>
      <c r="D364" s="186"/>
      <c r="E364" s="186"/>
      <c r="F364" s="186"/>
      <c r="G364" s="186"/>
      <c r="H364" s="187"/>
    </row>
    <row r="365" spans="1:9" s="33" customFormat="1" x14ac:dyDescent="0.3">
      <c r="A365" s="48" t="s">
        <v>161</v>
      </c>
      <c r="B365" s="75" t="s">
        <v>247</v>
      </c>
      <c r="C365" s="76"/>
      <c r="D365" s="76"/>
      <c r="E365" s="76"/>
      <c r="F365" s="76"/>
      <c r="G365" s="76"/>
      <c r="H365" s="77"/>
    </row>
    <row r="366" spans="1:9" s="33" customFormat="1" x14ac:dyDescent="0.3">
      <c r="A366" s="48" t="s">
        <v>161</v>
      </c>
      <c r="B366" s="75" t="s">
        <v>257</v>
      </c>
      <c r="C366" s="76"/>
      <c r="D366" s="76"/>
      <c r="E366" s="76"/>
      <c r="F366" s="76"/>
      <c r="G366" s="76"/>
      <c r="H366" s="77"/>
    </row>
    <row r="367" spans="1:9" s="33" customFormat="1" hidden="1" x14ac:dyDescent="0.3">
      <c r="A367" s="48" t="s">
        <v>161</v>
      </c>
      <c r="B367" s="75" t="s">
        <v>206</v>
      </c>
      <c r="C367" s="76"/>
      <c r="D367" s="76"/>
      <c r="E367" s="76"/>
      <c r="F367" s="76"/>
      <c r="G367" s="76"/>
      <c r="H367" s="77"/>
    </row>
    <row r="368" spans="1:9" s="33" customFormat="1" hidden="1" x14ac:dyDescent="0.3">
      <c r="A368" s="48" t="s">
        <v>161</v>
      </c>
      <c r="B368" s="75" t="s">
        <v>207</v>
      </c>
      <c r="C368" s="76"/>
      <c r="D368" s="76"/>
      <c r="E368" s="76"/>
      <c r="F368" s="76"/>
      <c r="G368" s="76"/>
      <c r="H368" s="77"/>
    </row>
    <row r="369" spans="1:8" x14ac:dyDescent="0.3">
      <c r="A369" s="184" t="s">
        <v>63</v>
      </c>
      <c r="B369" s="184"/>
      <c r="C369" s="184"/>
      <c r="D369" s="184"/>
      <c r="E369" s="184"/>
      <c r="F369" s="184"/>
      <c r="G369" s="184"/>
      <c r="H369" s="184"/>
    </row>
    <row r="370" spans="1:8" x14ac:dyDescent="0.3">
      <c r="A370" s="113" t="s">
        <v>64</v>
      </c>
      <c r="B370" s="113"/>
      <c r="C370" s="113"/>
      <c r="D370" s="113"/>
      <c r="E370" s="113"/>
      <c r="F370" s="113"/>
      <c r="G370" s="113"/>
      <c r="H370" s="113"/>
    </row>
    <row r="371" spans="1:8" ht="15.75" customHeight="1" x14ac:dyDescent="0.3">
      <c r="A371" s="193" t="s">
        <v>65</v>
      </c>
      <c r="B371" s="193"/>
      <c r="C371" s="193"/>
      <c r="D371" s="193"/>
      <c r="E371" s="193"/>
      <c r="F371" s="193"/>
      <c r="G371" s="193"/>
      <c r="H371" s="193"/>
    </row>
    <row r="372" spans="1:8" x14ac:dyDescent="0.3">
      <c r="A372" s="113" t="s">
        <v>66</v>
      </c>
      <c r="B372" s="113"/>
      <c r="C372" s="113"/>
      <c r="D372" s="113"/>
      <c r="E372" s="113"/>
      <c r="F372" s="113"/>
      <c r="G372" s="113"/>
      <c r="H372" s="113"/>
    </row>
    <row r="373" spans="1:8" x14ac:dyDescent="0.3">
      <c r="A373" s="113" t="s">
        <v>67</v>
      </c>
      <c r="B373" s="113"/>
      <c r="C373" s="113"/>
      <c r="D373" s="113"/>
      <c r="E373" s="113"/>
      <c r="F373" s="113"/>
      <c r="G373" s="113"/>
      <c r="H373" s="113"/>
    </row>
    <row r="374" spans="1:8" x14ac:dyDescent="0.3">
      <c r="A374" s="113" t="s">
        <v>131</v>
      </c>
      <c r="B374" s="113"/>
      <c r="C374" s="113"/>
      <c r="D374" s="113"/>
      <c r="E374" s="113"/>
      <c r="F374" s="113"/>
      <c r="G374" s="113"/>
      <c r="H374" s="113"/>
    </row>
    <row r="375" spans="1:8" ht="31.5" customHeight="1" x14ac:dyDescent="0.3">
      <c r="A375" s="138" t="s">
        <v>132</v>
      </c>
      <c r="B375" s="138"/>
      <c r="C375" s="138"/>
      <c r="D375" s="138"/>
      <c r="E375" s="138"/>
      <c r="F375" s="138"/>
      <c r="G375" s="138"/>
      <c r="H375" s="138"/>
    </row>
    <row r="376" spans="1:8" x14ac:dyDescent="0.3">
      <c r="A376" s="192" t="s">
        <v>79</v>
      </c>
      <c r="B376" s="192"/>
      <c r="C376" s="192" t="s">
        <v>251</v>
      </c>
      <c r="D376" s="192"/>
      <c r="E376" s="192" t="s">
        <v>108</v>
      </c>
      <c r="F376" s="192"/>
      <c r="G376" s="192" t="s">
        <v>262</v>
      </c>
      <c r="H376" s="192"/>
    </row>
    <row r="377" spans="1:8" x14ac:dyDescent="0.3">
      <c r="A377" s="191"/>
      <c r="B377" s="191"/>
      <c r="C377" s="191"/>
      <c r="D377" s="191"/>
      <c r="E377" s="191"/>
      <c r="F377" s="191"/>
      <c r="G377" s="191"/>
      <c r="H377" s="191"/>
    </row>
    <row r="378" spans="1:8" x14ac:dyDescent="0.3">
      <c r="A378" s="191"/>
      <c r="B378" s="191"/>
      <c r="C378" s="191"/>
      <c r="D378" s="191"/>
      <c r="E378" s="191"/>
      <c r="F378" s="191"/>
      <c r="G378" s="191"/>
      <c r="H378" s="191"/>
    </row>
    <row r="379" spans="1:8" x14ac:dyDescent="0.3">
      <c r="A379" s="191"/>
      <c r="B379" s="191"/>
      <c r="C379" s="191"/>
      <c r="D379" s="191"/>
      <c r="E379" s="191"/>
      <c r="F379" s="191"/>
      <c r="G379" s="191"/>
      <c r="H379" s="191"/>
    </row>
    <row r="380" spans="1:8" x14ac:dyDescent="0.3">
      <c r="A380" s="191"/>
      <c r="B380" s="191"/>
      <c r="C380" s="191"/>
      <c r="D380" s="191"/>
      <c r="E380" s="191"/>
      <c r="F380" s="191"/>
      <c r="G380" s="191"/>
      <c r="H380" s="191"/>
    </row>
    <row r="381" spans="1:8" x14ac:dyDescent="0.3">
      <c r="A381" s="36" t="s">
        <v>68</v>
      </c>
      <c r="B381" s="37"/>
      <c r="C381" s="37"/>
      <c r="D381" s="36" t="str">
        <f>E8</f>
        <v>The Vaidiki Signature</v>
      </c>
      <c r="F381" s="37"/>
      <c r="G381" s="37"/>
      <c r="H381" s="37"/>
    </row>
    <row r="382" spans="1:8" x14ac:dyDescent="0.3">
      <c r="A382" s="37"/>
      <c r="B382" s="37"/>
      <c r="C382" s="37"/>
      <c r="D382" s="37"/>
      <c r="E382" s="37"/>
      <c r="F382" s="37"/>
      <c r="G382" s="37"/>
      <c r="H382" s="37"/>
    </row>
    <row r="383" spans="1:8" x14ac:dyDescent="0.3">
      <c r="A383" s="37"/>
      <c r="B383" s="37"/>
      <c r="C383" s="37"/>
      <c r="D383" s="37"/>
      <c r="E383" s="37"/>
      <c r="F383" s="37"/>
      <c r="G383" s="37"/>
      <c r="H383" s="37"/>
    </row>
    <row r="384" spans="1:8" ht="15" customHeight="1" x14ac:dyDescent="0.3"/>
    <row r="413" ht="15" customHeight="1" x14ac:dyDescent="0.3"/>
    <row r="425" spans="1:1" hidden="1" x14ac:dyDescent="0.3"/>
    <row r="426" spans="1:1" hidden="1" x14ac:dyDescent="0.3"/>
    <row r="427" spans="1:1" hidden="1" x14ac:dyDescent="0.3"/>
    <row r="428" spans="1:1" x14ac:dyDescent="0.3">
      <c r="A428" s="39" t="s">
        <v>176</v>
      </c>
    </row>
    <row r="459" spans="1:1" x14ac:dyDescent="0.3">
      <c r="A459" s="39" t="s">
        <v>69</v>
      </c>
    </row>
  </sheetData>
  <mergeCells count="720">
    <mergeCell ref="A321:B321"/>
    <mergeCell ref="C321:F321"/>
    <mergeCell ref="B365:H365"/>
    <mergeCell ref="L324:M324"/>
    <mergeCell ref="G311:H316"/>
    <mergeCell ref="G318:H323"/>
    <mergeCell ref="A130:B130"/>
    <mergeCell ref="C130:D130"/>
    <mergeCell ref="E130:F130"/>
    <mergeCell ref="G130:H130"/>
    <mergeCell ref="A136:B136"/>
    <mergeCell ref="C136:D136"/>
    <mergeCell ref="E136:F136"/>
    <mergeCell ref="G136:H136"/>
    <mergeCell ref="A320:B320"/>
    <mergeCell ref="A322:B322"/>
    <mergeCell ref="A323:B323"/>
    <mergeCell ref="A324:H324"/>
    <mergeCell ref="A315:B315"/>
    <mergeCell ref="A309:H309"/>
    <mergeCell ref="A316:B316"/>
    <mergeCell ref="A317:H317"/>
    <mergeCell ref="A318:B318"/>
    <mergeCell ref="A319:B319"/>
    <mergeCell ref="A310:H310"/>
    <mergeCell ref="A311:B311"/>
    <mergeCell ref="L149:M149"/>
    <mergeCell ref="L150:M150"/>
    <mergeCell ref="L151:M151"/>
    <mergeCell ref="A284:B284"/>
    <mergeCell ref="L284:M284"/>
    <mergeCell ref="A281:B281"/>
    <mergeCell ref="L281:M281"/>
    <mergeCell ref="A282:B282"/>
    <mergeCell ref="L282:M282"/>
    <mergeCell ref="A283:B283"/>
    <mergeCell ref="L283:M283"/>
    <mergeCell ref="G278:H284"/>
    <mergeCell ref="A277:H277"/>
    <mergeCell ref="A278:B278"/>
    <mergeCell ref="L278:M278"/>
    <mergeCell ref="A279:B279"/>
    <mergeCell ref="L261:M261"/>
    <mergeCell ref="A262:B262"/>
    <mergeCell ref="L262:M262"/>
    <mergeCell ref="A263:B263"/>
    <mergeCell ref="L204:M204"/>
    <mergeCell ref="L199:M199"/>
    <mergeCell ref="A312:B312"/>
    <mergeCell ref="A313:B313"/>
    <mergeCell ref="A314:B314"/>
    <mergeCell ref="L176:M176"/>
    <mergeCell ref="L152:M152"/>
    <mergeCell ref="L153:M153"/>
    <mergeCell ref="L154:M154"/>
    <mergeCell ref="L163:M163"/>
    <mergeCell ref="L205:M205"/>
    <mergeCell ref="A206:B206"/>
    <mergeCell ref="L206:M206"/>
    <mergeCell ref="A207:B207"/>
    <mergeCell ref="L207:M207"/>
    <mergeCell ref="A208:B208"/>
    <mergeCell ref="L208:M208"/>
    <mergeCell ref="C199:F20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A200:B200"/>
    <mergeCell ref="A280:B280"/>
    <mergeCell ref="L280:M280"/>
    <mergeCell ref="A274:B274"/>
    <mergeCell ref="L274:M274"/>
    <mergeCell ref="A275:B275"/>
    <mergeCell ref="L275:M275"/>
    <mergeCell ref="A276:B276"/>
    <mergeCell ref="L276:M276"/>
    <mergeCell ref="G270:H276"/>
    <mergeCell ref="A271:B271"/>
    <mergeCell ref="L271:M271"/>
    <mergeCell ref="A272:B272"/>
    <mergeCell ref="L272:M272"/>
    <mergeCell ref="A273:B273"/>
    <mergeCell ref="L273:M273"/>
    <mergeCell ref="L279:M279"/>
    <mergeCell ref="L263:M263"/>
    <mergeCell ref="A231:H231"/>
    <mergeCell ref="A232:B232"/>
    <mergeCell ref="A270:B270"/>
    <mergeCell ref="L270:M270"/>
    <mergeCell ref="L266:M266"/>
    <mergeCell ref="A267:B267"/>
    <mergeCell ref="L267:M267"/>
    <mergeCell ref="A268:B268"/>
    <mergeCell ref="L268:M268"/>
    <mergeCell ref="A265:H265"/>
    <mergeCell ref="G266:H268"/>
    <mergeCell ref="A266:B266"/>
    <mergeCell ref="A264:H264"/>
    <mergeCell ref="A269:H269"/>
    <mergeCell ref="L233:M233"/>
    <mergeCell ref="A234:B234"/>
    <mergeCell ref="L234:M234"/>
    <mergeCell ref="A235:B235"/>
    <mergeCell ref="L235:M235"/>
    <mergeCell ref="A242:H242"/>
    <mergeCell ref="A243:B243"/>
    <mergeCell ref="G243:H252"/>
    <mergeCell ref="L243:M243"/>
    <mergeCell ref="G210:H219"/>
    <mergeCell ref="A215:B215"/>
    <mergeCell ref="L215:M215"/>
    <mergeCell ref="L216:M216"/>
    <mergeCell ref="A217:B217"/>
    <mergeCell ref="L217:M217"/>
    <mergeCell ref="A218:B218"/>
    <mergeCell ref="L218:M218"/>
    <mergeCell ref="L210:M210"/>
    <mergeCell ref="A211:B211"/>
    <mergeCell ref="L211:M211"/>
    <mergeCell ref="A210:B210"/>
    <mergeCell ref="A219:B219"/>
    <mergeCell ref="A212:B212"/>
    <mergeCell ref="A216:B216"/>
    <mergeCell ref="L212:M212"/>
    <mergeCell ref="L167:M167"/>
    <mergeCell ref="A168:B168"/>
    <mergeCell ref="G50:H50"/>
    <mergeCell ref="D56:H56"/>
    <mergeCell ref="C50:E50"/>
    <mergeCell ref="D59:H59"/>
    <mergeCell ref="C49:E49"/>
    <mergeCell ref="A54:B54"/>
    <mergeCell ref="C54:E54"/>
    <mergeCell ref="A49:B49"/>
    <mergeCell ref="A55:H55"/>
    <mergeCell ref="A56:C56"/>
    <mergeCell ref="A57:C57"/>
    <mergeCell ref="A135:B135"/>
    <mergeCell ref="L148:M148"/>
    <mergeCell ref="L164:M164"/>
    <mergeCell ref="A163:B163"/>
    <mergeCell ref="A150:B150"/>
    <mergeCell ref="D141:D142"/>
    <mergeCell ref="A115:E115"/>
    <mergeCell ref="A145:B145"/>
    <mergeCell ref="A146:B146"/>
    <mergeCell ref="A147:B147"/>
    <mergeCell ref="F117:H117"/>
    <mergeCell ref="L177:M177"/>
    <mergeCell ref="G174:H177"/>
    <mergeCell ref="A173:H173"/>
    <mergeCell ref="A174:B174"/>
    <mergeCell ref="L174:M174"/>
    <mergeCell ref="A175:B175"/>
    <mergeCell ref="L175:M175"/>
    <mergeCell ref="F122:H122"/>
    <mergeCell ref="L172:M172"/>
    <mergeCell ref="L169:M169"/>
    <mergeCell ref="L170:M170"/>
    <mergeCell ref="L171:M171"/>
    <mergeCell ref="L168:M168"/>
    <mergeCell ref="L155:M155"/>
    <mergeCell ref="L156:M156"/>
    <mergeCell ref="A151:B151"/>
    <mergeCell ref="L159:M159"/>
    <mergeCell ref="L160:M160"/>
    <mergeCell ref="L161:M161"/>
    <mergeCell ref="L162:M162"/>
    <mergeCell ref="G159:H172"/>
    <mergeCell ref="L165:M165"/>
    <mergeCell ref="A166:B166"/>
    <mergeCell ref="L166:M166"/>
    <mergeCell ref="A197:H197"/>
    <mergeCell ref="A198:H198"/>
    <mergeCell ref="A199:B199"/>
    <mergeCell ref="G199:H208"/>
    <mergeCell ref="A205:B205"/>
    <mergeCell ref="C129:D129"/>
    <mergeCell ref="E129:F129"/>
    <mergeCell ref="G129:H129"/>
    <mergeCell ref="A128:A129"/>
    <mergeCell ref="A176:B176"/>
    <mergeCell ref="A172:B172"/>
    <mergeCell ref="A169:B169"/>
    <mergeCell ref="A170:B170"/>
    <mergeCell ref="A171:B171"/>
    <mergeCell ref="A154:B154"/>
    <mergeCell ref="A165:B165"/>
    <mergeCell ref="G138:H138"/>
    <mergeCell ref="A155:B155"/>
    <mergeCell ref="A156:B156"/>
    <mergeCell ref="G145:H156"/>
    <mergeCell ref="A177:B177"/>
    <mergeCell ref="A167:B167"/>
    <mergeCell ref="C195:C196"/>
    <mergeCell ref="A157:H157"/>
    <mergeCell ref="G350:H350"/>
    <mergeCell ref="A16:B16"/>
    <mergeCell ref="C16:H16"/>
    <mergeCell ref="A41:D41"/>
    <mergeCell ref="G346:H346"/>
    <mergeCell ref="A331:B331"/>
    <mergeCell ref="A133:B133"/>
    <mergeCell ref="D195:D196"/>
    <mergeCell ref="E195:E196"/>
    <mergeCell ref="G195:H196"/>
    <mergeCell ref="A78:B78"/>
    <mergeCell ref="F112:H112"/>
    <mergeCell ref="G127:H127"/>
    <mergeCell ref="A48:B48"/>
    <mergeCell ref="C48:E48"/>
    <mergeCell ref="E40:H40"/>
    <mergeCell ref="E41:H41"/>
    <mergeCell ref="E42:H42"/>
    <mergeCell ref="A21:D22"/>
    <mergeCell ref="E21:H22"/>
    <mergeCell ref="A23:D23"/>
    <mergeCell ref="E23:H23"/>
    <mergeCell ref="F119:H119"/>
    <mergeCell ref="G126:H126"/>
    <mergeCell ref="A377:H380"/>
    <mergeCell ref="A376:B376"/>
    <mergeCell ref="E376:F376"/>
    <mergeCell ref="C376:D376"/>
    <mergeCell ref="G376:H376"/>
    <mergeCell ref="A375:H375"/>
    <mergeCell ref="A373:H373"/>
    <mergeCell ref="A285:H285"/>
    <mergeCell ref="A286:B286"/>
    <mergeCell ref="G286:H292"/>
    <mergeCell ref="A291:B291"/>
    <mergeCell ref="B355:H355"/>
    <mergeCell ref="B356:H356"/>
    <mergeCell ref="B358:H358"/>
    <mergeCell ref="B359:H359"/>
    <mergeCell ref="B362:H362"/>
    <mergeCell ref="B368:H368"/>
    <mergeCell ref="G349:H349"/>
    <mergeCell ref="G332:H332"/>
    <mergeCell ref="A325:H325"/>
    <mergeCell ref="A338:B338"/>
    <mergeCell ref="A374:H374"/>
    <mergeCell ref="A371:H371"/>
    <mergeCell ref="G344:H344"/>
    <mergeCell ref="A372:H372"/>
    <mergeCell ref="A132:H132"/>
    <mergeCell ref="A369:H369"/>
    <mergeCell ref="A370:H370"/>
    <mergeCell ref="E133:F133"/>
    <mergeCell ref="B364:H364"/>
    <mergeCell ref="B361:H361"/>
    <mergeCell ref="B357:H357"/>
    <mergeCell ref="G341:H341"/>
    <mergeCell ref="G340:H340"/>
    <mergeCell ref="C134:D134"/>
    <mergeCell ref="E134:F134"/>
    <mergeCell ref="G134:H134"/>
    <mergeCell ref="A346:B346"/>
    <mergeCell ref="A347:B347"/>
    <mergeCell ref="G345:H345"/>
    <mergeCell ref="A342:H342"/>
    <mergeCell ref="A348:H348"/>
    <mergeCell ref="A349:B349"/>
    <mergeCell ref="A350:B350"/>
    <mergeCell ref="A353:B353"/>
    <mergeCell ref="G353:H353"/>
    <mergeCell ref="A352:B352"/>
    <mergeCell ref="G352:H35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86:B86"/>
    <mergeCell ref="A125:H125"/>
    <mergeCell ref="A36:H36"/>
    <mergeCell ref="A35:B35"/>
    <mergeCell ref="C35:E35"/>
    <mergeCell ref="A77:B77"/>
    <mergeCell ref="A64:C64"/>
    <mergeCell ref="D57:H57"/>
    <mergeCell ref="G54:H54"/>
    <mergeCell ref="C51:H51"/>
    <mergeCell ref="A38:B38"/>
    <mergeCell ref="E43:H43"/>
    <mergeCell ref="A74:B74"/>
    <mergeCell ref="A76:B76"/>
    <mergeCell ref="A44:D44"/>
    <mergeCell ref="A45:D45"/>
    <mergeCell ref="A46:H46"/>
    <mergeCell ref="D58:H58"/>
    <mergeCell ref="A58:C58"/>
    <mergeCell ref="G49:H49"/>
    <mergeCell ref="A50:B51"/>
    <mergeCell ref="D64:H64"/>
    <mergeCell ref="E72:F72"/>
    <mergeCell ref="A65:C65"/>
    <mergeCell ref="C38:H38"/>
    <mergeCell ref="A47:B47"/>
    <mergeCell ref="E44:H44"/>
    <mergeCell ref="E45:H45"/>
    <mergeCell ref="L213:M213"/>
    <mergeCell ref="A214:B214"/>
    <mergeCell ref="L214:M214"/>
    <mergeCell ref="L147:M147"/>
    <mergeCell ref="L146:M146"/>
    <mergeCell ref="L145:M145"/>
    <mergeCell ref="A80:B80"/>
    <mergeCell ref="E128:F128"/>
    <mergeCell ref="G128:H128"/>
    <mergeCell ref="A131:B131"/>
    <mergeCell ref="C131:D131"/>
    <mergeCell ref="E131:F131"/>
    <mergeCell ref="F123:H123"/>
    <mergeCell ref="A124:E124"/>
    <mergeCell ref="F124:H124"/>
    <mergeCell ref="F120:H120"/>
    <mergeCell ref="A83:B83"/>
    <mergeCell ref="C83:H83"/>
    <mergeCell ref="A85:B85"/>
    <mergeCell ref="C85:H85"/>
    <mergeCell ref="A149:B149"/>
    <mergeCell ref="A153:B153"/>
    <mergeCell ref="A143:H143"/>
    <mergeCell ref="A40:D40"/>
    <mergeCell ref="F32:H32"/>
    <mergeCell ref="F33:H33"/>
    <mergeCell ref="A39:H39"/>
    <mergeCell ref="A62:C62"/>
    <mergeCell ref="A63:C63"/>
    <mergeCell ref="D62:H62"/>
    <mergeCell ref="E73:F82"/>
    <mergeCell ref="G73:H82"/>
    <mergeCell ref="A81:B81"/>
    <mergeCell ref="A82:B82"/>
    <mergeCell ref="D63:H63"/>
    <mergeCell ref="A42:D42"/>
    <mergeCell ref="A43:D43"/>
    <mergeCell ref="F35:H35"/>
    <mergeCell ref="A37:B37"/>
    <mergeCell ref="A79:B79"/>
    <mergeCell ref="A72:B72"/>
    <mergeCell ref="A75:B75"/>
    <mergeCell ref="A73:B73"/>
    <mergeCell ref="G72:H72"/>
    <mergeCell ref="A112:E112"/>
    <mergeCell ref="A144:H144"/>
    <mergeCell ref="E141:E142"/>
    <mergeCell ref="G141:H142"/>
    <mergeCell ref="F116:H116"/>
    <mergeCell ref="C126:D126"/>
    <mergeCell ref="A122:E122"/>
    <mergeCell ref="G137:H137"/>
    <mergeCell ref="E135:F135"/>
    <mergeCell ref="G135:H135"/>
    <mergeCell ref="C133:D133"/>
    <mergeCell ref="G133:H133"/>
    <mergeCell ref="G131:H131"/>
    <mergeCell ref="A134:B134"/>
    <mergeCell ref="A127:B127"/>
    <mergeCell ref="A121:E121"/>
    <mergeCell ref="C127:D127"/>
    <mergeCell ref="E127:F127"/>
    <mergeCell ref="B141:B142"/>
    <mergeCell ref="A141:A142"/>
    <mergeCell ref="A118:E118"/>
    <mergeCell ref="A120:E120"/>
    <mergeCell ref="A116:E116"/>
    <mergeCell ref="F115:H115"/>
    <mergeCell ref="A354:H354"/>
    <mergeCell ref="A326:B326"/>
    <mergeCell ref="A158:H158"/>
    <mergeCell ref="A160:B160"/>
    <mergeCell ref="A161:B161"/>
    <mergeCell ref="A162:B162"/>
    <mergeCell ref="G326:H326"/>
    <mergeCell ref="A327:B327"/>
    <mergeCell ref="G327:H327"/>
    <mergeCell ref="A213:B213"/>
    <mergeCell ref="A159:B159"/>
    <mergeCell ref="A164:B164"/>
    <mergeCell ref="B195:B196"/>
    <mergeCell ref="A336:H336"/>
    <mergeCell ref="A329:B329"/>
    <mergeCell ref="G339:H339"/>
    <mergeCell ref="G337:H337"/>
    <mergeCell ref="A330:H330"/>
    <mergeCell ref="A339:B339"/>
    <mergeCell ref="A194:H194"/>
    <mergeCell ref="A195:A196"/>
    <mergeCell ref="A335:B335"/>
    <mergeCell ref="A332:B332"/>
    <mergeCell ref="A209:H209"/>
    <mergeCell ref="A137:B137"/>
    <mergeCell ref="E137:F137"/>
    <mergeCell ref="A117:E117"/>
    <mergeCell ref="A139:H139"/>
    <mergeCell ref="F121:H121"/>
    <mergeCell ref="E126:F126"/>
    <mergeCell ref="A126:B126"/>
    <mergeCell ref="C137:D137"/>
    <mergeCell ref="C135:D135"/>
    <mergeCell ref="C128:D128"/>
    <mergeCell ref="A140:H140"/>
    <mergeCell ref="A123:E123"/>
    <mergeCell ref="C47:H47"/>
    <mergeCell ref="F113:H113"/>
    <mergeCell ref="A113:E113"/>
    <mergeCell ref="F114:H114"/>
    <mergeCell ref="A111:E111"/>
    <mergeCell ref="A114:E114"/>
    <mergeCell ref="F111:H111"/>
    <mergeCell ref="G48:H48"/>
    <mergeCell ref="D61:H61"/>
    <mergeCell ref="A59:C61"/>
    <mergeCell ref="A94:B94"/>
    <mergeCell ref="A95:B95"/>
    <mergeCell ref="A96:B96"/>
    <mergeCell ref="A68:C68"/>
    <mergeCell ref="D60:H60"/>
    <mergeCell ref="D68:H68"/>
    <mergeCell ref="A66:C66"/>
    <mergeCell ref="D66:H66"/>
    <mergeCell ref="A67:C67"/>
    <mergeCell ref="D65:H65"/>
    <mergeCell ref="A97:B97"/>
    <mergeCell ref="C97:H97"/>
    <mergeCell ref="A148:B148"/>
    <mergeCell ref="A152:B152"/>
    <mergeCell ref="E86:F86"/>
    <mergeCell ref="G86:H86"/>
    <mergeCell ref="A87:B87"/>
    <mergeCell ref="A119:E119"/>
    <mergeCell ref="C141:C142"/>
    <mergeCell ref="F118:H118"/>
    <mergeCell ref="D67:H67"/>
    <mergeCell ref="A69:B69"/>
    <mergeCell ref="C69:H69"/>
    <mergeCell ref="C71:H71"/>
    <mergeCell ref="A71:B71"/>
    <mergeCell ref="A138:B138"/>
    <mergeCell ref="C138:D138"/>
    <mergeCell ref="E138:F138"/>
    <mergeCell ref="E87:F96"/>
    <mergeCell ref="G87:H96"/>
    <mergeCell ref="A88:B88"/>
    <mergeCell ref="A89:B89"/>
    <mergeCell ref="A90:B90"/>
    <mergeCell ref="A91:B91"/>
    <mergeCell ref="A92:B92"/>
    <mergeCell ref="A93:B93"/>
    <mergeCell ref="L291:M291"/>
    <mergeCell ref="A292:B292"/>
    <mergeCell ref="L292:M292"/>
    <mergeCell ref="C290:F290"/>
    <mergeCell ref="G232:H241"/>
    <mergeCell ref="L232:M232"/>
    <mergeCell ref="A233:B233"/>
    <mergeCell ref="L236:M236"/>
    <mergeCell ref="A237:B237"/>
    <mergeCell ref="L237:M237"/>
    <mergeCell ref="A238:B238"/>
    <mergeCell ref="L238:M238"/>
    <mergeCell ref="A239:B239"/>
    <mergeCell ref="L239:M239"/>
    <mergeCell ref="A240:B240"/>
    <mergeCell ref="L240:M240"/>
    <mergeCell ref="L241:M241"/>
    <mergeCell ref="C236:F236"/>
    <mergeCell ref="A250:B250"/>
    <mergeCell ref="L250:M250"/>
    <mergeCell ref="A251:B251"/>
    <mergeCell ref="L251:M251"/>
    <mergeCell ref="A252:B252"/>
    <mergeCell ref="L252:M252"/>
    <mergeCell ref="A220:H220"/>
    <mergeCell ref="A221:B221"/>
    <mergeCell ref="G221:H230"/>
    <mergeCell ref="L221:M221"/>
    <mergeCell ref="L219:M219"/>
    <mergeCell ref="B367:H367"/>
    <mergeCell ref="L286:M286"/>
    <mergeCell ref="A287:B287"/>
    <mergeCell ref="L287:M287"/>
    <mergeCell ref="A288:B288"/>
    <mergeCell ref="L288:M288"/>
    <mergeCell ref="A289:B289"/>
    <mergeCell ref="L289:M289"/>
    <mergeCell ref="A290:B290"/>
    <mergeCell ref="L290:M290"/>
    <mergeCell ref="A343:B343"/>
    <mergeCell ref="A344:B344"/>
    <mergeCell ref="A345:B345"/>
    <mergeCell ref="G343:H343"/>
    <mergeCell ref="A341:B341"/>
    <mergeCell ref="A340:B340"/>
    <mergeCell ref="A337:B337"/>
    <mergeCell ref="B360:H360"/>
    <mergeCell ref="A293:H293"/>
    <mergeCell ref="A294:B294"/>
    <mergeCell ref="G294:H300"/>
    <mergeCell ref="L294:M294"/>
    <mergeCell ref="L330:M330"/>
    <mergeCell ref="A99:B99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78:H178"/>
    <mergeCell ref="A179:H179"/>
    <mergeCell ref="A180:B180"/>
    <mergeCell ref="G180:H193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253:H253"/>
    <mergeCell ref="A254:B254"/>
    <mergeCell ref="G254:H263"/>
    <mergeCell ref="L254:M254"/>
    <mergeCell ref="A255:B255"/>
    <mergeCell ref="L255:M255"/>
    <mergeCell ref="A256:B256"/>
    <mergeCell ref="L256:M256"/>
    <mergeCell ref="A257:B257"/>
    <mergeCell ref="L257:M257"/>
    <mergeCell ref="A258:B258"/>
    <mergeCell ref="L258:M258"/>
    <mergeCell ref="A259:B259"/>
    <mergeCell ref="L259:M259"/>
    <mergeCell ref="A260:B260"/>
    <mergeCell ref="L260:M260"/>
    <mergeCell ref="A261:B261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G333:H333"/>
    <mergeCell ref="L329:M329"/>
    <mergeCell ref="G334:H334"/>
    <mergeCell ref="G347:H347"/>
    <mergeCell ref="A228:B228"/>
    <mergeCell ref="L228:M228"/>
    <mergeCell ref="A229:B229"/>
    <mergeCell ref="L229:M229"/>
    <mergeCell ref="A230:B230"/>
    <mergeCell ref="A236:B236"/>
    <mergeCell ref="L230:M230"/>
    <mergeCell ref="A249:B249"/>
    <mergeCell ref="L249:M249"/>
    <mergeCell ref="A241:B241"/>
    <mergeCell ref="A244:B244"/>
    <mergeCell ref="L244:M244"/>
    <mergeCell ref="A245:B245"/>
    <mergeCell ref="L245:M245"/>
    <mergeCell ref="A246:B246"/>
    <mergeCell ref="L246:M246"/>
    <mergeCell ref="A247:B247"/>
    <mergeCell ref="L247:M247"/>
    <mergeCell ref="A248:B248"/>
    <mergeCell ref="L248:M248"/>
    <mergeCell ref="B363:H363"/>
    <mergeCell ref="G338:H338"/>
    <mergeCell ref="G331:H331"/>
    <mergeCell ref="A351:B351"/>
    <mergeCell ref="G351:H351"/>
    <mergeCell ref="A295:B295"/>
    <mergeCell ref="L295:M295"/>
    <mergeCell ref="A296:B296"/>
    <mergeCell ref="L296:M296"/>
    <mergeCell ref="A297:B297"/>
    <mergeCell ref="L297:M297"/>
    <mergeCell ref="A298:B298"/>
    <mergeCell ref="L298:M298"/>
    <mergeCell ref="A299:B299"/>
    <mergeCell ref="L299:M299"/>
    <mergeCell ref="L326:M326"/>
    <mergeCell ref="A333:B333"/>
    <mergeCell ref="A334:B334"/>
    <mergeCell ref="G335:H335"/>
    <mergeCell ref="L327:M327"/>
    <mergeCell ref="A328:B328"/>
    <mergeCell ref="G328:H328"/>
    <mergeCell ref="L328:M328"/>
    <mergeCell ref="G329:H329"/>
    <mergeCell ref="A52:B53"/>
    <mergeCell ref="C52:E52"/>
    <mergeCell ref="G52:H52"/>
    <mergeCell ref="C53:H53"/>
    <mergeCell ref="C37:H37"/>
    <mergeCell ref="B366:H366"/>
    <mergeCell ref="A300:B300"/>
    <mergeCell ref="L300:M300"/>
    <mergeCell ref="A301:H301"/>
    <mergeCell ref="A302:B302"/>
    <mergeCell ref="G302:H308"/>
    <mergeCell ref="L302:M302"/>
    <mergeCell ref="A303:B303"/>
    <mergeCell ref="L303:M303"/>
    <mergeCell ref="A304:B304"/>
    <mergeCell ref="L304:M304"/>
    <mergeCell ref="A305:B305"/>
    <mergeCell ref="L305:M305"/>
    <mergeCell ref="A306:B306"/>
    <mergeCell ref="L306:M306"/>
    <mergeCell ref="A307:B307"/>
    <mergeCell ref="L307:M307"/>
    <mergeCell ref="A308:B308"/>
    <mergeCell ref="L308:M30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110" max="7" man="1"/>
    <brk id="380" max="16383" man="1"/>
    <brk id="427" max="16383" man="1"/>
    <brk id="4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topLeftCell="A25"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2" t="s">
        <v>109</v>
      </c>
      <c r="C3" s="212"/>
      <c r="D3" s="212"/>
      <c r="E3" s="212"/>
      <c r="F3" s="212"/>
      <c r="G3" s="212"/>
      <c r="H3" s="212"/>
    </row>
    <row r="4" spans="1:9" x14ac:dyDescent="0.3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2025-06-21T09:31:14Z</cp:lastPrinted>
  <dcterms:created xsi:type="dcterms:W3CDTF">2019-07-16T09:29:46Z</dcterms:created>
  <dcterms:modified xsi:type="dcterms:W3CDTF">2025-08-14T06:49:36Z</dcterms:modified>
</cp:coreProperties>
</file>