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APF Dump\"/>
    </mc:Choice>
  </mc:AlternateContent>
  <bookViews>
    <workbookView xWindow="0" yWindow="0" windowWidth="20490" windowHeight="7020" tabRatio="854"/>
  </bookViews>
  <sheets>
    <sheet name="Report" sheetId="1" r:id="rId1"/>
    <sheet name="Cons" sheetId="6" r:id="rId2"/>
    <sheet name="C%" sheetId="5" r:id="rId3"/>
    <sheet name="Flat detail" sheetId="3" r:id="rId4"/>
    <sheet name="Note" sheetId="4" r:id="rId5"/>
  </sheets>
  <definedNames>
    <definedName name="_xlnm.Print_Area" localSheetId="0">Report!$A$1:$H$416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7" i="6" l="1"/>
  <c r="H81" i="1" s="1"/>
  <c r="Q8" i="6"/>
  <c r="H82" i="1" s="1"/>
  <c r="Q9" i="6"/>
  <c r="H83" i="1" s="1"/>
  <c r="Q10" i="6"/>
  <c r="H84" i="1" s="1"/>
  <c r="Q11" i="6"/>
  <c r="H85" i="1" s="1"/>
  <c r="Q12" i="6"/>
  <c r="H86" i="1" s="1"/>
  <c r="Q13" i="6"/>
  <c r="H87" i="1" s="1"/>
  <c r="Q14" i="6"/>
  <c r="H88" i="1" s="1"/>
  <c r="Q15" i="6"/>
  <c r="H89" i="1" s="1"/>
  <c r="Q16" i="6"/>
  <c r="H90" i="1" s="1"/>
  <c r="Q17" i="6"/>
  <c r="H91" i="1" s="1"/>
  <c r="Q18" i="6"/>
  <c r="H92" i="1" s="1"/>
  <c r="Q19" i="6"/>
  <c r="H93" i="1" s="1"/>
  <c r="Q20" i="6"/>
  <c r="H94" i="1" s="1"/>
  <c r="Q21" i="6"/>
  <c r="H95" i="1" s="1"/>
  <c r="Q22" i="6"/>
  <c r="H96" i="1" s="1"/>
  <c r="Q23" i="6"/>
  <c r="H97" i="1" s="1"/>
  <c r="Q24" i="6"/>
  <c r="H98" i="1" s="1"/>
  <c r="Q25" i="6"/>
  <c r="H99" i="1" s="1"/>
  <c r="Q26" i="6"/>
  <c r="H100" i="1" s="1"/>
  <c r="Q27" i="6"/>
  <c r="H101" i="1" s="1"/>
  <c r="Q28" i="6"/>
  <c r="H102" i="1" s="1"/>
  <c r="P7" i="6"/>
  <c r="R7" i="6" s="1"/>
  <c r="D81" i="1" s="1"/>
  <c r="P8" i="6"/>
  <c r="R8" i="6" s="1"/>
  <c r="D82" i="1" s="1"/>
  <c r="P9" i="6"/>
  <c r="G83" i="1" s="1"/>
  <c r="P10" i="6"/>
  <c r="G84" i="1" s="1"/>
  <c r="P11" i="6"/>
  <c r="G85" i="1" s="1"/>
  <c r="P12" i="6"/>
  <c r="R12" i="6" s="1"/>
  <c r="D86" i="1" s="1"/>
  <c r="P13" i="6"/>
  <c r="G87" i="1" s="1"/>
  <c r="P14" i="6"/>
  <c r="R14" i="6" s="1"/>
  <c r="D88" i="1" s="1"/>
  <c r="P15" i="6"/>
  <c r="R15" i="6" s="1"/>
  <c r="D89" i="1" s="1"/>
  <c r="P16" i="6"/>
  <c r="G90" i="1" s="1"/>
  <c r="P17" i="6"/>
  <c r="R17" i="6" s="1"/>
  <c r="D91" i="1" s="1"/>
  <c r="P18" i="6"/>
  <c r="G92" i="1" s="1"/>
  <c r="P19" i="6"/>
  <c r="G93" i="1" s="1"/>
  <c r="P20" i="6"/>
  <c r="R20" i="6" s="1"/>
  <c r="D94" i="1" s="1"/>
  <c r="P21" i="6"/>
  <c r="G95" i="1" s="1"/>
  <c r="P22" i="6"/>
  <c r="R22" i="6" s="1"/>
  <c r="D96" i="1" s="1"/>
  <c r="P23" i="6"/>
  <c r="G97" i="1" s="1"/>
  <c r="P24" i="6"/>
  <c r="R24" i="6" s="1"/>
  <c r="D98" i="1" s="1"/>
  <c r="P25" i="6"/>
  <c r="R25" i="6" s="1"/>
  <c r="D99" i="1" s="1"/>
  <c r="P26" i="6"/>
  <c r="G100" i="1" s="1"/>
  <c r="P27" i="6"/>
  <c r="R27" i="6" s="1"/>
  <c r="D101" i="1" s="1"/>
  <c r="P28" i="6"/>
  <c r="G102" i="1" s="1"/>
  <c r="P3" i="6"/>
  <c r="G77" i="1" s="1"/>
  <c r="Q3" i="6"/>
  <c r="H77" i="1" s="1"/>
  <c r="R3" i="6"/>
  <c r="D77" i="1" s="1"/>
  <c r="P4" i="6"/>
  <c r="R4" i="6" s="1"/>
  <c r="D78" i="1" s="1"/>
  <c r="Q4" i="6"/>
  <c r="H78" i="1" s="1"/>
  <c r="P5" i="6"/>
  <c r="G79" i="1" s="1"/>
  <c r="Q5" i="6"/>
  <c r="H79" i="1" s="1"/>
  <c r="P6" i="6"/>
  <c r="R6" i="6" s="1"/>
  <c r="D80" i="1" s="1"/>
  <c r="Q6" i="6"/>
  <c r="H80" i="1" s="1"/>
  <c r="Q2" i="6"/>
  <c r="H76" i="1" s="1"/>
  <c r="P2" i="6"/>
  <c r="R2" i="6" s="1"/>
  <c r="D76" i="1" s="1"/>
  <c r="R13" i="6" l="1"/>
  <c r="D87" i="1" s="1"/>
  <c r="R11" i="6"/>
  <c r="D85" i="1" s="1"/>
  <c r="R10" i="6"/>
  <c r="D84" i="1" s="1"/>
  <c r="G88" i="1"/>
  <c r="R16" i="6"/>
  <c r="D90" i="1" s="1"/>
  <c r="G89" i="1"/>
  <c r="G82" i="1"/>
  <c r="G91" i="1"/>
  <c r="R19" i="6"/>
  <c r="D93" i="1" s="1"/>
  <c r="R26" i="6"/>
  <c r="D100" i="1" s="1"/>
  <c r="G99" i="1"/>
  <c r="G101" i="1"/>
  <c r="R28" i="6"/>
  <c r="D102" i="1" s="1"/>
  <c r="R23" i="6"/>
  <c r="D97" i="1" s="1"/>
  <c r="G96" i="1"/>
  <c r="R21" i="6"/>
  <c r="D95" i="1" s="1"/>
  <c r="G94" i="1"/>
  <c r="G98" i="1"/>
  <c r="R18" i="6"/>
  <c r="D92" i="1" s="1"/>
  <c r="G86" i="1"/>
  <c r="R9" i="6"/>
  <c r="D83" i="1" s="1"/>
  <c r="G81" i="1"/>
  <c r="G80" i="1"/>
  <c r="R5" i="6"/>
  <c r="D79" i="1" s="1"/>
  <c r="G76" i="1"/>
  <c r="G78" i="1"/>
  <c r="E3" i="1"/>
  <c r="K12" i="5" l="1"/>
  <c r="K11" i="5"/>
  <c r="K10" i="5"/>
  <c r="K9" i="5"/>
  <c r="I2" i="5"/>
  <c r="E14" i="5" l="1"/>
  <c r="E12" i="5"/>
  <c r="E10" i="5"/>
  <c r="E8" i="5"/>
  <c r="K7" i="5"/>
  <c r="K1" i="5"/>
  <c r="K3" i="5" s="1"/>
  <c r="E13" i="5"/>
  <c r="E11" i="5"/>
  <c r="E9" i="5"/>
  <c r="E7" i="5"/>
  <c r="K5" i="5"/>
  <c r="K4" i="5"/>
  <c r="K6" i="5"/>
  <c r="D5" i="5" s="1"/>
  <c r="E5" i="5" s="1"/>
  <c r="K8" i="5" l="1"/>
  <c r="K13" i="5" l="1"/>
  <c r="K14" i="5" l="1"/>
  <c r="D6" i="5" s="1"/>
  <c r="K2" i="5" s="1"/>
  <c r="H5" i="5" l="1"/>
  <c r="F5" i="5"/>
  <c r="E6" i="5"/>
  <c r="J2" i="5" s="1"/>
  <c r="J3" i="5" s="1"/>
  <c r="J1" i="5" l="1"/>
  <c r="D3" i="5" s="1"/>
  <c r="D55" i="1" l="1"/>
  <c r="J317" i="1"/>
  <c r="J297" i="1"/>
  <c r="J280" i="1"/>
  <c r="J274" i="1"/>
  <c r="J267" i="1"/>
  <c r="J257" i="1"/>
  <c r="J246" i="1"/>
  <c r="J239" i="1"/>
  <c r="J227" i="1"/>
  <c r="J218" i="1"/>
  <c r="J210" i="1"/>
  <c r="J194" i="1"/>
  <c r="J173" i="1"/>
  <c r="J146" i="1"/>
  <c r="I254" i="1"/>
  <c r="I162" i="1"/>
  <c r="I139" i="1"/>
  <c r="D314" i="1" l="1"/>
  <c r="F314" i="1" s="1"/>
  <c r="D313" i="1"/>
  <c r="F313" i="1" s="1"/>
  <c r="D312" i="1"/>
  <c r="F312" i="1" s="1"/>
  <c r="D311" i="1"/>
  <c r="F311" i="1" s="1"/>
  <c r="D310" i="1"/>
  <c r="F310" i="1" s="1"/>
  <c r="D309" i="1"/>
  <c r="F309" i="1" s="1"/>
  <c r="D308" i="1"/>
  <c r="F308" i="1" s="1"/>
  <c r="D307" i="1"/>
  <c r="F307" i="1" s="1"/>
  <c r="D306" i="1"/>
  <c r="F306" i="1" s="1"/>
  <c r="D305" i="1"/>
  <c r="F305" i="1" s="1"/>
  <c r="D322" i="1"/>
  <c r="F322" i="1" s="1"/>
  <c r="D321" i="1"/>
  <c r="F321" i="1" s="1"/>
  <c r="D320" i="1"/>
  <c r="F320" i="1" s="1"/>
  <c r="D319" i="1"/>
  <c r="F319" i="1" s="1"/>
  <c r="D318" i="1"/>
  <c r="F318" i="1" s="1"/>
  <c r="D317" i="1"/>
  <c r="F317" i="1" s="1"/>
  <c r="G316" i="1"/>
  <c r="G317" i="1" s="1"/>
  <c r="G318" i="1" s="1"/>
  <c r="G319" i="1" s="1"/>
  <c r="G320" i="1" s="1"/>
  <c r="G321" i="1" s="1"/>
  <c r="G322" i="1" s="1"/>
  <c r="D316" i="1"/>
  <c r="F316" i="1" s="1"/>
  <c r="D300" i="1"/>
  <c r="F300" i="1" s="1"/>
  <c r="D301" i="1"/>
  <c r="F301" i="1" s="1"/>
  <c r="D298" i="1"/>
  <c r="F298" i="1" s="1"/>
  <c r="D297" i="1"/>
  <c r="F297" i="1" s="1"/>
  <c r="D296" i="1"/>
  <c r="F296" i="1" s="1"/>
  <c r="D295" i="1"/>
  <c r="F295" i="1" s="1"/>
  <c r="D293" i="1"/>
  <c r="F293" i="1" s="1"/>
  <c r="D292" i="1"/>
  <c r="F292" i="1" s="1"/>
  <c r="D289" i="1"/>
  <c r="F289" i="1" s="1"/>
  <c r="D288" i="1"/>
  <c r="F288" i="1" s="1"/>
  <c r="D299" i="1"/>
  <c r="F299" i="1" s="1"/>
  <c r="G295" i="1"/>
  <c r="G296" i="1" s="1"/>
  <c r="G297" i="1" s="1"/>
  <c r="G298" i="1" s="1"/>
  <c r="G299" i="1" s="1"/>
  <c r="G300" i="1" s="1"/>
  <c r="G301" i="1" s="1"/>
  <c r="D291" i="1"/>
  <c r="F291" i="1" s="1"/>
  <c r="D290" i="1"/>
  <c r="F290" i="1" s="1"/>
  <c r="D284" i="1"/>
  <c r="F284" i="1" s="1"/>
  <c r="D283" i="1"/>
  <c r="F283" i="1" s="1"/>
  <c r="D280" i="1"/>
  <c r="F280" i="1" s="1"/>
  <c r="D281" i="1"/>
  <c r="F281" i="1" s="1"/>
  <c r="D279" i="1"/>
  <c r="F279" i="1" s="1"/>
  <c r="D277" i="1"/>
  <c r="F277" i="1" s="1"/>
  <c r="D276" i="1"/>
  <c r="F276" i="1" s="1"/>
  <c r="D282" i="1"/>
  <c r="F282" i="1" s="1"/>
  <c r="G279" i="1"/>
  <c r="G280" i="1" s="1"/>
  <c r="G281" i="1" s="1"/>
  <c r="G282" i="1" s="1"/>
  <c r="G283" i="1" s="1"/>
  <c r="G284" i="1" s="1"/>
  <c r="D275" i="1"/>
  <c r="F275" i="1" s="1"/>
  <c r="D274" i="1"/>
  <c r="F274" i="1" s="1"/>
  <c r="D273" i="1"/>
  <c r="F273" i="1" s="1"/>
  <c r="D269" i="1"/>
  <c r="F269" i="1" s="1"/>
  <c r="D268" i="1"/>
  <c r="F268" i="1" s="1"/>
  <c r="D267" i="1"/>
  <c r="F267" i="1" s="1"/>
  <c r="D266" i="1"/>
  <c r="F266" i="1" s="1"/>
  <c r="D265" i="1"/>
  <c r="F265" i="1" s="1"/>
  <c r="D264" i="1"/>
  <c r="F264" i="1" s="1"/>
  <c r="D263" i="1"/>
  <c r="F263" i="1" s="1"/>
  <c r="D261" i="1"/>
  <c r="F261" i="1" s="1"/>
  <c r="D260" i="1"/>
  <c r="F260" i="1" s="1"/>
  <c r="D259" i="1"/>
  <c r="F259" i="1" s="1"/>
  <c r="D258" i="1"/>
  <c r="F258" i="1" s="1"/>
  <c r="D257" i="1"/>
  <c r="F257" i="1" s="1"/>
  <c r="D256" i="1"/>
  <c r="F256" i="1" s="1"/>
  <c r="D255" i="1"/>
  <c r="F255" i="1" s="1"/>
  <c r="D254" i="1"/>
  <c r="F254" i="1" s="1"/>
  <c r="D253" i="1"/>
  <c r="F253" i="1" s="1"/>
  <c r="D252" i="1"/>
  <c r="F252" i="1" s="1"/>
  <c r="G263" i="1"/>
  <c r="G264" i="1" s="1"/>
  <c r="G265" i="1" s="1"/>
  <c r="G266" i="1" s="1"/>
  <c r="G267" i="1" s="1"/>
  <c r="G268" i="1" s="1"/>
  <c r="G269" i="1" s="1"/>
  <c r="D248" i="1"/>
  <c r="F248" i="1" s="1"/>
  <c r="D247" i="1"/>
  <c r="F247" i="1" s="1"/>
  <c r="D246" i="1"/>
  <c r="F246" i="1" s="1"/>
  <c r="D245" i="1"/>
  <c r="F245" i="1" s="1"/>
  <c r="D244" i="1"/>
  <c r="F244" i="1" s="1"/>
  <c r="D243" i="1"/>
  <c r="F243" i="1" s="1"/>
  <c r="D241" i="1"/>
  <c r="F241" i="1" s="1"/>
  <c r="D240" i="1"/>
  <c r="F240" i="1" s="1"/>
  <c r="D239" i="1"/>
  <c r="F239" i="1" s="1"/>
  <c r="D238" i="1"/>
  <c r="F238" i="1" s="1"/>
  <c r="D237" i="1"/>
  <c r="F237" i="1" s="1"/>
  <c r="D236" i="1"/>
  <c r="F236" i="1" s="1"/>
  <c r="D235" i="1"/>
  <c r="F235" i="1" s="1"/>
  <c r="G243" i="1"/>
  <c r="G244" i="1" s="1"/>
  <c r="G245" i="1" s="1"/>
  <c r="G246" i="1" s="1"/>
  <c r="G247" i="1" s="1"/>
  <c r="G248" i="1" s="1"/>
  <c r="D231" i="1"/>
  <c r="F231" i="1" s="1"/>
  <c r="D230" i="1"/>
  <c r="F230" i="1" s="1"/>
  <c r="D229" i="1"/>
  <c r="F229" i="1" s="1"/>
  <c r="D228" i="1"/>
  <c r="F228" i="1" s="1"/>
  <c r="D227" i="1"/>
  <c r="F227" i="1" s="1"/>
  <c r="D226" i="1"/>
  <c r="F226" i="1" s="1"/>
  <c r="G225" i="1"/>
  <c r="G226" i="1" s="1"/>
  <c r="G227" i="1" s="1"/>
  <c r="G228" i="1" s="1"/>
  <c r="G229" i="1" s="1"/>
  <c r="G230" i="1" s="1"/>
  <c r="G231" i="1" s="1"/>
  <c r="D225" i="1"/>
  <c r="F225" i="1" s="1"/>
  <c r="D223" i="1"/>
  <c r="F223" i="1" s="1"/>
  <c r="D222" i="1"/>
  <c r="F222" i="1" s="1"/>
  <c r="D221" i="1"/>
  <c r="F221" i="1" s="1"/>
  <c r="D220" i="1"/>
  <c r="F220" i="1" s="1"/>
  <c r="D219" i="1"/>
  <c r="F219" i="1" s="1"/>
  <c r="D218" i="1"/>
  <c r="F218" i="1" s="1"/>
  <c r="D213" i="1"/>
  <c r="F213" i="1" s="1"/>
  <c r="D211" i="1"/>
  <c r="F211" i="1" s="1"/>
  <c r="D210" i="1"/>
  <c r="F210" i="1" s="1"/>
  <c r="D209" i="1"/>
  <c r="F209" i="1" s="1"/>
  <c r="D208" i="1"/>
  <c r="F208" i="1" s="1"/>
  <c r="D206" i="1"/>
  <c r="F206" i="1" s="1"/>
  <c r="D204" i="1"/>
  <c r="F204" i="1" s="1"/>
  <c r="D203" i="1"/>
  <c r="F203" i="1" s="1"/>
  <c r="D202" i="1"/>
  <c r="F202" i="1" s="1"/>
  <c r="D205" i="1"/>
  <c r="F205" i="1" s="1"/>
  <c r="D212" i="1"/>
  <c r="F212" i="1" s="1"/>
  <c r="G208" i="1"/>
  <c r="G209" i="1" s="1"/>
  <c r="G210" i="1" s="1"/>
  <c r="G211" i="1" s="1"/>
  <c r="G212" i="1" s="1"/>
  <c r="G213" i="1" s="1"/>
  <c r="D198" i="1"/>
  <c r="F198" i="1" s="1"/>
  <c r="D197" i="1"/>
  <c r="F197" i="1" s="1"/>
  <c r="D195" i="1"/>
  <c r="F195" i="1" s="1"/>
  <c r="D194" i="1"/>
  <c r="F194" i="1" s="1"/>
  <c r="D193" i="1"/>
  <c r="F193" i="1" s="1"/>
  <c r="D192" i="1"/>
  <c r="F192" i="1" s="1"/>
  <c r="D189" i="1"/>
  <c r="F189" i="1" s="1"/>
  <c r="D188" i="1"/>
  <c r="F188" i="1" s="1"/>
  <c r="D187" i="1"/>
  <c r="F187" i="1" s="1"/>
  <c r="D186" i="1"/>
  <c r="F186" i="1" s="1"/>
  <c r="D185" i="1"/>
  <c r="F185" i="1" s="1"/>
  <c r="D184" i="1"/>
  <c r="F184" i="1" s="1"/>
  <c r="D183" i="1"/>
  <c r="F183" i="1" s="1"/>
  <c r="D182" i="1"/>
  <c r="F182" i="1" s="1"/>
  <c r="D181" i="1"/>
  <c r="F181" i="1" s="1"/>
  <c r="D196" i="1"/>
  <c r="F196" i="1" s="1"/>
  <c r="G192" i="1"/>
  <c r="G193" i="1" s="1"/>
  <c r="G194" i="1" s="1"/>
  <c r="G195" i="1" s="1"/>
  <c r="G196" i="1" s="1"/>
  <c r="G197" i="1" s="1"/>
  <c r="G198" i="1" s="1"/>
  <c r="D190" i="1"/>
  <c r="F190" i="1" s="1"/>
  <c r="D177" i="1"/>
  <c r="F177" i="1" s="1"/>
  <c r="D176" i="1"/>
  <c r="F176" i="1" s="1"/>
  <c r="D175" i="1"/>
  <c r="F175" i="1" s="1"/>
  <c r="D174" i="1"/>
  <c r="F174" i="1" s="1"/>
  <c r="D173" i="1"/>
  <c r="F173" i="1" s="1"/>
  <c r="D172" i="1"/>
  <c r="F172" i="1" s="1"/>
  <c r="D170" i="1"/>
  <c r="F170" i="1" s="1"/>
  <c r="G172" i="1"/>
  <c r="G173" i="1" s="1"/>
  <c r="G174" i="1" s="1"/>
  <c r="G175" i="1" s="1"/>
  <c r="G176" i="1" s="1"/>
  <c r="G177" i="1" s="1"/>
  <c r="D169" i="1"/>
  <c r="F169" i="1" s="1"/>
  <c r="D168" i="1"/>
  <c r="F168" i="1" s="1"/>
  <c r="D167" i="1"/>
  <c r="F167" i="1" s="1"/>
  <c r="D166" i="1"/>
  <c r="F166" i="1" s="1"/>
  <c r="D165" i="1"/>
  <c r="F165" i="1" s="1"/>
  <c r="D164" i="1"/>
  <c r="F164" i="1" s="1"/>
  <c r="D163" i="1"/>
  <c r="F163" i="1" s="1"/>
  <c r="D162" i="1"/>
  <c r="F162" i="1" s="1"/>
  <c r="D161" i="1"/>
  <c r="F161" i="1" s="1"/>
  <c r="D157" i="1"/>
  <c r="F157" i="1" s="1"/>
  <c r="D156" i="1"/>
  <c r="F156" i="1" s="1"/>
  <c r="J155" i="1" s="1"/>
  <c r="D155" i="1"/>
  <c r="F155" i="1" s="1"/>
  <c r="D154" i="1"/>
  <c r="F154" i="1" s="1"/>
  <c r="D153" i="1"/>
  <c r="F153" i="1" s="1"/>
  <c r="G150" i="1"/>
  <c r="G151" i="1" s="1"/>
  <c r="G152" i="1" s="1"/>
  <c r="G153" i="1" s="1"/>
  <c r="D152" i="1"/>
  <c r="F152" i="1" s="1"/>
  <c r="D151" i="1"/>
  <c r="F151" i="1" s="1"/>
  <c r="D150" i="1"/>
  <c r="F150" i="1" s="1"/>
  <c r="D148" i="1"/>
  <c r="F148" i="1" s="1"/>
  <c r="D147" i="1"/>
  <c r="F147" i="1" s="1"/>
  <c r="D146" i="1"/>
  <c r="F146" i="1" s="1"/>
  <c r="D145" i="1"/>
  <c r="F145" i="1" s="1"/>
  <c r="D144" i="1"/>
  <c r="F144" i="1" s="1"/>
  <c r="D143" i="1"/>
  <c r="F143" i="1" s="1"/>
  <c r="D142" i="1"/>
  <c r="F142" i="1" s="1"/>
  <c r="D141" i="1"/>
  <c r="F141" i="1" s="1"/>
  <c r="D140" i="1"/>
  <c r="F140" i="1" s="1"/>
  <c r="D139" i="1"/>
  <c r="F139" i="1" s="1"/>
  <c r="D138" i="1"/>
  <c r="F138" i="1" s="1"/>
  <c r="D137" i="1"/>
  <c r="F137" i="1" s="1"/>
  <c r="D133" i="1"/>
  <c r="F133" i="1" s="1"/>
  <c r="D132" i="1"/>
  <c r="F132" i="1" s="1"/>
  <c r="D131" i="1"/>
  <c r="F131" i="1" s="1"/>
  <c r="D130" i="1"/>
  <c r="F130" i="1" s="1"/>
  <c r="D129" i="1"/>
  <c r="F129" i="1" s="1"/>
  <c r="D128" i="1"/>
  <c r="F128" i="1" s="1"/>
  <c r="J151" i="1" l="1"/>
  <c r="I151" i="1"/>
  <c r="I154" i="1"/>
  <c r="J154" i="1"/>
  <c r="I149" i="1"/>
  <c r="J149" i="1"/>
  <c r="J152" i="1"/>
  <c r="I152" i="1"/>
  <c r="I150" i="1"/>
  <c r="J150" i="1"/>
  <c r="J153" i="1"/>
  <c r="I153" i="1"/>
  <c r="G154" i="1"/>
  <c r="G155" i="1" s="1"/>
  <c r="G156" i="1" s="1"/>
  <c r="G157" i="1" s="1"/>
  <c r="I60" i="1"/>
  <c r="G65" i="1"/>
  <c r="C14" i="1"/>
  <c r="I322" i="1" l="1"/>
  <c r="J322" i="1"/>
  <c r="C63" i="1"/>
  <c r="E65" i="1" s="1"/>
  <c r="D66" i="1" l="1"/>
  <c r="D71" i="1"/>
  <c r="D70" i="1"/>
  <c r="D69" i="1"/>
  <c r="D68" i="1"/>
  <c r="D67" i="1"/>
  <c r="D65" i="1"/>
  <c r="E7" i="1" l="1"/>
  <c r="E41" i="1" l="1"/>
  <c r="D337" i="1" l="1"/>
  <c r="F115" i="1"/>
  <c r="G47" i="1"/>
  <c r="C47" i="1"/>
  <c r="E42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<sst xmlns="http://schemas.openxmlformats.org/spreadsheetml/2006/main" count="759" uniqueCount="318">
  <si>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</si>
  <si>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</si>
  <si>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</si>
  <si>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</si>
  <si>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</si>
  <si>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</si>
  <si>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/ No of the Building</t>
  </si>
  <si>
    <t>Docouments Provided</t>
  </si>
  <si>
    <t xml:space="preserve">Project location details       </t>
  </si>
  <si>
    <t>Road</t>
  </si>
  <si>
    <t>District</t>
  </si>
  <si>
    <t>City</t>
  </si>
  <si>
    <t>Pin Code</t>
  </si>
  <si>
    <t>Near by Landmark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</si>
  <si>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</si>
  <si>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</si>
  <si>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</si>
  <si>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</si>
  <si>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</si>
  <si>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</si>
  <si>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</si>
  <si>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</si>
  <si>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</si>
  <si>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</si>
  <si>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</si>
  <si>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</si>
  <si>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</si>
  <si>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</si>
  <si>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</si>
  <si>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</si>
  <si>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</si>
  <si>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</si>
  <si>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</si>
  <si>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</si>
  <si>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</si>
  <si>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</si>
  <si>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</si>
  <si>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</si>
  <si>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</si>
  <si>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</si>
  <si>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</si>
  <si>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</si>
  <si>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</si>
  <si>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</si>
  <si>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</si>
  <si>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</si>
  <si>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</si>
  <si>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</si>
  <si>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</si>
  <si>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</si>
  <si>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</si>
  <si>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</si>
  <si>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</si>
  <si>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Brick</t>
  </si>
  <si>
    <t>Plaster</t>
  </si>
  <si>
    <t>Flooring</t>
  </si>
  <si>
    <t>Painting &amp; Wooden Work</t>
  </si>
  <si>
    <t>Finishing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</si>
  <si>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</si>
  <si>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</si>
  <si>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</si>
  <si>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</si>
  <si>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</si>
  <si>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</si>
  <si>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</si>
  <si>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</si>
  <si>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</si>
  <si>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</si>
  <si>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</si>
  <si>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</si>
  <si>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</si>
  <si>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</si>
  <si>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Saleable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</si>
  <si>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</si>
  <si>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</si>
  <si>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</si>
  <si>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</si>
  <si>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</si>
  <si>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</si>
  <si>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</si>
  <si>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</si>
  <si>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</si>
  <si>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</si>
  <si>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</si>
  <si>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</si>
  <si>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</si>
  <si>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</si>
  <si>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</si>
  <si>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</si>
  <si>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</si>
  <si>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</si>
  <si>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</si>
  <si>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</si>
  <si>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</si>
  <si>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</si>
  <si>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</si>
  <si>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</si>
  <si>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</si>
  <si>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</si>
  <si>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</si>
  <si>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</si>
  <si>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</si>
  <si>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</si>
  <si>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</si>
  <si>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</si>
  <si>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</si>
  <si>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</si>
  <si>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Basement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</si>
  <si>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</si>
  <si>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</si>
  <si>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</si>
  <si>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</si>
  <si>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</si>
  <si>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</si>
  <si>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</si>
  <si>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</si>
  <si>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Flat/Shop No.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</si>
  <si>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</si>
  <si>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</si>
  <si>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</si>
  <si>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</si>
  <si>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Residential + Commercial</t>
  </si>
  <si>
    <t>Recommended rate of the shop Per Sq. Ft. ( on Saleable area)</t>
  </si>
  <si>
    <t>Floors</t>
  </si>
  <si>
    <t>Type of Structure</t>
  </si>
  <si>
    <t>RCC Frame Structure</t>
  </si>
  <si>
    <t>Completed Slab/Floor</t>
  </si>
  <si>
    <t>Complition %</t>
  </si>
  <si>
    <t>Disbursement %</t>
  </si>
  <si>
    <t>Progress %</t>
  </si>
  <si>
    <t xml:space="preserve">Material laying at Site: </t>
  </si>
  <si>
    <t>Projected life of the structure</t>
  </si>
  <si>
    <t>60 Years After Completion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</si>
  <si>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</si>
  <si>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</si>
  <si>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</si>
  <si>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</si>
  <si>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</si>
  <si>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</si>
  <si>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</si>
  <si>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r>
      <t xml:space="preserve">Construction details: </t>
    </r>
    <r>
      <rPr>
        <b/>
        <sz val="12"/>
        <color rgb="FFFF0000"/>
        <rFont val="Times New Roman"/>
        <family val="1"/>
      </rPr>
      <t>Building No.1 = Gr + 7th Floor</t>
    </r>
  </si>
  <si>
    <t>Development Charges</t>
  </si>
  <si>
    <t>Society Formation Charges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</si>
  <si>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</si>
  <si>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</si>
  <si>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</si>
  <si>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</si>
  <si>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</si>
  <si>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</si>
  <si>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RCC Slab</t>
  </si>
  <si>
    <t>All work Completed. Part OC Received.</t>
  </si>
  <si>
    <t>All work Completed. Wait For OC.</t>
  </si>
  <si>
    <t>All work Completed. OC Received.</t>
  </si>
  <si>
    <t>NA
Approved upto : NA</t>
  </si>
  <si>
    <t>Report By :</t>
  </si>
  <si>
    <t>Axis Goregaon</t>
  </si>
  <si>
    <t>M/s. Veena Developers</t>
  </si>
  <si>
    <t>Veena Samrajya</t>
  </si>
  <si>
    <t>Middle Class</t>
  </si>
  <si>
    <t>Developing</t>
  </si>
  <si>
    <t>G No</t>
  </si>
  <si>
    <t>Mahim</t>
  </si>
  <si>
    <t>Chintupada Road</t>
  </si>
  <si>
    <t>Palghar West</t>
  </si>
  <si>
    <t>Palghar</t>
  </si>
  <si>
    <t>HDIL Paradise City</t>
  </si>
  <si>
    <t>Sector - VIII</t>
  </si>
  <si>
    <t>Building No.1 (Type M)</t>
  </si>
  <si>
    <t>Ground Floor only (Shop Line)</t>
  </si>
  <si>
    <t>20/01/2017.</t>
  </si>
  <si>
    <t>SD/BP/MAHIM/PALGHAR/1224</t>
  </si>
  <si>
    <t>14/10/2016.</t>
  </si>
  <si>
    <t>Shop</t>
  </si>
  <si>
    <t>Ground Floor</t>
  </si>
  <si>
    <t>Ground Floor for Parking, Residential &amp; Commercial</t>
  </si>
  <si>
    <t>1BHK</t>
  </si>
  <si>
    <t>1st to 8th Floor</t>
  </si>
  <si>
    <t>1RK</t>
  </si>
  <si>
    <t>Building No.3 - B Wing (Type B10)</t>
  </si>
  <si>
    <t>Building No.3 - C Wing (Type K1)</t>
  </si>
  <si>
    <t>Parking</t>
  </si>
  <si>
    <t>Building No.4 - A Wing (Type J2)
Building No.5 - F Wing (Type J2)</t>
  </si>
  <si>
    <t>Building No.4 - E Wing (Type B3)
Building No.5 - B Wing (Type B3)</t>
  </si>
  <si>
    <t>Building No.4 - C Wing (Type D1)
Building No.5 - D Wing (Type D1)</t>
  </si>
  <si>
    <t>Building No.6 - A Wing (Type B1)</t>
  </si>
  <si>
    <t>Building No.6 - B Wing (Type B2)</t>
  </si>
  <si>
    <t>Building No.1 - Shopline
Building No.1 - A, B, C, D, E Wings
Building No.2 - A, B, C Wings
Building No.3 - A, B, C Wings
Building No.4 - A, B, C, D, E, F Wings
Building No.5 - A, B, C, D, E, F Wings
Building No.6 - A, B, C, D Wings</t>
  </si>
  <si>
    <t>Approved Plans, CC</t>
  </si>
  <si>
    <t>Veena Samrajya-Sector-VIII - P99000021726
(27 Wings) - A to Z, ZA Wings</t>
  </si>
  <si>
    <t>Shri Akramdham Three Temple</t>
  </si>
  <si>
    <t>Viral Industrial Estate</t>
  </si>
  <si>
    <t>PM Electro Auto Pvt Ltd.</t>
  </si>
  <si>
    <t>3KM from Palghar Railway Station</t>
  </si>
  <si>
    <t>Cement, Aggregate, Steel, etc</t>
  </si>
  <si>
    <t>MHASUL/KS-1/T-1/NAP/SR-332/2015</t>
  </si>
  <si>
    <t>E</t>
  </si>
  <si>
    <t>F</t>
  </si>
  <si>
    <t>H</t>
  </si>
  <si>
    <t>R</t>
  </si>
  <si>
    <t>S</t>
  </si>
  <si>
    <t>T</t>
  </si>
  <si>
    <t>U</t>
  </si>
  <si>
    <t>V</t>
  </si>
  <si>
    <t>ZA</t>
  </si>
  <si>
    <t>Z</t>
  </si>
  <si>
    <t>X</t>
  </si>
  <si>
    <t>Y</t>
  </si>
  <si>
    <t>Construction Details :</t>
  </si>
  <si>
    <r>
      <t xml:space="preserve">Wings
</t>
    </r>
    <r>
      <rPr>
        <b/>
        <sz val="10"/>
        <color theme="1"/>
        <rFont val="Times New Roman"/>
        <family val="1"/>
      </rPr>
      <t>(Approved Plan)</t>
    </r>
  </si>
  <si>
    <t>Wings
(RERA)</t>
  </si>
  <si>
    <t>Stage</t>
  </si>
  <si>
    <t>B</t>
  </si>
  <si>
    <t>C</t>
  </si>
  <si>
    <t>D</t>
  </si>
  <si>
    <t>G</t>
  </si>
  <si>
    <t>I</t>
  </si>
  <si>
    <t>J</t>
  </si>
  <si>
    <t>K</t>
  </si>
  <si>
    <t>M</t>
  </si>
  <si>
    <t>N</t>
  </si>
  <si>
    <t>O</t>
  </si>
  <si>
    <t>P</t>
  </si>
  <si>
    <t>Q</t>
  </si>
  <si>
    <t>Wheather the construction is as per approved Building plan : Under Construction</t>
  </si>
  <si>
    <t>Flats - 1586, Shop - 159</t>
  </si>
  <si>
    <t>Building No.1 - A Wing (Type A2)
Building No.2 - B Wing (Type A2)
Building No.2 - C Wing (Type A2)
Building No.3 - A Wing (Type A2)
Building No.4 - F Wing (Type A2)
Building No.5 - A Wing (Type A2)
Building No.6 - C Wing (Type A2)
Building No.6 - D Wing (Type A2)</t>
  </si>
  <si>
    <t>Building No.1 - B Wing (Type D2)
Building No.1 - C Wing (Type D2)
Building No.1 - D Wing (Type D2)
Building No.1 - E Wing (Type D2)
Building No.2 - A Wing (Type D2)</t>
  </si>
  <si>
    <t>B Wing
C Wing
D Wing
E Wing
F Wing</t>
  </si>
  <si>
    <t>J Wing</t>
  </si>
  <si>
    <t>K Wing</t>
  </si>
  <si>
    <t>Building No.4 - B Wing (Type B7)
Building No.4 - D Wing (Type B7)
Building No.5 - C Wing (Type B7)
Building No.5 - E Wing (Type B7)</t>
  </si>
  <si>
    <t>X Wing</t>
  </si>
  <si>
    <t>100000/-</t>
  </si>
  <si>
    <t>22/03/2021</t>
  </si>
  <si>
    <t>Pratiksha</t>
  </si>
  <si>
    <t>L Wing
T Wing</t>
  </si>
  <si>
    <t>P Wing
V Wing</t>
  </si>
  <si>
    <t>O Wing
Q Wing
U Wing
W Wing</t>
  </si>
  <si>
    <t>N Wing
R Wing</t>
  </si>
  <si>
    <t>ZA Wing</t>
  </si>
  <si>
    <t>A Wing
G Wing
H Wing
I Wing
M Wing
S Wing
Y Wing
Z Wing</t>
  </si>
  <si>
    <t>6 - A2</t>
  </si>
  <si>
    <t>6 - B2</t>
  </si>
  <si>
    <t>6 - B1</t>
  </si>
  <si>
    <t>5 - J2</t>
  </si>
  <si>
    <t>5 - B7</t>
  </si>
  <si>
    <t>5 - D1</t>
  </si>
  <si>
    <t>5 - B3</t>
  </si>
  <si>
    <t>5 - A2</t>
  </si>
  <si>
    <t>4 - A2</t>
  </si>
  <si>
    <t>4 - B3</t>
  </si>
  <si>
    <t>4 - B7</t>
  </si>
  <si>
    <t>4- D1</t>
  </si>
  <si>
    <t>4 - J2</t>
  </si>
  <si>
    <t>3 - K1</t>
  </si>
  <si>
    <t>1 - A2</t>
  </si>
  <si>
    <t>1 - D2</t>
  </si>
  <si>
    <t>2 - D2</t>
  </si>
  <si>
    <t>2 - A2</t>
  </si>
  <si>
    <t>3 - A2</t>
  </si>
  <si>
    <t>3 - B10</t>
  </si>
  <si>
    <t>1 - M</t>
  </si>
  <si>
    <t>-</t>
  </si>
  <si>
    <t>Not Yet Started</t>
  </si>
  <si>
    <t>Building - Type No.</t>
  </si>
  <si>
    <t>35,000/-</t>
  </si>
  <si>
    <t>Advance Maintenance Charges for 24 months</t>
  </si>
  <si>
    <t>5,600/-</t>
  </si>
  <si>
    <t>Deposit at Electrical substation</t>
  </si>
  <si>
    <t>9,500/-</t>
  </si>
  <si>
    <t>Electric &amp; Water Charges</t>
  </si>
  <si>
    <t>Building No.1 - Shopline = Ground Floor
Building No.1 to 6 - Gr + 1st to 8th Floor</t>
  </si>
  <si>
    <t>Valid Up to: Building No.1 - Shopline = Ground Floor
Building No.1 - A, B, C, D, E Wings = Gr + 1st to 8th Floor
Building No.2 - A, B, C Wings = Gr + 1st to 8th Floor
Building No.3 - A, B, C Wings = Gr + 1st to 8th Floor
Building No.4 - A, B, C, D, E, F Wings = Gr + 1st to 8th Floor
Building No.5 - A, B, C, D, E, F Wings = Gr + 1st to 8th Floor
Building No.6 - A, B, C, D Wings = Gr + 1st to 8th Floor</t>
  </si>
  <si>
    <t>30,000/-</t>
  </si>
  <si>
    <t>28 Wings</t>
  </si>
  <si>
    <t>Construction details:</t>
  </si>
  <si>
    <t>Slab/Floor</t>
  </si>
  <si>
    <t>Piling Work in process</t>
  </si>
  <si>
    <t>Excavation</t>
  </si>
  <si>
    <t>RCC (Including podiums)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</si>
  <si>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</si>
  <si>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</si>
  <si>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</si>
  <si>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</si>
  <si>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</si>
  <si>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</si>
  <si>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</si>
  <si>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</si>
  <si>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</si>
  <si>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</si>
  <si>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</si>
  <si>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</si>
  <si>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</si>
  <si>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>Devendra Jadhav - 82002557561</t>
  </si>
  <si>
    <t xml:space="preserve"> Building No.  = G + 8th Floor</t>
  </si>
  <si>
    <t>Latitude, Longitude</t>
  </si>
  <si>
    <t>19.674761,72.76679</t>
  </si>
  <si>
    <t>Location Link</t>
  </si>
  <si>
    <t>https://goo.gl/maps/wzHuguxrpGM57Tzk9</t>
  </si>
  <si>
    <t xml:space="preserve"> </t>
  </si>
  <si>
    <t>Office No. 1031, Wing J, Akshar Business Park, Plot No. 03 Sector 25, Near APMC Market, Vashi, Navi Mumbai, Maharashtra 400703 TEL: 022-46090378/79/80                                                                                                                                                    E mail : vsjcapf@gmail.com. Web site : www.vsjadon.com</t>
  </si>
  <si>
    <t>RCC</t>
  </si>
  <si>
    <t>Brick work</t>
  </si>
  <si>
    <t>Ext. Plaster</t>
  </si>
  <si>
    <t>Painting</t>
  </si>
  <si>
    <t>Building No.</t>
  </si>
  <si>
    <t>Wing</t>
  </si>
  <si>
    <t>G+8</t>
  </si>
  <si>
    <t>As per builder</t>
  </si>
  <si>
    <t>As per RERA - 31/08/2025</t>
  </si>
  <si>
    <t>Site Meet Contact Details ( Name &amp; Contact No.)</t>
  </si>
  <si>
    <t>Contact Details ( Name &amp; Contact No.)</t>
  </si>
  <si>
    <t>RERA Name No.</t>
  </si>
  <si>
    <t>Pranita Mhatre</t>
  </si>
  <si>
    <t>Yadnyesh Patil</t>
  </si>
  <si>
    <t>Name of the Project (As per Builder)</t>
  </si>
  <si>
    <t>Internal visit not allowed</t>
  </si>
  <si>
    <t xml:space="preserve">1. Bldg No.1 (Shopline) = Work not yet started.
   Building No.1 (Wing A to E), Building No. 2 (Wing F, G, H) &amp; Building No. 3 (Wing I, J, K), 
   Building No. 4 (Wing L to Q) = Work same as visit. (22/06/2021)
   Building No. 5 (Wing R to V)  = All work completed. Please provide OC.
   Building No. 6 (Wing X to Z &amp; ZA) = Lift &amp; finishing work is pending.
2. We considered  Saleable area  as per our calculation.
3. We considered Carpet area as per Approved Plan.
4. We considered Gross carpet area = Net carpet + Enclose balcony + D.B Area + F.B Area.
5. We have considered rate by verifying it from market inquire.
6. Car parking is subjected to authentic documentation.
7. Since the project has received CC on 20/01/2017, But construction work of Bldg No.1 (Shopline) is not yet started.
7. On Site, we meet Mr.Sandeep - 9320699929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</si>
</sst>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Calibri"/>
      <family val="2"/>
    </font>
    <font>
      <b/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12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1" fillId="0" borderId="0"/>
    <xf numFmtId="9" fontId="18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253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 applyAlignme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0" fillId="0" borderId="1" xfId="0" applyBorder="1"/>
    <xf numFmtId="0" fontId="6" fillId="0" borderId="0" xfId="1" applyFont="1"/>
    <xf numFmtId="0" fontId="5" fillId="0" borderId="0" xfId="2" applyFont="1"/>
    <xf numFmtId="0" fontId="6" fillId="0" borderId="0" xfId="0" applyFont="1"/>
    <xf numFmtId="0" fontId="11" fillId="0" borderId="0" xfId="1" applyFont="1"/>
    <xf numFmtId="0" fontId="14" fillId="0" borderId="0" xfId="1" applyFont="1"/>
    <xf numFmtId="0" fontId="15" fillId="0" borderId="0" xfId="1" applyFont="1"/>
    <xf numFmtId="0" fontId="11" fillId="2" borderId="1" xfId="1" applyFont="1" applyFill="1" applyBorder="1" applyAlignment="1" applyProtection="1">
      <alignment vertical="top"/>
      <protection locked="0"/>
    </xf>
    <xf numFmtId="0" fontId="14" fillId="0" borderId="1" xfId="1" applyFont="1" applyFill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wrapText="1"/>
      <protection locked="0"/>
    </xf>
    <xf numFmtId="1" fontId="14" fillId="0" borderId="1" xfId="1" applyNumberFormat="1" applyFont="1" applyBorder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1" fontId="3" fillId="0" borderId="1" xfId="1" applyNumberFormat="1" applyFont="1" applyFill="1" applyBorder="1" applyAlignment="1" applyProtection="1">
      <alignment horizontal="center" vertical="top" wrapText="1"/>
      <protection locked="0"/>
    </xf>
    <xf numFmtId="0" fontId="7" fillId="0" borderId="0" xfId="1" applyFont="1" applyBorder="1" applyAlignment="1" applyProtection="1">
      <alignment vertical="top"/>
      <protection locked="0"/>
    </xf>
    <xf numFmtId="0" fontId="7" fillId="0" borderId="0" xfId="1" applyFont="1" applyBorder="1" applyAlignment="1" applyProtection="1">
      <alignment vertical="top" wrapText="1"/>
      <protection locked="0"/>
    </xf>
    <xf numFmtId="0" fontId="6" fillId="0" borderId="0" xfId="1" applyFont="1" applyProtection="1">
      <protection locked="0"/>
    </xf>
    <xf numFmtId="0" fontId="9" fillId="0" borderId="0" xfId="1" applyFont="1" applyProtection="1">
      <protection locked="0"/>
    </xf>
    <xf numFmtId="0" fontId="6" fillId="0" borderId="0" xfId="1" applyFont="1" applyProtection="1">
      <protection hidden="1"/>
    </xf>
    <xf numFmtId="1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1" applyNumberFormat="1" applyFont="1" applyFill="1" applyBorder="1" applyAlignment="1" applyProtection="1">
      <alignment horizontal="center" vertical="top" wrapText="1"/>
      <protection locked="0"/>
    </xf>
    <xf numFmtId="0" fontId="6" fillId="0" borderId="1" xfId="1" applyFont="1" applyFill="1" applyBorder="1" applyAlignment="1" applyProtection="1">
      <alignment horizontal="center" vertical="top" wrapText="1"/>
      <protection locked="0"/>
    </xf>
    <xf numFmtId="0" fontId="11" fillId="0" borderId="1" xfId="1" applyFont="1" applyFill="1" applyBorder="1" applyAlignment="1" applyProtection="1">
      <alignment horizontal="center" vertical="top"/>
      <protection locked="0"/>
    </xf>
    <xf numFmtId="9" fontId="6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Font="1" applyFill="1" applyBorder="1" applyAlignment="1" applyProtection="1">
      <alignment horizontal="center" vertical="top"/>
      <protection locked="0"/>
    </xf>
    <xf numFmtId="1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7" xfId="1" applyFont="1" applyFill="1" applyBorder="1" applyAlignment="1" applyProtection="1">
      <alignment horizontal="center" vertical="top"/>
      <protection locked="0"/>
    </xf>
    <xf numFmtId="0" fontId="14" fillId="0" borderId="8" xfId="1" applyFont="1" applyFill="1" applyBorder="1" applyAlignment="1" applyProtection="1">
      <alignment horizontal="center" vertical="top"/>
      <protection locked="0"/>
    </xf>
    <xf numFmtId="0" fontId="14" fillId="0" borderId="10" xfId="1" applyFont="1" applyBorder="1" applyAlignment="1" applyProtection="1">
      <alignment horizontal="center" wrapText="1"/>
      <protection locked="0"/>
    </xf>
    <xf numFmtId="9" fontId="6" fillId="2" borderId="10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4" xfId="1" applyFont="1" applyFill="1" applyBorder="1" applyProtection="1">
      <protection hidden="1"/>
    </xf>
    <xf numFmtId="0" fontId="6" fillId="0" borderId="15" xfId="1" applyFont="1" applyBorder="1" applyProtection="1">
      <protection hidden="1"/>
    </xf>
    <xf numFmtId="0" fontId="6" fillId="0" borderId="16" xfId="1" applyFont="1" applyBorder="1" applyProtection="1">
      <protection hidden="1"/>
    </xf>
    <xf numFmtId="0" fontId="6" fillId="0" borderId="17" xfId="1" applyFont="1" applyFill="1" applyBorder="1" applyProtection="1">
      <protection hidden="1"/>
    </xf>
    <xf numFmtId="0" fontId="6" fillId="0" borderId="0" xfId="1" applyFont="1" applyBorder="1" applyProtection="1">
      <protection hidden="1"/>
    </xf>
    <xf numFmtId="0" fontId="6" fillId="0" borderId="18" xfId="1" applyFont="1" applyBorder="1" applyProtection="1">
      <protection hidden="1"/>
    </xf>
    <xf numFmtId="0" fontId="6" fillId="0" borderId="0" xfId="1" applyFont="1" applyBorder="1"/>
    <xf numFmtId="0" fontId="6" fillId="0" borderId="18" xfId="1" applyFont="1" applyBorder="1"/>
    <xf numFmtId="0" fontId="6" fillId="0" borderId="17" xfId="1" applyFont="1" applyBorder="1"/>
    <xf numFmtId="0" fontId="17" fillId="0" borderId="17" xfId="0" applyFont="1" applyFill="1" applyBorder="1" applyProtection="1">
      <protection hidden="1"/>
    </xf>
    <xf numFmtId="9" fontId="17" fillId="0" borderId="0" xfId="0" applyNumberFormat="1" applyFont="1" applyBorder="1" applyProtection="1">
      <protection hidden="1"/>
    </xf>
    <xf numFmtId="9" fontId="17" fillId="0" borderId="18" xfId="0" applyNumberFormat="1" applyFont="1" applyBorder="1" applyProtection="1">
      <protection hidden="1"/>
    </xf>
    <xf numFmtId="0" fontId="17" fillId="0" borderId="19" xfId="0" applyFont="1" applyFill="1" applyBorder="1" applyProtection="1">
      <protection hidden="1"/>
    </xf>
    <xf numFmtId="9" fontId="17" fillId="0" borderId="20" xfId="0" applyNumberFormat="1" applyFont="1" applyBorder="1" applyProtection="1">
      <protection hidden="1"/>
    </xf>
    <xf numFmtId="9" fontId="17" fillId="0" borderId="21" xfId="0" applyNumberFormat="1" applyFont="1" applyBorder="1" applyProtection="1">
      <protection hidden="1"/>
    </xf>
    <xf numFmtId="0" fontId="11" fillId="2" borderId="1" xfId="1" applyFont="1" applyFill="1" applyBorder="1" applyAlignment="1" applyProtection="1">
      <alignment horizontal="left" vertical="top"/>
      <protection locked="0"/>
    </xf>
    <xf numFmtId="1" fontId="5" fillId="0" borderId="12" xfId="1" applyNumberFormat="1" applyFont="1" applyFill="1" applyBorder="1" applyAlignment="1" applyProtection="1">
      <alignment horizontal="center" vertical="center" wrapText="1"/>
      <protection locked="0"/>
    </xf>
    <xf numFmtId="1" fontId="5" fillId="0" borderId="22" xfId="1" applyNumberFormat="1" applyFont="1" applyFill="1" applyBorder="1" applyAlignment="1" applyProtection="1">
      <alignment horizontal="center" vertical="center" wrapText="1"/>
      <protection locked="0"/>
    </xf>
    <xf numFmtId="1" fontId="5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7" fillId="0" borderId="0" xfId="0" applyFont="1" applyFill="1" applyBorder="1" applyProtection="1">
      <protection hidden="1"/>
    </xf>
    <xf numFmtId="0" fontId="5" fillId="0" borderId="23" xfId="1" applyFont="1" applyFill="1" applyBorder="1" applyAlignment="1" applyProtection="1">
      <alignment horizontal="left" vertical="top"/>
      <protection locked="0"/>
    </xf>
    <xf numFmtId="0" fontId="5" fillId="0" borderId="24" xfId="1" applyFont="1" applyFill="1" applyBorder="1" applyAlignment="1" applyProtection="1">
      <alignment horizontal="left" vertical="top"/>
      <protection locked="0"/>
    </xf>
    <xf numFmtId="0" fontId="11" fillId="0" borderId="24" xfId="1" applyFont="1" applyFill="1" applyBorder="1" applyAlignment="1" applyProtection="1">
      <alignment horizontal="left" vertical="top" wrapText="1"/>
      <protection locked="0"/>
    </xf>
    <xf numFmtId="0" fontId="11" fillId="0" borderId="25" xfId="1" applyFont="1" applyFill="1" applyBorder="1" applyAlignment="1" applyProtection="1">
      <alignment horizontal="left" vertical="top" wrapText="1"/>
      <protection locked="0"/>
    </xf>
    <xf numFmtId="0" fontId="9" fillId="0" borderId="1" xfId="1" applyFont="1" applyFill="1" applyBorder="1" applyAlignment="1" applyProtection="1">
      <alignment horizontal="center" vertical="top" wrapText="1"/>
      <protection locked="0"/>
    </xf>
    <xf numFmtId="0" fontId="9" fillId="0" borderId="1" xfId="1" applyFont="1" applyFill="1" applyBorder="1" applyAlignment="1" applyProtection="1">
      <alignment horizontal="left" vertical="top" wrapText="1"/>
      <protection locked="0"/>
    </xf>
    <xf numFmtId="9" fontId="6" fillId="0" borderId="1" xfId="4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horizontal="center" vertical="top" wrapText="1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0" fontId="11" fillId="0" borderId="1" xfId="1" applyFont="1" applyFill="1" applyBorder="1" applyAlignment="1" applyProtection="1">
      <alignment horizontal="center" vertical="center" wrapText="1"/>
      <protection locked="0"/>
    </xf>
    <xf numFmtId="9" fontId="6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6" fillId="2" borderId="10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20" fillId="3" borderId="5" xfId="0" applyFont="1" applyFill="1" applyBorder="1"/>
    <xf numFmtId="0" fontId="21" fillId="0" borderId="6" xfId="0" applyFont="1" applyBorder="1"/>
    <xf numFmtId="0" fontId="11" fillId="0" borderId="7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 vertical="top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0" fontId="5" fillId="0" borderId="1" xfId="1" applyFont="1" applyBorder="1" applyAlignment="1" applyProtection="1">
      <alignment horizontal="center" vertical="top"/>
      <protection locked="0"/>
    </xf>
    <xf numFmtId="0" fontId="21" fillId="0" borderId="1" xfId="0" applyFont="1" applyBorder="1"/>
    <xf numFmtId="0" fontId="21" fillId="0" borderId="8" xfId="0" applyFont="1" applyBorder="1"/>
    <xf numFmtId="0" fontId="17" fillId="0" borderId="0" xfId="0" applyFont="1" applyProtection="1">
      <protection hidden="1"/>
    </xf>
    <xf numFmtId="0" fontId="17" fillId="0" borderId="18" xfId="0" applyFont="1" applyBorder="1" applyProtection="1">
      <protection hidden="1"/>
    </xf>
    <xf numFmtId="1" fontId="0" fillId="0" borderId="18" xfId="0" applyNumberFormat="1" applyBorder="1"/>
    <xf numFmtId="1" fontId="0" fillId="0" borderId="18" xfId="0" applyNumberFormat="1" applyBorder="1" applyAlignment="1">
      <alignment horizontal="right"/>
    </xf>
    <xf numFmtId="0" fontId="17" fillId="0" borderId="20" xfId="0" applyFont="1" applyBorder="1" applyProtection="1">
      <protection hidden="1"/>
    </xf>
    <xf numFmtId="1" fontId="0" fillId="0" borderId="21" xfId="0" applyNumberFormat="1" applyBorder="1"/>
    <xf numFmtId="9" fontId="17" fillId="0" borderId="0" xfId="0" applyNumberFormat="1" applyFont="1" applyFill="1" applyBorder="1" applyProtection="1">
      <protection hidden="1"/>
    </xf>
    <xf numFmtId="0" fontId="6" fillId="0" borderId="0" xfId="1" applyFont="1" applyFill="1"/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 applyProtection="1">
      <alignment horizontal="center" vertical="top" wrapText="1"/>
      <protection locked="0"/>
    </xf>
    <xf numFmtId="0" fontId="11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Protection="1">
      <protection hidden="1"/>
    </xf>
    <xf numFmtId="9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35" xfId="0" applyFont="1" applyBorder="1" applyAlignment="1">
      <alignment horizontal="center" vertical="top" wrapText="1"/>
    </xf>
    <xf numFmtId="0" fontId="6" fillId="0" borderId="30" xfId="0" applyFont="1" applyBorder="1" applyAlignment="1">
      <alignment horizontal="center" vertical="top" wrapText="1"/>
    </xf>
    <xf numFmtId="0" fontId="23" fillId="0" borderId="0" xfId="0" applyFont="1"/>
    <xf numFmtId="0" fontId="23" fillId="0" borderId="1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4" borderId="1" xfId="0" applyFont="1" applyFill="1" applyBorder="1" applyAlignment="1">
      <alignment horizontal="center"/>
    </xf>
    <xf numFmtId="0" fontId="6" fillId="4" borderId="1" xfId="1" applyFont="1" applyFill="1" applyBorder="1" applyAlignment="1" applyProtection="1">
      <alignment horizontal="center" vertical="top" wrapText="1"/>
      <protection locked="0"/>
    </xf>
    <xf numFmtId="9" fontId="6" fillId="4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4" borderId="1" xfId="1" applyFont="1" applyFill="1" applyBorder="1" applyProtection="1">
      <protection hidden="1"/>
    </xf>
    <xf numFmtId="0" fontId="23" fillId="4" borderId="0" xfId="0" applyFont="1" applyFill="1"/>
    <xf numFmtId="0" fontId="23" fillId="5" borderId="1" xfId="0" applyFont="1" applyFill="1" applyBorder="1" applyAlignment="1">
      <alignment horizontal="center"/>
    </xf>
    <xf numFmtId="9" fontId="6" fillId="5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5" borderId="1" xfId="1" applyFont="1" applyFill="1" applyBorder="1" applyProtection="1">
      <protection hidden="1"/>
    </xf>
    <xf numFmtId="0" fontId="23" fillId="5" borderId="0" xfId="0" applyFont="1" applyFill="1"/>
    <xf numFmtId="0" fontId="23" fillId="6" borderId="1" xfId="0" applyFont="1" applyFill="1" applyBorder="1" applyAlignment="1">
      <alignment horizontal="center"/>
    </xf>
    <xf numFmtId="9" fontId="6" fillId="6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6" borderId="1" xfId="1" applyFont="1" applyFill="1" applyBorder="1" applyProtection="1">
      <protection hidden="1"/>
    </xf>
    <xf numFmtId="0" fontId="23" fillId="6" borderId="0" xfId="0" applyFont="1" applyFill="1"/>
    <xf numFmtId="0" fontId="11" fillId="5" borderId="1" xfId="1" applyFont="1" applyFill="1" applyBorder="1" applyAlignment="1" applyProtection="1">
      <alignment horizontal="center" vertical="top" wrapText="1"/>
      <protection locked="0"/>
    </xf>
    <xf numFmtId="0" fontId="23" fillId="7" borderId="1" xfId="0" applyFont="1" applyFill="1" applyBorder="1" applyAlignment="1">
      <alignment horizontal="center"/>
    </xf>
    <xf numFmtId="0" fontId="6" fillId="7" borderId="1" xfId="1" applyFont="1" applyFill="1" applyBorder="1" applyAlignment="1" applyProtection="1">
      <alignment horizontal="center" vertical="top" wrapText="1"/>
      <protection locked="0"/>
    </xf>
    <xf numFmtId="9" fontId="6" fillId="7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7" borderId="1" xfId="1" applyFont="1" applyFill="1" applyBorder="1" applyProtection="1">
      <protection hidden="1"/>
    </xf>
    <xf numFmtId="0" fontId="23" fillId="7" borderId="0" xfId="0" applyFont="1" applyFill="1"/>
    <xf numFmtId="0" fontId="11" fillId="6" borderId="1" xfId="1" applyFont="1" applyFill="1" applyBorder="1" applyAlignment="1" applyProtection="1">
      <alignment horizontal="center" vertical="top" wrapText="1"/>
      <protection locked="0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 applyProtection="1">
      <alignment horizontal="center" vertical="top" wrapText="1"/>
      <protection locked="0"/>
    </xf>
    <xf numFmtId="1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23" fillId="3" borderId="1" xfId="0" applyFont="1" applyFill="1" applyBorder="1" applyAlignment="1">
      <alignment horizontal="center"/>
    </xf>
    <xf numFmtId="0" fontId="6" fillId="3" borderId="1" xfId="1" applyFont="1" applyFill="1" applyBorder="1" applyAlignment="1" applyProtection="1">
      <alignment horizontal="center" vertical="center" wrapText="1"/>
      <protection locked="0"/>
    </xf>
    <xf numFmtId="9" fontId="6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3" borderId="1" xfId="1" applyFont="1" applyFill="1" applyBorder="1" applyProtection="1">
      <protection hidden="1"/>
    </xf>
    <xf numFmtId="0" fontId="23" fillId="3" borderId="0" xfId="0" applyFont="1" applyFill="1"/>
    <xf numFmtId="0" fontId="23" fillId="8" borderId="1" xfId="0" applyFont="1" applyFill="1" applyBorder="1" applyAlignment="1">
      <alignment horizontal="center"/>
    </xf>
    <xf numFmtId="9" fontId="6" fillId="8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8" borderId="1" xfId="1" applyFont="1" applyFill="1" applyBorder="1" applyProtection="1">
      <protection hidden="1"/>
    </xf>
    <xf numFmtId="0" fontId="23" fillId="8" borderId="0" xfId="0" applyFont="1" applyFill="1"/>
    <xf numFmtId="0" fontId="11" fillId="8" borderId="1" xfId="1" applyFont="1" applyFill="1" applyBorder="1" applyAlignment="1" applyProtection="1">
      <alignment horizontal="center" vertical="center" wrapText="1"/>
      <protection locked="0"/>
    </xf>
    <xf numFmtId="1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2" xfId="1" applyNumberFormat="1" applyFont="1" applyFill="1" applyBorder="1" applyAlignment="1" applyProtection="1">
      <alignment horizontal="center" vertical="top" wrapText="1"/>
      <protection locked="0"/>
    </xf>
    <xf numFmtId="1" fontId="7" fillId="0" borderId="22" xfId="1" applyNumberFormat="1" applyFont="1" applyFill="1" applyBorder="1" applyAlignment="1" applyProtection="1">
      <alignment horizontal="center" vertical="top" wrapText="1"/>
      <protection locked="0"/>
    </xf>
    <xf numFmtId="1" fontId="7" fillId="0" borderId="22" xfId="1" applyNumberFormat="1" applyFont="1" applyFill="1" applyBorder="1" applyAlignment="1" applyProtection="1">
      <alignment horizontal="left" vertical="top" wrapText="1"/>
      <protection locked="0"/>
    </xf>
    <xf numFmtId="1" fontId="7" fillId="0" borderId="13" xfId="1" applyNumberFormat="1" applyFont="1" applyFill="1" applyBorder="1" applyAlignment="1" applyProtection="1">
      <alignment horizontal="left" vertical="top" wrapText="1"/>
      <protection locked="0"/>
    </xf>
    <xf numFmtId="1" fontId="5" fillId="0" borderId="12" xfId="1" applyNumberFormat="1" applyFont="1" applyFill="1" applyBorder="1" applyAlignment="1" applyProtection="1">
      <alignment horizontal="center" vertical="center" wrapText="1"/>
      <protection locked="0"/>
    </xf>
    <xf numFmtId="1" fontId="5" fillId="0" borderId="22" xfId="1" applyNumberFormat="1" applyFont="1" applyFill="1" applyBorder="1" applyAlignment="1" applyProtection="1">
      <alignment horizontal="center" vertical="center" wrapText="1"/>
      <protection locked="0"/>
    </xf>
    <xf numFmtId="1" fontId="5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 applyProtection="1">
      <alignment horizontal="left" vertical="top"/>
      <protection locked="0"/>
    </xf>
    <xf numFmtId="0" fontId="11" fillId="2" borderId="1" xfId="1" applyFont="1" applyFill="1" applyBorder="1" applyAlignment="1" applyProtection="1">
      <alignment horizontal="left" vertical="top"/>
      <protection locked="0"/>
    </xf>
    <xf numFmtId="1" fontId="7" fillId="0" borderId="1" xfId="1" applyNumberFormat="1" applyFont="1" applyFill="1" applyBorder="1" applyAlignment="1" applyProtection="1">
      <alignment horizontal="center" vertical="top" wrapText="1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1" fontId="7" fillId="0" borderId="1" xfId="1" applyNumberFormat="1" applyFont="1" applyFill="1" applyBorder="1" applyAlignment="1" applyProtection="1">
      <alignment horizontal="left" vertical="top" wrapText="1"/>
      <protection locked="0"/>
    </xf>
    <xf numFmtId="0" fontId="7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1" fillId="0" borderId="3" xfId="1" applyFont="1" applyFill="1" applyBorder="1" applyAlignment="1" applyProtection="1">
      <alignment horizontal="left" vertical="top"/>
      <protection locked="0"/>
    </xf>
    <xf numFmtId="0" fontId="12" fillId="0" borderId="7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7" xfId="1" applyFont="1" applyFill="1" applyBorder="1" applyAlignment="1" applyProtection="1">
      <alignment horizontal="center" vertical="top" wrapText="1"/>
      <protection locked="0"/>
    </xf>
    <xf numFmtId="0" fontId="6" fillId="0" borderId="1" xfId="1" applyFont="1" applyFill="1" applyBorder="1" applyAlignment="1" applyProtection="1">
      <alignment horizontal="center" vertical="top" wrapText="1"/>
      <protection locked="0"/>
    </xf>
    <xf numFmtId="0" fontId="6" fillId="0" borderId="9" xfId="1" applyFont="1" applyFill="1" applyBorder="1" applyAlignment="1" applyProtection="1">
      <alignment horizontal="center" vertical="top" wrapText="1"/>
      <protection locked="0"/>
    </xf>
    <xf numFmtId="0" fontId="6" fillId="0" borderId="10" xfId="1" applyFont="1" applyFill="1" applyBorder="1" applyAlignment="1" applyProtection="1">
      <alignment horizontal="center" vertical="top" wrapText="1"/>
      <protection locked="0"/>
    </xf>
    <xf numFmtId="9" fontId="6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6" fillId="2" borderId="10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26" xfId="1" applyFont="1" applyFill="1" applyBorder="1" applyAlignment="1" applyProtection="1">
      <alignment horizontal="center" vertical="top" wrapText="1"/>
      <protection locked="0"/>
    </xf>
    <xf numFmtId="0" fontId="9" fillId="0" borderId="12" xfId="1" applyFont="1" applyFill="1" applyBorder="1" applyAlignment="1" applyProtection="1">
      <alignment horizontal="left" vertical="top" wrapText="1"/>
      <protection locked="0"/>
    </xf>
    <xf numFmtId="0" fontId="9" fillId="0" borderId="22" xfId="1" applyFont="1" applyFill="1" applyBorder="1" applyAlignment="1" applyProtection="1">
      <alignment horizontal="left" vertical="top" wrapText="1"/>
      <protection locked="0"/>
    </xf>
    <xf numFmtId="0" fontId="9" fillId="0" borderId="13" xfId="1" applyFont="1" applyFill="1" applyBorder="1" applyAlignment="1" applyProtection="1">
      <alignment horizontal="left" vertical="top" wrapText="1"/>
      <protection locked="0"/>
    </xf>
    <xf numFmtId="0" fontId="9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8" xfId="1" applyFont="1" applyFill="1" applyBorder="1" applyAlignment="1" applyProtection="1">
      <alignment horizontal="left" vertical="top" wrapText="1"/>
      <protection locked="0"/>
    </xf>
    <xf numFmtId="0" fontId="11" fillId="2" borderId="1" xfId="1" applyFont="1" applyFill="1" applyBorder="1" applyAlignment="1" applyProtection="1">
      <alignment horizontal="left" vertical="top" wrapText="1"/>
      <protection locked="0"/>
    </xf>
    <xf numFmtId="0" fontId="5" fillId="0" borderId="1" xfId="1" applyFont="1" applyFill="1" applyBorder="1" applyAlignment="1" applyProtection="1">
      <alignment horizontal="left" vertical="top" wrapText="1"/>
      <protection locked="0"/>
    </xf>
    <xf numFmtId="164" fontId="5" fillId="0" borderId="1" xfId="1" applyNumberFormat="1" applyFont="1" applyFill="1" applyBorder="1" applyAlignment="1" applyProtection="1">
      <alignment horizontal="left" vertical="top"/>
      <protection locked="0"/>
    </xf>
    <xf numFmtId="2" fontId="5" fillId="0" borderId="1" xfId="1" applyNumberFormat="1" applyFont="1" applyFill="1" applyBorder="1" applyAlignment="1" applyProtection="1">
      <alignment horizontal="left" vertical="top"/>
      <protection locked="0"/>
    </xf>
    <xf numFmtId="0" fontId="11" fillId="0" borderId="1" xfId="1" applyFont="1" applyFill="1" applyBorder="1" applyAlignment="1" applyProtection="1">
      <alignment horizontal="left" vertical="top"/>
      <protection locked="0"/>
    </xf>
    <xf numFmtId="0" fontId="11" fillId="0" borderId="1" xfId="1" applyFont="1" applyFill="1" applyBorder="1" applyAlignment="1" applyProtection="1">
      <alignment horizontal="left" vertical="top" wrapText="1"/>
      <protection locked="0"/>
    </xf>
    <xf numFmtId="0" fontId="11" fillId="2" borderId="12" xfId="1" applyFont="1" applyFill="1" applyBorder="1" applyAlignment="1" applyProtection="1">
      <alignment horizontal="left" vertical="top" wrapText="1"/>
      <protection locked="0"/>
    </xf>
    <xf numFmtId="0" fontId="11" fillId="2" borderId="22" xfId="1" applyFont="1" applyFill="1" applyBorder="1" applyAlignment="1" applyProtection="1">
      <alignment horizontal="left" vertical="top" wrapText="1"/>
      <protection locked="0"/>
    </xf>
    <xf numFmtId="0" fontId="11" fillId="2" borderId="13" xfId="1" applyFont="1" applyFill="1" applyBorder="1" applyAlignment="1" applyProtection="1">
      <alignment horizontal="left" vertical="top" wrapText="1"/>
      <protection locked="0"/>
    </xf>
    <xf numFmtId="0" fontId="7" fillId="0" borderId="1" xfId="1" applyFont="1" applyFill="1" applyBorder="1" applyAlignment="1" applyProtection="1">
      <alignment vertical="top"/>
      <protection locked="0"/>
    </xf>
    <xf numFmtId="0" fontId="12" fillId="0" borderId="12" xfId="1" applyFont="1" applyFill="1" applyBorder="1" applyAlignment="1" applyProtection="1">
      <alignment horizontal="left" vertical="top" wrapText="1"/>
      <protection locked="0"/>
    </xf>
    <xf numFmtId="0" fontId="12" fillId="0" borderId="13" xfId="1" applyFont="1" applyFill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9" fontId="6" fillId="2" borderId="8" xfId="1" applyNumberFormat="1" applyFont="1" applyFill="1" applyBorder="1" applyAlignment="1" applyProtection="1">
      <alignment horizontal="center" vertical="center" wrapText="1"/>
      <protection hidden="1"/>
    </xf>
    <xf numFmtId="9" fontId="6" fillId="2" borderId="1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4" xfId="1" applyFont="1" applyFill="1" applyBorder="1" applyAlignment="1" applyProtection="1">
      <alignment horizontal="left" vertical="top" wrapText="1"/>
      <protection locked="0"/>
    </xf>
    <xf numFmtId="0" fontId="7" fillId="0" borderId="5" xfId="1" applyFont="1" applyFill="1" applyBorder="1" applyAlignment="1" applyProtection="1">
      <alignment horizontal="left" vertical="top" wrapText="1"/>
      <protection locked="0"/>
    </xf>
    <xf numFmtId="0" fontId="7" fillId="0" borderId="6" xfId="1" applyFont="1" applyFill="1" applyBorder="1" applyAlignment="1" applyProtection="1">
      <alignment horizontal="left" vertical="top" wrapText="1"/>
      <protection locked="0"/>
    </xf>
    <xf numFmtId="0" fontId="11" fillId="0" borderId="1" xfId="1" applyFont="1" applyFill="1" applyBorder="1" applyAlignment="1" applyProtection="1">
      <alignment horizontal="center" vertical="top"/>
      <protection locked="0"/>
    </xf>
    <xf numFmtId="0" fontId="11" fillId="0" borderId="1" xfId="1" applyFont="1" applyBorder="1" applyAlignment="1" applyProtection="1">
      <alignment horizontal="center"/>
      <protection locked="0"/>
    </xf>
    <xf numFmtId="0" fontId="7" fillId="0" borderId="1" xfId="1" applyFont="1" applyFill="1" applyBorder="1" applyAlignment="1" applyProtection="1">
      <alignment horizontal="center" vertical="top"/>
      <protection locked="0"/>
    </xf>
    <xf numFmtId="0" fontId="9" fillId="0" borderId="12" xfId="1" applyFont="1" applyBorder="1" applyAlignment="1" applyProtection="1">
      <alignment horizontal="left"/>
      <protection locked="0"/>
    </xf>
    <xf numFmtId="0" fontId="9" fillId="0" borderId="22" xfId="1" applyFont="1" applyBorder="1" applyAlignment="1" applyProtection="1">
      <alignment horizontal="left"/>
      <protection locked="0"/>
    </xf>
    <xf numFmtId="0" fontId="9" fillId="0" borderId="13" xfId="1" applyFont="1" applyBorder="1" applyAlignment="1" applyProtection="1">
      <alignment horizontal="left"/>
      <protection locked="0"/>
    </xf>
    <xf numFmtId="0" fontId="22" fillId="0" borderId="12" xfId="5" applyBorder="1" applyAlignment="1" applyProtection="1">
      <alignment horizontal="left"/>
      <protection locked="0"/>
    </xf>
    <xf numFmtId="0" fontId="6" fillId="0" borderId="22" xfId="1" applyFont="1" applyBorder="1" applyAlignment="1" applyProtection="1">
      <alignment horizontal="left"/>
      <protection locked="0"/>
    </xf>
    <xf numFmtId="0" fontId="6" fillId="0" borderId="13" xfId="1" applyFont="1" applyBorder="1" applyAlignment="1" applyProtection="1">
      <alignment horizontal="left"/>
      <protection locked="0"/>
    </xf>
    <xf numFmtId="0" fontId="11" fillId="2" borderId="1" xfId="1" applyNumberFormat="1" applyFont="1" applyFill="1" applyBorder="1" applyAlignment="1" applyProtection="1">
      <alignment horizontal="left" vertical="top"/>
      <protection locked="0"/>
    </xf>
    <xf numFmtId="0" fontId="11" fillId="0" borderId="12" xfId="1" applyFont="1" applyFill="1" applyBorder="1" applyAlignment="1" applyProtection="1">
      <alignment horizontal="left" vertical="top" wrapText="1"/>
      <protection locked="0"/>
    </xf>
    <xf numFmtId="0" fontId="11" fillId="0" borderId="22" xfId="1" applyFont="1" applyFill="1" applyBorder="1" applyAlignment="1" applyProtection="1">
      <alignment horizontal="left" vertical="top" wrapText="1"/>
      <protection locked="0"/>
    </xf>
    <xf numFmtId="0" fontId="11" fillId="0" borderId="13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5" fillId="0" borderId="1" xfId="0" applyNumberFormat="1" applyFont="1" applyFill="1" applyBorder="1" applyAlignment="1" applyProtection="1">
      <alignment horizontal="center" vertical="top" wrapText="1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left"/>
      <protection locked="0"/>
    </xf>
    <xf numFmtId="0" fontId="11" fillId="0" borderId="1" xfId="1" applyFont="1" applyFill="1" applyBorder="1" applyAlignment="1" applyProtection="1">
      <alignment horizontal="left" vertical="center" wrapText="1"/>
      <protection locked="0"/>
    </xf>
    <xf numFmtId="2" fontId="5" fillId="0" borderId="1" xfId="1" applyNumberFormat="1" applyFont="1" applyFill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14" fontId="5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0" fontId="5" fillId="2" borderId="1" xfId="1" applyFont="1" applyFill="1" applyBorder="1" applyAlignment="1" applyProtection="1">
      <alignment horizontal="left" vertical="top" wrapText="1"/>
      <protection locked="0"/>
    </xf>
    <xf numFmtId="1" fontId="7" fillId="0" borderId="1" xfId="0" applyNumberFormat="1" applyFont="1" applyFill="1" applyBorder="1" applyAlignment="1" applyProtection="1">
      <alignment horizontal="left" vertical="top" wrapText="1"/>
      <protection locked="0"/>
    </xf>
    <xf numFmtId="0" fontId="12" fillId="0" borderId="1" xfId="2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vertical="top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6" fillId="0" borderId="30" xfId="0" applyFont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top" wrapText="1"/>
    </xf>
    <xf numFmtId="0" fontId="6" fillId="0" borderId="7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9" fontId="6" fillId="2" borderId="30" xfId="1" applyNumberFormat="1" applyFont="1" applyFill="1" applyBorder="1" applyAlignment="1" applyProtection="1">
      <alignment horizontal="center" vertical="center" wrapText="1"/>
      <protection hidden="1"/>
    </xf>
    <xf numFmtId="9" fontId="6" fillId="2" borderId="31" xfId="1" applyNumberFormat="1" applyFont="1" applyFill="1" applyBorder="1" applyAlignment="1" applyProtection="1">
      <alignment horizontal="center" vertical="center" wrapText="1"/>
      <protection hidden="1"/>
    </xf>
    <xf numFmtId="9" fontId="6" fillId="2" borderId="25" xfId="1" applyNumberFormat="1" applyFont="1" applyFill="1" applyBorder="1" applyAlignment="1" applyProtection="1">
      <alignment horizontal="center" vertical="center" wrapText="1"/>
      <protection hidden="1"/>
    </xf>
    <xf numFmtId="9" fontId="6" fillId="2" borderId="23" xfId="1" applyNumberFormat="1" applyFont="1" applyFill="1" applyBorder="1" applyAlignment="1" applyProtection="1">
      <alignment horizontal="center" vertical="center" wrapText="1"/>
      <protection hidden="1"/>
    </xf>
    <xf numFmtId="9" fontId="6" fillId="2" borderId="33" xfId="1" applyNumberFormat="1" applyFont="1" applyFill="1" applyBorder="1" applyAlignment="1" applyProtection="1">
      <alignment horizontal="center" vertical="center" wrapText="1"/>
      <protection hidden="1"/>
    </xf>
    <xf numFmtId="9" fontId="6" fillId="2" borderId="34" xfId="1" applyNumberFormat="1" applyFont="1" applyFill="1" applyBorder="1" applyAlignment="1" applyProtection="1">
      <alignment horizontal="center" vertical="center" wrapText="1"/>
      <protection hidden="1"/>
    </xf>
    <xf numFmtId="9" fontId="6" fillId="2" borderId="32" xfId="1" applyNumberFormat="1" applyFont="1" applyFill="1" applyBorder="1" applyAlignment="1" applyProtection="1">
      <alignment horizontal="center" vertical="center" wrapText="1"/>
      <protection hidden="1"/>
    </xf>
    <xf numFmtId="9" fontId="6" fillId="2" borderId="18" xfId="1" applyNumberFormat="1" applyFont="1" applyFill="1" applyBorder="1" applyAlignment="1" applyProtection="1">
      <alignment horizontal="center" vertical="center" wrapText="1"/>
      <protection hidden="1"/>
    </xf>
    <xf numFmtId="9" fontId="6" fillId="2" borderId="21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9" xfId="1" applyFont="1" applyBorder="1" applyAlignment="1" applyProtection="1">
      <alignment horizontal="center" vertical="top" wrapText="1"/>
      <protection locked="0"/>
    </xf>
    <xf numFmtId="0" fontId="6" fillId="0" borderId="10" xfId="1" applyFont="1" applyBorder="1" applyAlignment="1" applyProtection="1">
      <alignment horizontal="center" vertical="top" wrapText="1"/>
      <protection locked="0"/>
    </xf>
    <xf numFmtId="0" fontId="7" fillId="0" borderId="14" xfId="1" applyFont="1" applyBorder="1" applyAlignment="1" applyProtection="1">
      <alignment horizontal="left" vertical="top" wrapText="1"/>
      <protection locked="0"/>
    </xf>
    <xf numFmtId="0" fontId="7" fillId="0" borderId="27" xfId="1" applyFont="1" applyBorder="1" applyAlignment="1" applyProtection="1">
      <alignment horizontal="left" vertical="top" wrapText="1"/>
      <protection locked="0"/>
    </xf>
    <xf numFmtId="0" fontId="7" fillId="0" borderId="28" xfId="1" applyFont="1" applyBorder="1" applyAlignment="1" applyProtection="1">
      <alignment horizontal="left" vertical="top" wrapText="1"/>
      <protection locked="0"/>
    </xf>
    <xf numFmtId="0" fontId="7" fillId="0" borderId="15" xfId="1" applyFont="1" applyBorder="1" applyAlignment="1" applyProtection="1">
      <alignment horizontal="left" vertical="top" wrapText="1"/>
      <protection locked="0"/>
    </xf>
    <xf numFmtId="0" fontId="7" fillId="0" borderId="16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2" xfId="1" applyFont="1" applyBorder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left" vertical="top" wrapText="1"/>
      <protection locked="0"/>
    </xf>
    <xf numFmtId="0" fontId="12" fillId="0" borderId="29" xfId="1" applyFont="1" applyBorder="1" applyAlignment="1" applyProtection="1">
      <alignment horizontal="left" vertical="top" wrapText="1"/>
      <protection locked="0"/>
    </xf>
    <xf numFmtId="0" fontId="6" fillId="0" borderId="12" xfId="1" applyFont="1" applyBorder="1" applyAlignment="1" applyProtection="1">
      <alignment horizontal="center" vertical="top" wrapText="1"/>
      <protection locked="0"/>
    </xf>
    <xf numFmtId="0" fontId="6" fillId="0" borderId="13" xfId="1" applyFont="1" applyBorder="1" applyAlignment="1" applyProtection="1">
      <alignment horizontal="center" vertical="top" wrapText="1"/>
      <protection locked="0"/>
    </xf>
    <xf numFmtId="0" fontId="6" fillId="0" borderId="29" xfId="1" applyFont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</cellXfs>
  <cellStyles count="6">
    <cellStyle name="Excel Built-in Normal" xfId="2"/>
    <cellStyle name="Hyperlink" xfId="5" builtinId="8"/>
    <cellStyle name="Normal" xfId="0" builtinId="0"/>
    <cellStyle name="Normal 2" xfId="3"/>
    <cellStyle name="Normal 3" xfId="1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8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0.jpeg"/><Relationship Id="rId1" Type="http://schemas.openxmlformats.org/officeDocument/2006/relationships/image" Target="../media/image39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8.png"/><Relationship Id="rId1" Type="http://schemas.openxmlformats.org/officeDocument/2006/relationships/image" Target="../media/image3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111125</xdr:colOff>
      <xdr:row>383</xdr:row>
      <xdr:rowOff>19050</xdr:rowOff>
    </xdr:from>
    <xdr:to>
      <xdr:col>7</xdr:col>
      <xdr:colOff>217436</xdr:colOff>
      <xdr:row>397</xdr:row>
      <xdr:rowOff>98699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0ED0C134-7AAD-44C5-8114-A319EA4980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11225" y="100672900"/>
          <a:ext cx="5129161" cy="283555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120650</xdr:colOff>
      <xdr:row>398</xdr:row>
      <xdr:rowOff>76200</xdr:rowOff>
    </xdr:from>
    <xdr:to>
      <xdr:col>7</xdr:col>
      <xdr:colOff>226961</xdr:colOff>
      <xdr:row>412</xdr:row>
      <xdr:rowOff>155849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AC88E2FA-8ECB-4FDA-A0B7-416F6B60A5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0750" y="103682800"/>
          <a:ext cx="5129161" cy="283555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11</xdr:col>
      <xdr:colOff>83475</xdr:colOff>
      <xdr:row>371</xdr:row>
      <xdr:rowOff>7827</xdr:rowOff>
    </xdr:from>
    <xdr:to>
      <xdr:col>17</xdr:col>
      <xdr:colOff>267413</xdr:colOff>
      <xdr:row>378</xdr:row>
      <xdr:rowOff>168276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70375" y="88618902"/>
          <a:ext cx="3841538" cy="156062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117315</xdr:colOff>
      <xdr:row>335</xdr:row>
      <xdr:rowOff>123371</xdr:rowOff>
    </xdr:from>
    <xdr:to>
      <xdr:col>13</xdr:col>
      <xdr:colOff>35685</xdr:colOff>
      <xdr:row>346</xdr:row>
      <xdr:rowOff>124370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87886" y="82541835"/>
          <a:ext cx="1143013" cy="223257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114300</xdr:colOff>
      <xdr:row>335</xdr:row>
      <xdr:rowOff>123371</xdr:rowOff>
    </xdr:from>
    <xdr:to>
      <xdr:col>11</xdr:col>
      <xdr:colOff>1827</xdr:colOff>
      <xdr:row>346</xdr:row>
      <xdr:rowOff>124370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19407" y="82541835"/>
          <a:ext cx="1150270" cy="223257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13</xdr:col>
      <xdr:colOff>186551</xdr:colOff>
      <xdr:row>335</xdr:row>
      <xdr:rowOff>123371</xdr:rowOff>
    </xdr:from>
    <xdr:to>
      <xdr:col>15</xdr:col>
      <xdr:colOff>83603</xdr:colOff>
      <xdr:row>346</xdr:row>
      <xdr:rowOff>124370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81765" y="82541835"/>
          <a:ext cx="1121695" cy="223257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15</xdr:col>
      <xdr:colOff>219501</xdr:colOff>
      <xdr:row>335</xdr:row>
      <xdr:rowOff>123371</xdr:rowOff>
    </xdr:from>
    <xdr:to>
      <xdr:col>17</xdr:col>
      <xdr:colOff>139685</xdr:colOff>
      <xdr:row>346</xdr:row>
      <xdr:rowOff>124370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39358" y="82541835"/>
          <a:ext cx="1144827" cy="223257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17</xdr:col>
      <xdr:colOff>290551</xdr:colOff>
      <xdr:row>335</xdr:row>
      <xdr:rowOff>123371</xdr:rowOff>
    </xdr:from>
    <xdr:to>
      <xdr:col>19</xdr:col>
      <xdr:colOff>210735</xdr:colOff>
      <xdr:row>346</xdr:row>
      <xdr:rowOff>124370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35051" y="82541835"/>
          <a:ext cx="1144827" cy="223257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1099645</xdr:colOff>
      <xdr:row>347</xdr:row>
      <xdr:rowOff>52705</xdr:rowOff>
    </xdr:from>
    <xdr:to>
      <xdr:col>10</xdr:col>
      <xdr:colOff>238310</xdr:colOff>
      <xdr:row>358</xdr:row>
      <xdr:rowOff>47357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64214" y="78466446"/>
          <a:ext cx="1155337" cy="216241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475370</xdr:colOff>
      <xdr:row>366</xdr:row>
      <xdr:rowOff>30618</xdr:rowOff>
    </xdr:from>
    <xdr:to>
      <xdr:col>13</xdr:col>
      <xdr:colOff>188383</xdr:colOff>
      <xdr:row>377</xdr:row>
      <xdr:rowOff>25269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62270" y="87641568"/>
          <a:ext cx="932213" cy="219492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117315</xdr:colOff>
      <xdr:row>347</xdr:row>
      <xdr:rowOff>32998</xdr:rowOff>
    </xdr:from>
    <xdr:to>
      <xdr:col>13</xdr:col>
      <xdr:colOff>35685</xdr:colOff>
      <xdr:row>358</xdr:row>
      <xdr:rowOff>27650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87886" y="84887141"/>
          <a:ext cx="1143013" cy="223982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13</xdr:col>
      <xdr:colOff>186551</xdr:colOff>
      <xdr:row>347</xdr:row>
      <xdr:rowOff>32998</xdr:rowOff>
    </xdr:from>
    <xdr:to>
      <xdr:col>15</xdr:col>
      <xdr:colOff>83603</xdr:colOff>
      <xdr:row>358</xdr:row>
      <xdr:rowOff>27650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81765" y="84887141"/>
          <a:ext cx="1121695" cy="223982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15</xdr:col>
      <xdr:colOff>219501</xdr:colOff>
      <xdr:row>347</xdr:row>
      <xdr:rowOff>32998</xdr:rowOff>
    </xdr:from>
    <xdr:to>
      <xdr:col>17</xdr:col>
      <xdr:colOff>139685</xdr:colOff>
      <xdr:row>358</xdr:row>
      <xdr:rowOff>27650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39358" y="84887141"/>
          <a:ext cx="1144827" cy="223982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17</xdr:col>
      <xdr:colOff>290551</xdr:colOff>
      <xdr:row>347</xdr:row>
      <xdr:rowOff>32998</xdr:rowOff>
    </xdr:from>
    <xdr:to>
      <xdr:col>19</xdr:col>
      <xdr:colOff>210735</xdr:colOff>
      <xdr:row>358</xdr:row>
      <xdr:rowOff>27650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35051" y="84887141"/>
          <a:ext cx="1144827" cy="223982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114300</xdr:colOff>
      <xdr:row>358</xdr:row>
      <xdr:rowOff>147640</xdr:rowOff>
    </xdr:from>
    <xdr:to>
      <xdr:col>10</xdr:col>
      <xdr:colOff>393370</xdr:colOff>
      <xdr:row>369</xdr:row>
      <xdr:rowOff>142288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19407" y="87246961"/>
          <a:ext cx="932213" cy="223982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13</xdr:col>
      <xdr:colOff>190607</xdr:colOff>
      <xdr:row>367</xdr:row>
      <xdr:rowOff>147640</xdr:rowOff>
    </xdr:from>
    <xdr:to>
      <xdr:col>20</xdr:col>
      <xdr:colOff>53852</xdr:colOff>
      <xdr:row>378</xdr:row>
      <xdr:rowOff>142289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903431" y="82578111"/>
          <a:ext cx="4099068" cy="221341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10</xdr:col>
      <xdr:colOff>491965</xdr:colOff>
      <xdr:row>369</xdr:row>
      <xdr:rowOff>107594</xdr:rowOff>
    </xdr:from>
    <xdr:to>
      <xdr:col>18</xdr:col>
      <xdr:colOff>320151</xdr:colOff>
      <xdr:row>381</xdr:row>
      <xdr:rowOff>0</xdr:rowOff>
    </xdr:to>
    <xdr:grpSp>
      <xdr:nvGrpSpPr>
        <xdr:cNvPr id="6" name="Group 5"/>
        <xdr:cNvGrpSpPr/>
      </xdr:nvGrpSpPr>
      <xdr:grpSpPr>
        <a:xfrm>
          <a:off x="9389436" y="86583388"/>
          <a:ext cx="4669127" cy="2312877"/>
          <a:chOff x="1162050" y="89547700"/>
          <a:chExt cx="4942911" cy="5637140"/>
        </a:xfrm>
      </xdr:grpSpPr>
      <xdr:pic>
        <xdr:nvPicPr>
          <xdr:cNvPr id="61" name="Picture 60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62050" y="89547700"/>
            <a:ext cx="2400000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6" name="Picture 65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04961" y="89547700"/>
            <a:ext cx="2400000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2" name="Picture 71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62050" y="91466270"/>
            <a:ext cx="2400000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3" name="Picture 72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04961" y="91466270"/>
            <a:ext cx="2400000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4" name="Picture 73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62050" y="93384840"/>
            <a:ext cx="2400000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5" name="Picture 74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04961" y="93384840"/>
            <a:ext cx="2400000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228600</xdr:colOff>
      <xdr:row>337</xdr:row>
      <xdr:rowOff>106456</xdr:rowOff>
    </xdr:from>
    <xdr:to>
      <xdr:col>7</xdr:col>
      <xdr:colOff>1095375</xdr:colOff>
      <xdr:row>380</xdr:row>
      <xdr:rowOff>22412</xdr:rowOff>
    </xdr:to>
    <xdr:grpSp>
      <xdr:nvGrpSpPr>
        <xdr:cNvPr id="25" name="Group 24"/>
        <xdr:cNvGrpSpPr/>
      </xdr:nvGrpSpPr>
      <xdr:grpSpPr>
        <a:xfrm>
          <a:off x="228600" y="80138868"/>
          <a:ext cx="6436099" cy="8578103"/>
          <a:chOff x="-18243" y="309212"/>
          <a:chExt cx="6967318" cy="8127182"/>
        </a:xfrm>
      </xdr:grpSpPr>
      <xdr:pic>
        <xdr:nvPicPr>
          <xdr:cNvPr id="27" name="Picture 26" descr="https://vsjcllp.vsjadon.com/upload/insp-243795-84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33956" y="309212"/>
            <a:ext cx="1376416" cy="183713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27" descr="https://vsjcllp.vsjadon.com/upload/insp-243795-86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19213" y="310955"/>
            <a:ext cx="1376416" cy="183713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 descr="https://vsjcllp.vsjadon.com/upload/insp-243795-86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02936" y="323655"/>
            <a:ext cx="1376416" cy="183713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 descr="https://vsjcllp.vsjadon.com/upload/insp-243795-86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8243" y="2247514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30" descr="https://vsjcllp.vsjadon.com/upload/insp-243795-87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72151" y="325783"/>
            <a:ext cx="1376416" cy="183713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31" descr="https://vsjcllp.vsjadon.com/upload/insp-243795-87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34363" y="2247514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 descr="https://vsjcllp.vsjadon.com/upload/insp-243795-94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4819" y="4511267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 descr="https://vsjcllp.vsjadon.com/upload/insp-243795-102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3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56857" y="2251797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https://vsjcllp.vsjadon.com/upload/insp-243795-88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3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30762" y="4528673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https://vsjcllp.vsjadon.com/upload/insp-243795-88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3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66800" y="4511267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https://vsjcllp.vsjadon.com/upload/insp-243795-9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3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98781" y="4528673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Picture 48" descr="https://vsjcllp.vsjadon.com/upload/insp-243795-928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3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31096" y="2248803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0" name="Picture 49" descr="https://vsjcllp.vsjadon.com/upload/insp-243795-151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3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07456" y="6794005"/>
            <a:ext cx="2188086" cy="164238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1" name="Picture 50" descr="https://vsjcllp.vsjadon.com/upload/insp-243795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3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75831" y="6794005"/>
            <a:ext cx="1230508" cy="164238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106544</xdr:colOff>
      <xdr:row>1</xdr:row>
      <xdr:rowOff>9525</xdr:rowOff>
    </xdr:from>
    <xdr:to>
      <xdr:col>13</xdr:col>
      <xdr:colOff>483972</xdr:colOff>
      <xdr:row>25</xdr:row>
      <xdr:rowOff>9525</xdr:rowOff>
    </xdr:to>
    <xdr:pic>
      <xdr:nvPicPr>
        <xdr:cNvPr id="2" name="Picture 1" descr="G:\Pratu Office\Pratu Office Work\AXIS Apf\March 2021\AXIS29186 - OLD - Veena Samrajya\insp-53234-922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88119" y="200025"/>
          <a:ext cx="3425428" cy="45720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171450</xdr:colOff>
      <xdr:row>1</xdr:row>
      <xdr:rowOff>9525</xdr:rowOff>
    </xdr:from>
    <xdr:to>
      <xdr:col>7</xdr:col>
      <xdr:colOff>548878</xdr:colOff>
      <xdr:row>25</xdr:row>
      <xdr:rowOff>9525</xdr:rowOff>
    </xdr:to>
    <xdr:pic>
      <xdr:nvPicPr>
        <xdr:cNvPr id="3" name="Picture 2" descr="G:\Pratu Office\Pratu Office Work\AXIS Apf\March 2021\AXIS29186 - OLD - Veena Samrajya\insp-53234-919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95425" y="200025"/>
          <a:ext cx="3425428" cy="4572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wzHuguxrpGM57Tzk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2"/>
  <sheetViews>
    <sheetView tabSelected="1" view="pageBreakPreview" topLeftCell="A2" zoomScale="85" zoomScaleNormal="100" zoomScaleSheetLayoutView="85" zoomScalePageLayoutView="85" workbookViewId="0">
      <selection activeCell="I11" sqref="I11"/>
    </sheetView>
  </sheetViews>
  <sheetFormatPr defaultColWidth="9.140625" defaultRowHeight="15.75" x14ac:dyDescent="0.25"/>
  <cols>
    <col min="1" max="1" width="11.42578125" style="24" customWidth="1"/>
    <col min="2" max="2" width="11.140625" style="24" customWidth="1"/>
    <col min="3" max="3" width="12.7109375" style="24" customWidth="1"/>
    <col min="4" max="4" width="12.85546875" style="24" customWidth="1"/>
    <col min="5" max="7" width="11.7109375" style="24" customWidth="1"/>
    <col min="8" max="8" width="19.5703125" style="24" customWidth="1"/>
    <col min="9" max="9" width="20.42578125" style="8" customWidth="1"/>
    <col min="10" max="10" width="9.85546875" style="8" bestFit="1" customWidth="1"/>
    <col min="11" max="252" width="9.140625" style="8"/>
    <col min="253" max="253" width="8.7109375" style="8" customWidth="1"/>
    <col min="254" max="254" width="9.85546875" style="8" customWidth="1"/>
    <col min="255" max="255" width="14.42578125" style="8" customWidth="1"/>
    <col min="256" max="256" width="7.28515625" style="8" customWidth="1"/>
    <col min="257" max="257" width="5.5703125" style="8" customWidth="1"/>
    <col min="258" max="258" width="9" style="8" customWidth="1"/>
    <col min="259" max="260" width="9.85546875" style="8" customWidth="1"/>
    <col min="261" max="261" width="11.140625" style="8" customWidth="1"/>
    <col min="262" max="262" width="2.85546875" style="8" customWidth="1"/>
    <col min="263" max="263" width="3.5703125" style="8" customWidth="1"/>
    <col min="264" max="508" width="9.140625" style="8"/>
    <col min="509" max="509" width="8.7109375" style="8" customWidth="1"/>
    <col min="510" max="510" width="9.85546875" style="8" customWidth="1"/>
    <col min="511" max="511" width="14.42578125" style="8" customWidth="1"/>
    <col min="512" max="512" width="7.28515625" style="8" customWidth="1"/>
    <col min="513" max="513" width="5.5703125" style="8" customWidth="1"/>
    <col min="514" max="514" width="9" style="8" customWidth="1"/>
    <col min="515" max="516" width="9.85546875" style="8" customWidth="1"/>
    <col min="517" max="517" width="11.140625" style="8" customWidth="1"/>
    <col min="518" max="518" width="2.85546875" style="8" customWidth="1"/>
    <col min="519" max="519" width="3.5703125" style="8" customWidth="1"/>
    <col min="520" max="764" width="9.140625" style="8"/>
    <col min="765" max="765" width="8.7109375" style="8" customWidth="1"/>
    <col min="766" max="766" width="9.85546875" style="8" customWidth="1"/>
    <col min="767" max="767" width="14.42578125" style="8" customWidth="1"/>
    <col min="768" max="768" width="7.28515625" style="8" customWidth="1"/>
    <col min="769" max="769" width="5.5703125" style="8" customWidth="1"/>
    <col min="770" max="770" width="9" style="8" customWidth="1"/>
    <col min="771" max="772" width="9.85546875" style="8" customWidth="1"/>
    <col min="773" max="773" width="11.140625" style="8" customWidth="1"/>
    <col min="774" max="774" width="2.85546875" style="8" customWidth="1"/>
    <col min="775" max="775" width="3.5703125" style="8" customWidth="1"/>
    <col min="776" max="1020" width="9.140625" style="8"/>
    <col min="1021" max="1021" width="8.7109375" style="8" customWidth="1"/>
    <col min="1022" max="1022" width="9.85546875" style="8" customWidth="1"/>
    <col min="1023" max="1023" width="14.42578125" style="8" customWidth="1"/>
    <col min="1024" max="1024" width="7.28515625" style="8" customWidth="1"/>
    <col min="1025" max="1025" width="5.5703125" style="8" customWidth="1"/>
    <col min="1026" max="1026" width="9" style="8" customWidth="1"/>
    <col min="1027" max="1028" width="9.85546875" style="8" customWidth="1"/>
    <col min="1029" max="1029" width="11.140625" style="8" customWidth="1"/>
    <col min="1030" max="1030" width="2.85546875" style="8" customWidth="1"/>
    <col min="1031" max="1031" width="3.5703125" style="8" customWidth="1"/>
    <col min="1032" max="1276" width="9.140625" style="8"/>
    <col min="1277" max="1277" width="8.7109375" style="8" customWidth="1"/>
    <col min="1278" max="1278" width="9.85546875" style="8" customWidth="1"/>
    <col min="1279" max="1279" width="14.42578125" style="8" customWidth="1"/>
    <col min="1280" max="1280" width="7.28515625" style="8" customWidth="1"/>
    <col min="1281" max="1281" width="5.5703125" style="8" customWidth="1"/>
    <col min="1282" max="1282" width="9" style="8" customWidth="1"/>
    <col min="1283" max="1284" width="9.85546875" style="8" customWidth="1"/>
    <col min="1285" max="1285" width="11.140625" style="8" customWidth="1"/>
    <col min="1286" max="1286" width="2.85546875" style="8" customWidth="1"/>
    <col min="1287" max="1287" width="3.5703125" style="8" customWidth="1"/>
    <col min="1288" max="1532" width="9.140625" style="8"/>
    <col min="1533" max="1533" width="8.7109375" style="8" customWidth="1"/>
    <col min="1534" max="1534" width="9.85546875" style="8" customWidth="1"/>
    <col min="1535" max="1535" width="14.42578125" style="8" customWidth="1"/>
    <col min="1536" max="1536" width="7.28515625" style="8" customWidth="1"/>
    <col min="1537" max="1537" width="5.5703125" style="8" customWidth="1"/>
    <col min="1538" max="1538" width="9" style="8" customWidth="1"/>
    <col min="1539" max="1540" width="9.85546875" style="8" customWidth="1"/>
    <col min="1541" max="1541" width="11.140625" style="8" customWidth="1"/>
    <col min="1542" max="1542" width="2.85546875" style="8" customWidth="1"/>
    <col min="1543" max="1543" width="3.5703125" style="8" customWidth="1"/>
    <col min="1544" max="1788" width="9.140625" style="8"/>
    <col min="1789" max="1789" width="8.7109375" style="8" customWidth="1"/>
    <col min="1790" max="1790" width="9.85546875" style="8" customWidth="1"/>
    <col min="1791" max="1791" width="14.42578125" style="8" customWidth="1"/>
    <col min="1792" max="1792" width="7.28515625" style="8" customWidth="1"/>
    <col min="1793" max="1793" width="5.5703125" style="8" customWidth="1"/>
    <col min="1794" max="1794" width="9" style="8" customWidth="1"/>
    <col min="1795" max="1796" width="9.85546875" style="8" customWidth="1"/>
    <col min="1797" max="1797" width="11.140625" style="8" customWidth="1"/>
    <col min="1798" max="1798" width="2.85546875" style="8" customWidth="1"/>
    <col min="1799" max="1799" width="3.5703125" style="8" customWidth="1"/>
    <col min="1800" max="2044" width="9.140625" style="8"/>
    <col min="2045" max="2045" width="8.7109375" style="8" customWidth="1"/>
    <col min="2046" max="2046" width="9.85546875" style="8" customWidth="1"/>
    <col min="2047" max="2047" width="14.42578125" style="8" customWidth="1"/>
    <col min="2048" max="2048" width="7.28515625" style="8" customWidth="1"/>
    <col min="2049" max="2049" width="5.5703125" style="8" customWidth="1"/>
    <col min="2050" max="2050" width="9" style="8" customWidth="1"/>
    <col min="2051" max="2052" width="9.85546875" style="8" customWidth="1"/>
    <col min="2053" max="2053" width="11.140625" style="8" customWidth="1"/>
    <col min="2054" max="2054" width="2.85546875" style="8" customWidth="1"/>
    <col min="2055" max="2055" width="3.5703125" style="8" customWidth="1"/>
    <col min="2056" max="2300" width="9.140625" style="8"/>
    <col min="2301" max="2301" width="8.7109375" style="8" customWidth="1"/>
    <col min="2302" max="2302" width="9.85546875" style="8" customWidth="1"/>
    <col min="2303" max="2303" width="14.42578125" style="8" customWidth="1"/>
    <col min="2304" max="2304" width="7.28515625" style="8" customWidth="1"/>
    <col min="2305" max="2305" width="5.5703125" style="8" customWidth="1"/>
    <col min="2306" max="2306" width="9" style="8" customWidth="1"/>
    <col min="2307" max="2308" width="9.85546875" style="8" customWidth="1"/>
    <col min="2309" max="2309" width="11.140625" style="8" customWidth="1"/>
    <col min="2310" max="2310" width="2.85546875" style="8" customWidth="1"/>
    <col min="2311" max="2311" width="3.5703125" style="8" customWidth="1"/>
    <col min="2312" max="2556" width="9.140625" style="8"/>
    <col min="2557" max="2557" width="8.7109375" style="8" customWidth="1"/>
    <col min="2558" max="2558" width="9.85546875" style="8" customWidth="1"/>
    <col min="2559" max="2559" width="14.42578125" style="8" customWidth="1"/>
    <col min="2560" max="2560" width="7.28515625" style="8" customWidth="1"/>
    <col min="2561" max="2561" width="5.5703125" style="8" customWidth="1"/>
    <col min="2562" max="2562" width="9" style="8" customWidth="1"/>
    <col min="2563" max="2564" width="9.85546875" style="8" customWidth="1"/>
    <col min="2565" max="2565" width="11.140625" style="8" customWidth="1"/>
    <col min="2566" max="2566" width="2.85546875" style="8" customWidth="1"/>
    <col min="2567" max="2567" width="3.5703125" style="8" customWidth="1"/>
    <col min="2568" max="2812" width="9.140625" style="8"/>
    <col min="2813" max="2813" width="8.7109375" style="8" customWidth="1"/>
    <col min="2814" max="2814" width="9.85546875" style="8" customWidth="1"/>
    <col min="2815" max="2815" width="14.42578125" style="8" customWidth="1"/>
    <col min="2816" max="2816" width="7.28515625" style="8" customWidth="1"/>
    <col min="2817" max="2817" width="5.5703125" style="8" customWidth="1"/>
    <col min="2818" max="2818" width="9" style="8" customWidth="1"/>
    <col min="2819" max="2820" width="9.85546875" style="8" customWidth="1"/>
    <col min="2821" max="2821" width="11.140625" style="8" customWidth="1"/>
    <col min="2822" max="2822" width="2.85546875" style="8" customWidth="1"/>
    <col min="2823" max="2823" width="3.5703125" style="8" customWidth="1"/>
    <col min="2824" max="3068" width="9.140625" style="8"/>
    <col min="3069" max="3069" width="8.7109375" style="8" customWidth="1"/>
    <col min="3070" max="3070" width="9.85546875" style="8" customWidth="1"/>
    <col min="3071" max="3071" width="14.42578125" style="8" customWidth="1"/>
    <col min="3072" max="3072" width="7.28515625" style="8" customWidth="1"/>
    <col min="3073" max="3073" width="5.5703125" style="8" customWidth="1"/>
    <col min="3074" max="3074" width="9" style="8" customWidth="1"/>
    <col min="3075" max="3076" width="9.85546875" style="8" customWidth="1"/>
    <col min="3077" max="3077" width="11.140625" style="8" customWidth="1"/>
    <col min="3078" max="3078" width="2.85546875" style="8" customWidth="1"/>
    <col min="3079" max="3079" width="3.5703125" style="8" customWidth="1"/>
    <col min="3080" max="3324" width="9.140625" style="8"/>
    <col min="3325" max="3325" width="8.7109375" style="8" customWidth="1"/>
    <col min="3326" max="3326" width="9.85546875" style="8" customWidth="1"/>
    <col min="3327" max="3327" width="14.42578125" style="8" customWidth="1"/>
    <col min="3328" max="3328" width="7.28515625" style="8" customWidth="1"/>
    <col min="3329" max="3329" width="5.5703125" style="8" customWidth="1"/>
    <col min="3330" max="3330" width="9" style="8" customWidth="1"/>
    <col min="3331" max="3332" width="9.85546875" style="8" customWidth="1"/>
    <col min="3333" max="3333" width="11.140625" style="8" customWidth="1"/>
    <col min="3334" max="3334" width="2.85546875" style="8" customWidth="1"/>
    <col min="3335" max="3335" width="3.5703125" style="8" customWidth="1"/>
    <col min="3336" max="3580" width="9.140625" style="8"/>
    <col min="3581" max="3581" width="8.7109375" style="8" customWidth="1"/>
    <col min="3582" max="3582" width="9.85546875" style="8" customWidth="1"/>
    <col min="3583" max="3583" width="14.42578125" style="8" customWidth="1"/>
    <col min="3584" max="3584" width="7.28515625" style="8" customWidth="1"/>
    <col min="3585" max="3585" width="5.5703125" style="8" customWidth="1"/>
    <col min="3586" max="3586" width="9" style="8" customWidth="1"/>
    <col min="3587" max="3588" width="9.85546875" style="8" customWidth="1"/>
    <col min="3589" max="3589" width="11.140625" style="8" customWidth="1"/>
    <col min="3590" max="3590" width="2.85546875" style="8" customWidth="1"/>
    <col min="3591" max="3591" width="3.5703125" style="8" customWidth="1"/>
    <col min="3592" max="3836" width="9.140625" style="8"/>
    <col min="3837" max="3837" width="8.7109375" style="8" customWidth="1"/>
    <col min="3838" max="3838" width="9.85546875" style="8" customWidth="1"/>
    <col min="3839" max="3839" width="14.42578125" style="8" customWidth="1"/>
    <col min="3840" max="3840" width="7.28515625" style="8" customWidth="1"/>
    <col min="3841" max="3841" width="5.5703125" style="8" customWidth="1"/>
    <col min="3842" max="3842" width="9" style="8" customWidth="1"/>
    <col min="3843" max="3844" width="9.85546875" style="8" customWidth="1"/>
    <col min="3845" max="3845" width="11.140625" style="8" customWidth="1"/>
    <col min="3846" max="3846" width="2.85546875" style="8" customWidth="1"/>
    <col min="3847" max="3847" width="3.5703125" style="8" customWidth="1"/>
    <col min="3848" max="4092" width="9.140625" style="8"/>
    <col min="4093" max="4093" width="8.7109375" style="8" customWidth="1"/>
    <col min="4094" max="4094" width="9.85546875" style="8" customWidth="1"/>
    <col min="4095" max="4095" width="14.42578125" style="8" customWidth="1"/>
    <col min="4096" max="4096" width="7.28515625" style="8" customWidth="1"/>
    <col min="4097" max="4097" width="5.5703125" style="8" customWidth="1"/>
    <col min="4098" max="4098" width="9" style="8" customWidth="1"/>
    <col min="4099" max="4100" width="9.85546875" style="8" customWidth="1"/>
    <col min="4101" max="4101" width="11.140625" style="8" customWidth="1"/>
    <col min="4102" max="4102" width="2.85546875" style="8" customWidth="1"/>
    <col min="4103" max="4103" width="3.5703125" style="8" customWidth="1"/>
    <col min="4104" max="4348" width="9.140625" style="8"/>
    <col min="4349" max="4349" width="8.7109375" style="8" customWidth="1"/>
    <col min="4350" max="4350" width="9.85546875" style="8" customWidth="1"/>
    <col min="4351" max="4351" width="14.42578125" style="8" customWidth="1"/>
    <col min="4352" max="4352" width="7.28515625" style="8" customWidth="1"/>
    <col min="4353" max="4353" width="5.5703125" style="8" customWidth="1"/>
    <col min="4354" max="4354" width="9" style="8" customWidth="1"/>
    <col min="4355" max="4356" width="9.85546875" style="8" customWidth="1"/>
    <col min="4357" max="4357" width="11.140625" style="8" customWidth="1"/>
    <col min="4358" max="4358" width="2.85546875" style="8" customWidth="1"/>
    <col min="4359" max="4359" width="3.5703125" style="8" customWidth="1"/>
    <col min="4360" max="4604" width="9.140625" style="8"/>
    <col min="4605" max="4605" width="8.7109375" style="8" customWidth="1"/>
    <col min="4606" max="4606" width="9.85546875" style="8" customWidth="1"/>
    <col min="4607" max="4607" width="14.42578125" style="8" customWidth="1"/>
    <col min="4608" max="4608" width="7.28515625" style="8" customWidth="1"/>
    <col min="4609" max="4609" width="5.5703125" style="8" customWidth="1"/>
    <col min="4610" max="4610" width="9" style="8" customWidth="1"/>
    <col min="4611" max="4612" width="9.85546875" style="8" customWidth="1"/>
    <col min="4613" max="4613" width="11.140625" style="8" customWidth="1"/>
    <col min="4614" max="4614" width="2.85546875" style="8" customWidth="1"/>
    <col min="4615" max="4615" width="3.5703125" style="8" customWidth="1"/>
    <col min="4616" max="4860" width="9.140625" style="8"/>
    <col min="4861" max="4861" width="8.7109375" style="8" customWidth="1"/>
    <col min="4862" max="4862" width="9.85546875" style="8" customWidth="1"/>
    <col min="4863" max="4863" width="14.42578125" style="8" customWidth="1"/>
    <col min="4864" max="4864" width="7.28515625" style="8" customWidth="1"/>
    <col min="4865" max="4865" width="5.5703125" style="8" customWidth="1"/>
    <col min="4866" max="4866" width="9" style="8" customWidth="1"/>
    <col min="4867" max="4868" width="9.85546875" style="8" customWidth="1"/>
    <col min="4869" max="4869" width="11.140625" style="8" customWidth="1"/>
    <col min="4870" max="4870" width="2.85546875" style="8" customWidth="1"/>
    <col min="4871" max="4871" width="3.5703125" style="8" customWidth="1"/>
    <col min="4872" max="5116" width="9.140625" style="8"/>
    <col min="5117" max="5117" width="8.7109375" style="8" customWidth="1"/>
    <col min="5118" max="5118" width="9.85546875" style="8" customWidth="1"/>
    <col min="5119" max="5119" width="14.42578125" style="8" customWidth="1"/>
    <col min="5120" max="5120" width="7.28515625" style="8" customWidth="1"/>
    <col min="5121" max="5121" width="5.5703125" style="8" customWidth="1"/>
    <col min="5122" max="5122" width="9" style="8" customWidth="1"/>
    <col min="5123" max="5124" width="9.85546875" style="8" customWidth="1"/>
    <col min="5125" max="5125" width="11.140625" style="8" customWidth="1"/>
    <col min="5126" max="5126" width="2.85546875" style="8" customWidth="1"/>
    <col min="5127" max="5127" width="3.5703125" style="8" customWidth="1"/>
    <col min="5128" max="5372" width="9.140625" style="8"/>
    <col min="5373" max="5373" width="8.7109375" style="8" customWidth="1"/>
    <col min="5374" max="5374" width="9.85546875" style="8" customWidth="1"/>
    <col min="5375" max="5375" width="14.42578125" style="8" customWidth="1"/>
    <col min="5376" max="5376" width="7.28515625" style="8" customWidth="1"/>
    <col min="5377" max="5377" width="5.5703125" style="8" customWidth="1"/>
    <col min="5378" max="5378" width="9" style="8" customWidth="1"/>
    <col min="5379" max="5380" width="9.85546875" style="8" customWidth="1"/>
    <col min="5381" max="5381" width="11.140625" style="8" customWidth="1"/>
    <col min="5382" max="5382" width="2.85546875" style="8" customWidth="1"/>
    <col min="5383" max="5383" width="3.5703125" style="8" customWidth="1"/>
    <col min="5384" max="5628" width="9.140625" style="8"/>
    <col min="5629" max="5629" width="8.7109375" style="8" customWidth="1"/>
    <col min="5630" max="5630" width="9.85546875" style="8" customWidth="1"/>
    <col min="5631" max="5631" width="14.42578125" style="8" customWidth="1"/>
    <col min="5632" max="5632" width="7.28515625" style="8" customWidth="1"/>
    <col min="5633" max="5633" width="5.5703125" style="8" customWidth="1"/>
    <col min="5634" max="5634" width="9" style="8" customWidth="1"/>
    <col min="5635" max="5636" width="9.85546875" style="8" customWidth="1"/>
    <col min="5637" max="5637" width="11.140625" style="8" customWidth="1"/>
    <col min="5638" max="5638" width="2.85546875" style="8" customWidth="1"/>
    <col min="5639" max="5639" width="3.5703125" style="8" customWidth="1"/>
    <col min="5640" max="5884" width="9.140625" style="8"/>
    <col min="5885" max="5885" width="8.7109375" style="8" customWidth="1"/>
    <col min="5886" max="5886" width="9.85546875" style="8" customWidth="1"/>
    <col min="5887" max="5887" width="14.42578125" style="8" customWidth="1"/>
    <col min="5888" max="5888" width="7.28515625" style="8" customWidth="1"/>
    <col min="5889" max="5889" width="5.5703125" style="8" customWidth="1"/>
    <col min="5890" max="5890" width="9" style="8" customWidth="1"/>
    <col min="5891" max="5892" width="9.85546875" style="8" customWidth="1"/>
    <col min="5893" max="5893" width="11.140625" style="8" customWidth="1"/>
    <col min="5894" max="5894" width="2.85546875" style="8" customWidth="1"/>
    <col min="5895" max="5895" width="3.5703125" style="8" customWidth="1"/>
    <col min="5896" max="6140" width="9.140625" style="8"/>
    <col min="6141" max="6141" width="8.7109375" style="8" customWidth="1"/>
    <col min="6142" max="6142" width="9.85546875" style="8" customWidth="1"/>
    <col min="6143" max="6143" width="14.42578125" style="8" customWidth="1"/>
    <col min="6144" max="6144" width="7.28515625" style="8" customWidth="1"/>
    <col min="6145" max="6145" width="5.5703125" style="8" customWidth="1"/>
    <col min="6146" max="6146" width="9" style="8" customWidth="1"/>
    <col min="6147" max="6148" width="9.85546875" style="8" customWidth="1"/>
    <col min="6149" max="6149" width="11.140625" style="8" customWidth="1"/>
    <col min="6150" max="6150" width="2.85546875" style="8" customWidth="1"/>
    <col min="6151" max="6151" width="3.5703125" style="8" customWidth="1"/>
    <col min="6152" max="6396" width="9.140625" style="8"/>
    <col min="6397" max="6397" width="8.7109375" style="8" customWidth="1"/>
    <col min="6398" max="6398" width="9.85546875" style="8" customWidth="1"/>
    <col min="6399" max="6399" width="14.42578125" style="8" customWidth="1"/>
    <col min="6400" max="6400" width="7.28515625" style="8" customWidth="1"/>
    <col min="6401" max="6401" width="5.5703125" style="8" customWidth="1"/>
    <col min="6402" max="6402" width="9" style="8" customWidth="1"/>
    <col min="6403" max="6404" width="9.85546875" style="8" customWidth="1"/>
    <col min="6405" max="6405" width="11.140625" style="8" customWidth="1"/>
    <col min="6406" max="6406" width="2.85546875" style="8" customWidth="1"/>
    <col min="6407" max="6407" width="3.5703125" style="8" customWidth="1"/>
    <col min="6408" max="6652" width="9.140625" style="8"/>
    <col min="6653" max="6653" width="8.7109375" style="8" customWidth="1"/>
    <col min="6654" max="6654" width="9.85546875" style="8" customWidth="1"/>
    <col min="6655" max="6655" width="14.42578125" style="8" customWidth="1"/>
    <col min="6656" max="6656" width="7.28515625" style="8" customWidth="1"/>
    <col min="6657" max="6657" width="5.5703125" style="8" customWidth="1"/>
    <col min="6658" max="6658" width="9" style="8" customWidth="1"/>
    <col min="6659" max="6660" width="9.85546875" style="8" customWidth="1"/>
    <col min="6661" max="6661" width="11.140625" style="8" customWidth="1"/>
    <col min="6662" max="6662" width="2.85546875" style="8" customWidth="1"/>
    <col min="6663" max="6663" width="3.5703125" style="8" customWidth="1"/>
    <col min="6664" max="6908" width="9.140625" style="8"/>
    <col min="6909" max="6909" width="8.7109375" style="8" customWidth="1"/>
    <col min="6910" max="6910" width="9.85546875" style="8" customWidth="1"/>
    <col min="6911" max="6911" width="14.42578125" style="8" customWidth="1"/>
    <col min="6912" max="6912" width="7.28515625" style="8" customWidth="1"/>
    <col min="6913" max="6913" width="5.5703125" style="8" customWidth="1"/>
    <col min="6914" max="6914" width="9" style="8" customWidth="1"/>
    <col min="6915" max="6916" width="9.85546875" style="8" customWidth="1"/>
    <col min="6917" max="6917" width="11.140625" style="8" customWidth="1"/>
    <col min="6918" max="6918" width="2.85546875" style="8" customWidth="1"/>
    <col min="6919" max="6919" width="3.5703125" style="8" customWidth="1"/>
    <col min="6920" max="7164" width="9.140625" style="8"/>
    <col min="7165" max="7165" width="8.7109375" style="8" customWidth="1"/>
    <col min="7166" max="7166" width="9.85546875" style="8" customWidth="1"/>
    <col min="7167" max="7167" width="14.42578125" style="8" customWidth="1"/>
    <col min="7168" max="7168" width="7.28515625" style="8" customWidth="1"/>
    <col min="7169" max="7169" width="5.5703125" style="8" customWidth="1"/>
    <col min="7170" max="7170" width="9" style="8" customWidth="1"/>
    <col min="7171" max="7172" width="9.85546875" style="8" customWidth="1"/>
    <col min="7173" max="7173" width="11.140625" style="8" customWidth="1"/>
    <col min="7174" max="7174" width="2.85546875" style="8" customWidth="1"/>
    <col min="7175" max="7175" width="3.5703125" style="8" customWidth="1"/>
    <col min="7176" max="7420" width="9.140625" style="8"/>
    <col min="7421" max="7421" width="8.7109375" style="8" customWidth="1"/>
    <col min="7422" max="7422" width="9.85546875" style="8" customWidth="1"/>
    <col min="7423" max="7423" width="14.42578125" style="8" customWidth="1"/>
    <col min="7424" max="7424" width="7.28515625" style="8" customWidth="1"/>
    <col min="7425" max="7425" width="5.5703125" style="8" customWidth="1"/>
    <col min="7426" max="7426" width="9" style="8" customWidth="1"/>
    <col min="7427" max="7428" width="9.85546875" style="8" customWidth="1"/>
    <col min="7429" max="7429" width="11.140625" style="8" customWidth="1"/>
    <col min="7430" max="7430" width="2.85546875" style="8" customWidth="1"/>
    <col min="7431" max="7431" width="3.5703125" style="8" customWidth="1"/>
    <col min="7432" max="7676" width="9.140625" style="8"/>
    <col min="7677" max="7677" width="8.7109375" style="8" customWidth="1"/>
    <col min="7678" max="7678" width="9.85546875" style="8" customWidth="1"/>
    <col min="7679" max="7679" width="14.42578125" style="8" customWidth="1"/>
    <col min="7680" max="7680" width="7.28515625" style="8" customWidth="1"/>
    <col min="7681" max="7681" width="5.5703125" style="8" customWidth="1"/>
    <col min="7682" max="7682" width="9" style="8" customWidth="1"/>
    <col min="7683" max="7684" width="9.85546875" style="8" customWidth="1"/>
    <col min="7685" max="7685" width="11.140625" style="8" customWidth="1"/>
    <col min="7686" max="7686" width="2.85546875" style="8" customWidth="1"/>
    <col min="7687" max="7687" width="3.5703125" style="8" customWidth="1"/>
    <col min="7688" max="7932" width="9.140625" style="8"/>
    <col min="7933" max="7933" width="8.7109375" style="8" customWidth="1"/>
    <col min="7934" max="7934" width="9.85546875" style="8" customWidth="1"/>
    <col min="7935" max="7935" width="14.42578125" style="8" customWidth="1"/>
    <col min="7936" max="7936" width="7.28515625" style="8" customWidth="1"/>
    <col min="7937" max="7937" width="5.5703125" style="8" customWidth="1"/>
    <col min="7938" max="7938" width="9" style="8" customWidth="1"/>
    <col min="7939" max="7940" width="9.85546875" style="8" customWidth="1"/>
    <col min="7941" max="7941" width="11.140625" style="8" customWidth="1"/>
    <col min="7942" max="7942" width="2.85546875" style="8" customWidth="1"/>
    <col min="7943" max="7943" width="3.5703125" style="8" customWidth="1"/>
    <col min="7944" max="8188" width="9.140625" style="8"/>
    <col min="8189" max="8189" width="8.7109375" style="8" customWidth="1"/>
    <col min="8190" max="8190" width="9.85546875" style="8" customWidth="1"/>
    <col min="8191" max="8191" width="14.42578125" style="8" customWidth="1"/>
    <col min="8192" max="8192" width="7.28515625" style="8" customWidth="1"/>
    <col min="8193" max="8193" width="5.5703125" style="8" customWidth="1"/>
    <col min="8194" max="8194" width="9" style="8" customWidth="1"/>
    <col min="8195" max="8196" width="9.85546875" style="8" customWidth="1"/>
    <col min="8197" max="8197" width="11.140625" style="8" customWidth="1"/>
    <col min="8198" max="8198" width="2.85546875" style="8" customWidth="1"/>
    <col min="8199" max="8199" width="3.5703125" style="8" customWidth="1"/>
    <col min="8200" max="8444" width="9.140625" style="8"/>
    <col min="8445" max="8445" width="8.7109375" style="8" customWidth="1"/>
    <col min="8446" max="8446" width="9.85546875" style="8" customWidth="1"/>
    <col min="8447" max="8447" width="14.42578125" style="8" customWidth="1"/>
    <col min="8448" max="8448" width="7.28515625" style="8" customWidth="1"/>
    <col min="8449" max="8449" width="5.5703125" style="8" customWidth="1"/>
    <col min="8450" max="8450" width="9" style="8" customWidth="1"/>
    <col min="8451" max="8452" width="9.85546875" style="8" customWidth="1"/>
    <col min="8453" max="8453" width="11.140625" style="8" customWidth="1"/>
    <col min="8454" max="8454" width="2.85546875" style="8" customWidth="1"/>
    <col min="8455" max="8455" width="3.5703125" style="8" customWidth="1"/>
    <col min="8456" max="8700" width="9.140625" style="8"/>
    <col min="8701" max="8701" width="8.7109375" style="8" customWidth="1"/>
    <col min="8702" max="8702" width="9.85546875" style="8" customWidth="1"/>
    <col min="8703" max="8703" width="14.42578125" style="8" customWidth="1"/>
    <col min="8704" max="8704" width="7.28515625" style="8" customWidth="1"/>
    <col min="8705" max="8705" width="5.5703125" style="8" customWidth="1"/>
    <col min="8706" max="8706" width="9" style="8" customWidth="1"/>
    <col min="8707" max="8708" width="9.85546875" style="8" customWidth="1"/>
    <col min="8709" max="8709" width="11.140625" style="8" customWidth="1"/>
    <col min="8710" max="8710" width="2.85546875" style="8" customWidth="1"/>
    <col min="8711" max="8711" width="3.5703125" style="8" customWidth="1"/>
    <col min="8712" max="8956" width="9.140625" style="8"/>
    <col min="8957" max="8957" width="8.7109375" style="8" customWidth="1"/>
    <col min="8958" max="8958" width="9.85546875" style="8" customWidth="1"/>
    <col min="8959" max="8959" width="14.42578125" style="8" customWidth="1"/>
    <col min="8960" max="8960" width="7.28515625" style="8" customWidth="1"/>
    <col min="8961" max="8961" width="5.5703125" style="8" customWidth="1"/>
    <col min="8962" max="8962" width="9" style="8" customWidth="1"/>
    <col min="8963" max="8964" width="9.85546875" style="8" customWidth="1"/>
    <col min="8965" max="8965" width="11.140625" style="8" customWidth="1"/>
    <col min="8966" max="8966" width="2.85546875" style="8" customWidth="1"/>
    <col min="8967" max="8967" width="3.5703125" style="8" customWidth="1"/>
    <col min="8968" max="9212" width="9.140625" style="8"/>
    <col min="9213" max="9213" width="8.7109375" style="8" customWidth="1"/>
    <col min="9214" max="9214" width="9.85546875" style="8" customWidth="1"/>
    <col min="9215" max="9215" width="14.42578125" style="8" customWidth="1"/>
    <col min="9216" max="9216" width="7.28515625" style="8" customWidth="1"/>
    <col min="9217" max="9217" width="5.5703125" style="8" customWidth="1"/>
    <col min="9218" max="9218" width="9" style="8" customWidth="1"/>
    <col min="9219" max="9220" width="9.85546875" style="8" customWidth="1"/>
    <col min="9221" max="9221" width="11.140625" style="8" customWidth="1"/>
    <col min="9222" max="9222" width="2.85546875" style="8" customWidth="1"/>
    <col min="9223" max="9223" width="3.5703125" style="8" customWidth="1"/>
    <col min="9224" max="9468" width="9.140625" style="8"/>
    <col min="9469" max="9469" width="8.7109375" style="8" customWidth="1"/>
    <col min="9470" max="9470" width="9.85546875" style="8" customWidth="1"/>
    <col min="9471" max="9471" width="14.42578125" style="8" customWidth="1"/>
    <col min="9472" max="9472" width="7.28515625" style="8" customWidth="1"/>
    <col min="9473" max="9473" width="5.5703125" style="8" customWidth="1"/>
    <col min="9474" max="9474" width="9" style="8" customWidth="1"/>
    <col min="9475" max="9476" width="9.85546875" style="8" customWidth="1"/>
    <col min="9477" max="9477" width="11.140625" style="8" customWidth="1"/>
    <col min="9478" max="9478" width="2.85546875" style="8" customWidth="1"/>
    <col min="9479" max="9479" width="3.5703125" style="8" customWidth="1"/>
    <col min="9480" max="9724" width="9.140625" style="8"/>
    <col min="9725" max="9725" width="8.7109375" style="8" customWidth="1"/>
    <col min="9726" max="9726" width="9.85546875" style="8" customWidth="1"/>
    <col min="9727" max="9727" width="14.42578125" style="8" customWidth="1"/>
    <col min="9728" max="9728" width="7.28515625" style="8" customWidth="1"/>
    <col min="9729" max="9729" width="5.5703125" style="8" customWidth="1"/>
    <col min="9730" max="9730" width="9" style="8" customWidth="1"/>
    <col min="9731" max="9732" width="9.85546875" style="8" customWidth="1"/>
    <col min="9733" max="9733" width="11.140625" style="8" customWidth="1"/>
    <col min="9734" max="9734" width="2.85546875" style="8" customWidth="1"/>
    <col min="9735" max="9735" width="3.5703125" style="8" customWidth="1"/>
    <col min="9736" max="9980" width="9.140625" style="8"/>
    <col min="9981" max="9981" width="8.7109375" style="8" customWidth="1"/>
    <col min="9982" max="9982" width="9.85546875" style="8" customWidth="1"/>
    <col min="9983" max="9983" width="14.42578125" style="8" customWidth="1"/>
    <col min="9984" max="9984" width="7.28515625" style="8" customWidth="1"/>
    <col min="9985" max="9985" width="5.5703125" style="8" customWidth="1"/>
    <col min="9986" max="9986" width="9" style="8" customWidth="1"/>
    <col min="9987" max="9988" width="9.85546875" style="8" customWidth="1"/>
    <col min="9989" max="9989" width="11.140625" style="8" customWidth="1"/>
    <col min="9990" max="9990" width="2.85546875" style="8" customWidth="1"/>
    <col min="9991" max="9991" width="3.5703125" style="8" customWidth="1"/>
    <col min="9992" max="10236" width="9.140625" style="8"/>
    <col min="10237" max="10237" width="8.7109375" style="8" customWidth="1"/>
    <col min="10238" max="10238" width="9.85546875" style="8" customWidth="1"/>
    <col min="10239" max="10239" width="14.42578125" style="8" customWidth="1"/>
    <col min="10240" max="10240" width="7.28515625" style="8" customWidth="1"/>
    <col min="10241" max="10241" width="5.5703125" style="8" customWidth="1"/>
    <col min="10242" max="10242" width="9" style="8" customWidth="1"/>
    <col min="10243" max="10244" width="9.85546875" style="8" customWidth="1"/>
    <col min="10245" max="10245" width="11.140625" style="8" customWidth="1"/>
    <col min="10246" max="10246" width="2.85546875" style="8" customWidth="1"/>
    <col min="10247" max="10247" width="3.5703125" style="8" customWidth="1"/>
    <col min="10248" max="10492" width="9.140625" style="8"/>
    <col min="10493" max="10493" width="8.7109375" style="8" customWidth="1"/>
    <col min="10494" max="10494" width="9.85546875" style="8" customWidth="1"/>
    <col min="10495" max="10495" width="14.42578125" style="8" customWidth="1"/>
    <col min="10496" max="10496" width="7.28515625" style="8" customWidth="1"/>
    <col min="10497" max="10497" width="5.5703125" style="8" customWidth="1"/>
    <col min="10498" max="10498" width="9" style="8" customWidth="1"/>
    <col min="10499" max="10500" width="9.85546875" style="8" customWidth="1"/>
    <col min="10501" max="10501" width="11.140625" style="8" customWidth="1"/>
    <col min="10502" max="10502" width="2.85546875" style="8" customWidth="1"/>
    <col min="10503" max="10503" width="3.5703125" style="8" customWidth="1"/>
    <col min="10504" max="10748" width="9.140625" style="8"/>
    <col min="10749" max="10749" width="8.7109375" style="8" customWidth="1"/>
    <col min="10750" max="10750" width="9.85546875" style="8" customWidth="1"/>
    <col min="10751" max="10751" width="14.42578125" style="8" customWidth="1"/>
    <col min="10752" max="10752" width="7.28515625" style="8" customWidth="1"/>
    <col min="10753" max="10753" width="5.5703125" style="8" customWidth="1"/>
    <col min="10754" max="10754" width="9" style="8" customWidth="1"/>
    <col min="10755" max="10756" width="9.85546875" style="8" customWidth="1"/>
    <col min="10757" max="10757" width="11.140625" style="8" customWidth="1"/>
    <col min="10758" max="10758" width="2.85546875" style="8" customWidth="1"/>
    <col min="10759" max="10759" width="3.5703125" style="8" customWidth="1"/>
    <col min="10760" max="11004" width="9.140625" style="8"/>
    <col min="11005" max="11005" width="8.7109375" style="8" customWidth="1"/>
    <col min="11006" max="11006" width="9.85546875" style="8" customWidth="1"/>
    <col min="11007" max="11007" width="14.42578125" style="8" customWidth="1"/>
    <col min="11008" max="11008" width="7.28515625" style="8" customWidth="1"/>
    <col min="11009" max="11009" width="5.5703125" style="8" customWidth="1"/>
    <col min="11010" max="11010" width="9" style="8" customWidth="1"/>
    <col min="11011" max="11012" width="9.85546875" style="8" customWidth="1"/>
    <col min="11013" max="11013" width="11.140625" style="8" customWidth="1"/>
    <col min="11014" max="11014" width="2.85546875" style="8" customWidth="1"/>
    <col min="11015" max="11015" width="3.5703125" style="8" customWidth="1"/>
    <col min="11016" max="11260" width="9.140625" style="8"/>
    <col min="11261" max="11261" width="8.7109375" style="8" customWidth="1"/>
    <col min="11262" max="11262" width="9.85546875" style="8" customWidth="1"/>
    <col min="11263" max="11263" width="14.42578125" style="8" customWidth="1"/>
    <col min="11264" max="11264" width="7.28515625" style="8" customWidth="1"/>
    <col min="11265" max="11265" width="5.5703125" style="8" customWidth="1"/>
    <col min="11266" max="11266" width="9" style="8" customWidth="1"/>
    <col min="11267" max="11268" width="9.85546875" style="8" customWidth="1"/>
    <col min="11269" max="11269" width="11.140625" style="8" customWidth="1"/>
    <col min="11270" max="11270" width="2.85546875" style="8" customWidth="1"/>
    <col min="11271" max="11271" width="3.5703125" style="8" customWidth="1"/>
    <col min="11272" max="11516" width="9.140625" style="8"/>
    <col min="11517" max="11517" width="8.7109375" style="8" customWidth="1"/>
    <col min="11518" max="11518" width="9.85546875" style="8" customWidth="1"/>
    <col min="11519" max="11519" width="14.42578125" style="8" customWidth="1"/>
    <col min="11520" max="11520" width="7.28515625" style="8" customWidth="1"/>
    <col min="11521" max="11521" width="5.5703125" style="8" customWidth="1"/>
    <col min="11522" max="11522" width="9" style="8" customWidth="1"/>
    <col min="11523" max="11524" width="9.85546875" style="8" customWidth="1"/>
    <col min="11525" max="11525" width="11.140625" style="8" customWidth="1"/>
    <col min="11526" max="11526" width="2.85546875" style="8" customWidth="1"/>
    <col min="11527" max="11527" width="3.5703125" style="8" customWidth="1"/>
    <col min="11528" max="11772" width="9.140625" style="8"/>
    <col min="11773" max="11773" width="8.7109375" style="8" customWidth="1"/>
    <col min="11774" max="11774" width="9.85546875" style="8" customWidth="1"/>
    <col min="11775" max="11775" width="14.42578125" style="8" customWidth="1"/>
    <col min="11776" max="11776" width="7.28515625" style="8" customWidth="1"/>
    <col min="11777" max="11777" width="5.5703125" style="8" customWidth="1"/>
    <col min="11778" max="11778" width="9" style="8" customWidth="1"/>
    <col min="11779" max="11780" width="9.85546875" style="8" customWidth="1"/>
    <col min="11781" max="11781" width="11.140625" style="8" customWidth="1"/>
    <col min="11782" max="11782" width="2.85546875" style="8" customWidth="1"/>
    <col min="11783" max="11783" width="3.5703125" style="8" customWidth="1"/>
    <col min="11784" max="12028" width="9.140625" style="8"/>
    <col min="12029" max="12029" width="8.7109375" style="8" customWidth="1"/>
    <col min="12030" max="12030" width="9.85546875" style="8" customWidth="1"/>
    <col min="12031" max="12031" width="14.42578125" style="8" customWidth="1"/>
    <col min="12032" max="12032" width="7.28515625" style="8" customWidth="1"/>
    <col min="12033" max="12033" width="5.5703125" style="8" customWidth="1"/>
    <col min="12034" max="12034" width="9" style="8" customWidth="1"/>
    <col min="12035" max="12036" width="9.85546875" style="8" customWidth="1"/>
    <col min="12037" max="12037" width="11.140625" style="8" customWidth="1"/>
    <col min="12038" max="12038" width="2.85546875" style="8" customWidth="1"/>
    <col min="12039" max="12039" width="3.5703125" style="8" customWidth="1"/>
    <col min="12040" max="12284" width="9.140625" style="8"/>
    <col min="12285" max="12285" width="8.7109375" style="8" customWidth="1"/>
    <col min="12286" max="12286" width="9.85546875" style="8" customWidth="1"/>
    <col min="12287" max="12287" width="14.42578125" style="8" customWidth="1"/>
    <col min="12288" max="12288" width="7.28515625" style="8" customWidth="1"/>
    <col min="12289" max="12289" width="5.5703125" style="8" customWidth="1"/>
    <col min="12290" max="12290" width="9" style="8" customWidth="1"/>
    <col min="12291" max="12292" width="9.85546875" style="8" customWidth="1"/>
    <col min="12293" max="12293" width="11.140625" style="8" customWidth="1"/>
    <col min="12294" max="12294" width="2.85546875" style="8" customWidth="1"/>
    <col min="12295" max="12295" width="3.5703125" style="8" customWidth="1"/>
    <col min="12296" max="12540" width="9.140625" style="8"/>
    <col min="12541" max="12541" width="8.7109375" style="8" customWidth="1"/>
    <col min="12542" max="12542" width="9.85546875" style="8" customWidth="1"/>
    <col min="12543" max="12543" width="14.42578125" style="8" customWidth="1"/>
    <col min="12544" max="12544" width="7.28515625" style="8" customWidth="1"/>
    <col min="12545" max="12545" width="5.5703125" style="8" customWidth="1"/>
    <col min="12546" max="12546" width="9" style="8" customWidth="1"/>
    <col min="12547" max="12548" width="9.85546875" style="8" customWidth="1"/>
    <col min="12549" max="12549" width="11.140625" style="8" customWidth="1"/>
    <col min="12550" max="12550" width="2.85546875" style="8" customWidth="1"/>
    <col min="12551" max="12551" width="3.5703125" style="8" customWidth="1"/>
    <col min="12552" max="12796" width="9.140625" style="8"/>
    <col min="12797" max="12797" width="8.7109375" style="8" customWidth="1"/>
    <col min="12798" max="12798" width="9.85546875" style="8" customWidth="1"/>
    <col min="12799" max="12799" width="14.42578125" style="8" customWidth="1"/>
    <col min="12800" max="12800" width="7.28515625" style="8" customWidth="1"/>
    <col min="12801" max="12801" width="5.5703125" style="8" customWidth="1"/>
    <col min="12802" max="12802" width="9" style="8" customWidth="1"/>
    <col min="12803" max="12804" width="9.85546875" style="8" customWidth="1"/>
    <col min="12805" max="12805" width="11.140625" style="8" customWidth="1"/>
    <col min="12806" max="12806" width="2.85546875" style="8" customWidth="1"/>
    <col min="12807" max="12807" width="3.5703125" style="8" customWidth="1"/>
    <col min="12808" max="13052" width="9.140625" style="8"/>
    <col min="13053" max="13053" width="8.7109375" style="8" customWidth="1"/>
    <col min="13054" max="13054" width="9.85546875" style="8" customWidth="1"/>
    <col min="13055" max="13055" width="14.42578125" style="8" customWidth="1"/>
    <col min="13056" max="13056" width="7.28515625" style="8" customWidth="1"/>
    <col min="13057" max="13057" width="5.5703125" style="8" customWidth="1"/>
    <col min="13058" max="13058" width="9" style="8" customWidth="1"/>
    <col min="13059" max="13060" width="9.85546875" style="8" customWidth="1"/>
    <col min="13061" max="13061" width="11.140625" style="8" customWidth="1"/>
    <col min="13062" max="13062" width="2.85546875" style="8" customWidth="1"/>
    <col min="13063" max="13063" width="3.5703125" style="8" customWidth="1"/>
    <col min="13064" max="13308" width="9.140625" style="8"/>
    <col min="13309" max="13309" width="8.7109375" style="8" customWidth="1"/>
    <col min="13310" max="13310" width="9.85546875" style="8" customWidth="1"/>
    <col min="13311" max="13311" width="14.42578125" style="8" customWidth="1"/>
    <col min="13312" max="13312" width="7.28515625" style="8" customWidth="1"/>
    <col min="13313" max="13313" width="5.5703125" style="8" customWidth="1"/>
    <col min="13314" max="13314" width="9" style="8" customWidth="1"/>
    <col min="13315" max="13316" width="9.85546875" style="8" customWidth="1"/>
    <col min="13317" max="13317" width="11.140625" style="8" customWidth="1"/>
    <col min="13318" max="13318" width="2.85546875" style="8" customWidth="1"/>
    <col min="13319" max="13319" width="3.5703125" style="8" customWidth="1"/>
    <col min="13320" max="13564" width="9.140625" style="8"/>
    <col min="13565" max="13565" width="8.7109375" style="8" customWidth="1"/>
    <col min="13566" max="13566" width="9.85546875" style="8" customWidth="1"/>
    <col min="13567" max="13567" width="14.42578125" style="8" customWidth="1"/>
    <col min="13568" max="13568" width="7.28515625" style="8" customWidth="1"/>
    <col min="13569" max="13569" width="5.5703125" style="8" customWidth="1"/>
    <col min="13570" max="13570" width="9" style="8" customWidth="1"/>
    <col min="13571" max="13572" width="9.85546875" style="8" customWidth="1"/>
    <col min="13573" max="13573" width="11.140625" style="8" customWidth="1"/>
    <col min="13574" max="13574" width="2.85546875" style="8" customWidth="1"/>
    <col min="13575" max="13575" width="3.5703125" style="8" customWidth="1"/>
    <col min="13576" max="13820" width="9.140625" style="8"/>
    <col min="13821" max="13821" width="8.7109375" style="8" customWidth="1"/>
    <col min="13822" max="13822" width="9.85546875" style="8" customWidth="1"/>
    <col min="13823" max="13823" width="14.42578125" style="8" customWidth="1"/>
    <col min="13824" max="13824" width="7.28515625" style="8" customWidth="1"/>
    <col min="13825" max="13825" width="5.5703125" style="8" customWidth="1"/>
    <col min="13826" max="13826" width="9" style="8" customWidth="1"/>
    <col min="13827" max="13828" width="9.85546875" style="8" customWidth="1"/>
    <col min="13829" max="13829" width="11.140625" style="8" customWidth="1"/>
    <col min="13830" max="13830" width="2.85546875" style="8" customWidth="1"/>
    <col min="13831" max="13831" width="3.5703125" style="8" customWidth="1"/>
    <col min="13832" max="14076" width="9.140625" style="8"/>
    <col min="14077" max="14077" width="8.7109375" style="8" customWidth="1"/>
    <col min="14078" max="14078" width="9.85546875" style="8" customWidth="1"/>
    <col min="14079" max="14079" width="14.42578125" style="8" customWidth="1"/>
    <col min="14080" max="14080" width="7.28515625" style="8" customWidth="1"/>
    <col min="14081" max="14081" width="5.5703125" style="8" customWidth="1"/>
    <col min="14082" max="14082" width="9" style="8" customWidth="1"/>
    <col min="14083" max="14084" width="9.85546875" style="8" customWidth="1"/>
    <col min="14085" max="14085" width="11.140625" style="8" customWidth="1"/>
    <col min="14086" max="14086" width="2.85546875" style="8" customWidth="1"/>
    <col min="14087" max="14087" width="3.5703125" style="8" customWidth="1"/>
    <col min="14088" max="14332" width="9.140625" style="8"/>
    <col min="14333" max="14333" width="8.7109375" style="8" customWidth="1"/>
    <col min="14334" max="14334" width="9.85546875" style="8" customWidth="1"/>
    <col min="14335" max="14335" width="14.42578125" style="8" customWidth="1"/>
    <col min="14336" max="14336" width="7.28515625" style="8" customWidth="1"/>
    <col min="14337" max="14337" width="5.5703125" style="8" customWidth="1"/>
    <col min="14338" max="14338" width="9" style="8" customWidth="1"/>
    <col min="14339" max="14340" width="9.85546875" style="8" customWidth="1"/>
    <col min="14341" max="14341" width="11.140625" style="8" customWidth="1"/>
    <col min="14342" max="14342" width="2.85546875" style="8" customWidth="1"/>
    <col min="14343" max="14343" width="3.5703125" style="8" customWidth="1"/>
    <col min="14344" max="14588" width="9.140625" style="8"/>
    <col min="14589" max="14589" width="8.7109375" style="8" customWidth="1"/>
    <col min="14590" max="14590" width="9.85546875" style="8" customWidth="1"/>
    <col min="14591" max="14591" width="14.42578125" style="8" customWidth="1"/>
    <col min="14592" max="14592" width="7.28515625" style="8" customWidth="1"/>
    <col min="14593" max="14593" width="5.5703125" style="8" customWidth="1"/>
    <col min="14594" max="14594" width="9" style="8" customWidth="1"/>
    <col min="14595" max="14596" width="9.85546875" style="8" customWidth="1"/>
    <col min="14597" max="14597" width="11.140625" style="8" customWidth="1"/>
    <col min="14598" max="14598" width="2.85546875" style="8" customWidth="1"/>
    <col min="14599" max="14599" width="3.5703125" style="8" customWidth="1"/>
    <col min="14600" max="14844" width="9.140625" style="8"/>
    <col min="14845" max="14845" width="8.7109375" style="8" customWidth="1"/>
    <col min="14846" max="14846" width="9.85546875" style="8" customWidth="1"/>
    <col min="14847" max="14847" width="14.42578125" style="8" customWidth="1"/>
    <col min="14848" max="14848" width="7.28515625" style="8" customWidth="1"/>
    <col min="14849" max="14849" width="5.5703125" style="8" customWidth="1"/>
    <col min="14850" max="14850" width="9" style="8" customWidth="1"/>
    <col min="14851" max="14852" width="9.85546875" style="8" customWidth="1"/>
    <col min="14853" max="14853" width="11.140625" style="8" customWidth="1"/>
    <col min="14854" max="14854" width="2.85546875" style="8" customWidth="1"/>
    <col min="14855" max="14855" width="3.5703125" style="8" customWidth="1"/>
    <col min="14856" max="15100" width="9.140625" style="8"/>
    <col min="15101" max="15101" width="8.7109375" style="8" customWidth="1"/>
    <col min="15102" max="15102" width="9.85546875" style="8" customWidth="1"/>
    <col min="15103" max="15103" width="14.42578125" style="8" customWidth="1"/>
    <col min="15104" max="15104" width="7.28515625" style="8" customWidth="1"/>
    <col min="15105" max="15105" width="5.5703125" style="8" customWidth="1"/>
    <col min="15106" max="15106" width="9" style="8" customWidth="1"/>
    <col min="15107" max="15108" width="9.85546875" style="8" customWidth="1"/>
    <col min="15109" max="15109" width="11.140625" style="8" customWidth="1"/>
    <col min="15110" max="15110" width="2.85546875" style="8" customWidth="1"/>
    <col min="15111" max="15111" width="3.5703125" style="8" customWidth="1"/>
    <col min="15112" max="15356" width="9.140625" style="8"/>
    <col min="15357" max="15357" width="8.7109375" style="8" customWidth="1"/>
    <col min="15358" max="15358" width="9.85546875" style="8" customWidth="1"/>
    <col min="15359" max="15359" width="14.42578125" style="8" customWidth="1"/>
    <col min="15360" max="15360" width="7.28515625" style="8" customWidth="1"/>
    <col min="15361" max="15361" width="5.5703125" style="8" customWidth="1"/>
    <col min="15362" max="15362" width="9" style="8" customWidth="1"/>
    <col min="15363" max="15364" width="9.85546875" style="8" customWidth="1"/>
    <col min="15365" max="15365" width="11.140625" style="8" customWidth="1"/>
    <col min="15366" max="15366" width="2.85546875" style="8" customWidth="1"/>
    <col min="15367" max="15367" width="3.5703125" style="8" customWidth="1"/>
    <col min="15368" max="15612" width="9.140625" style="8"/>
    <col min="15613" max="15613" width="8.7109375" style="8" customWidth="1"/>
    <col min="15614" max="15614" width="9.85546875" style="8" customWidth="1"/>
    <col min="15615" max="15615" width="14.42578125" style="8" customWidth="1"/>
    <col min="15616" max="15616" width="7.28515625" style="8" customWidth="1"/>
    <col min="15617" max="15617" width="5.5703125" style="8" customWidth="1"/>
    <col min="15618" max="15618" width="9" style="8" customWidth="1"/>
    <col min="15619" max="15620" width="9.85546875" style="8" customWidth="1"/>
    <col min="15621" max="15621" width="11.140625" style="8" customWidth="1"/>
    <col min="15622" max="15622" width="2.85546875" style="8" customWidth="1"/>
    <col min="15623" max="15623" width="3.5703125" style="8" customWidth="1"/>
    <col min="15624" max="15868" width="9.140625" style="8"/>
    <col min="15869" max="15869" width="8.7109375" style="8" customWidth="1"/>
    <col min="15870" max="15870" width="9.85546875" style="8" customWidth="1"/>
    <col min="15871" max="15871" width="14.42578125" style="8" customWidth="1"/>
    <col min="15872" max="15872" width="7.28515625" style="8" customWidth="1"/>
    <col min="15873" max="15873" width="5.5703125" style="8" customWidth="1"/>
    <col min="15874" max="15874" width="9" style="8" customWidth="1"/>
    <col min="15875" max="15876" width="9.85546875" style="8" customWidth="1"/>
    <col min="15877" max="15877" width="11.140625" style="8" customWidth="1"/>
    <col min="15878" max="15878" width="2.85546875" style="8" customWidth="1"/>
    <col min="15879" max="15879" width="3.5703125" style="8" customWidth="1"/>
    <col min="15880" max="16124" width="9.140625" style="8"/>
    <col min="16125" max="16125" width="8.7109375" style="8" customWidth="1"/>
    <col min="16126" max="16126" width="9.85546875" style="8" customWidth="1"/>
    <col min="16127" max="16127" width="14.42578125" style="8" customWidth="1"/>
    <col min="16128" max="16128" width="7.28515625" style="8" customWidth="1"/>
    <col min="16129" max="16129" width="5.5703125" style="8" customWidth="1"/>
    <col min="16130" max="16130" width="9" style="8" customWidth="1"/>
    <col min="16131" max="16132" width="9.85546875" style="8" customWidth="1"/>
    <col min="16133" max="16133" width="11.140625" style="8" customWidth="1"/>
    <col min="16134" max="16134" width="2.85546875" style="8" customWidth="1"/>
    <col min="16135" max="16135" width="3.5703125" style="8" customWidth="1"/>
    <col min="16136" max="16384" width="9.140625" style="8"/>
  </cols>
  <sheetData>
    <row r="1" spans="1:8" ht="46.5" customHeight="1" x14ac:dyDescent="0.25">
      <c r="A1" s="212" t="s">
        <v>300</v>
      </c>
      <c r="B1" s="212"/>
      <c r="C1" s="212"/>
      <c r="D1" s="212"/>
      <c r="E1" s="212"/>
      <c r="F1" s="212"/>
      <c r="G1" s="212"/>
      <c r="H1" s="212"/>
    </row>
    <row r="2" spans="1:8" ht="16.5" customHeight="1" x14ac:dyDescent="0.25">
      <c r="A2" s="213" t="s">
        <v>0</v>
      </c>
      <c r="B2" s="213"/>
      <c r="C2" s="213"/>
      <c r="D2" s="213"/>
      <c r="E2" s="213"/>
      <c r="F2" s="213"/>
      <c r="G2" s="213"/>
      <c r="H2" s="213"/>
    </row>
    <row r="3" spans="1:8" x14ac:dyDescent="0.25">
      <c r="A3" s="211" t="s">
        <v>1</v>
      </c>
      <c r="B3" s="211"/>
      <c r="C3" s="211"/>
      <c r="D3" s="211"/>
      <c r="E3" s="214" t="str">
        <f ca="1">TEXT(TODAY(),"DD/MM/YYYY")</f>
        <v>18/08/2025</v>
      </c>
      <c r="F3" s="214"/>
      <c r="G3" s="214"/>
      <c r="H3" s="214"/>
    </row>
    <row r="4" spans="1:8" ht="15" customHeight="1" x14ac:dyDescent="0.25">
      <c r="A4" s="211" t="s">
        <v>2</v>
      </c>
      <c r="B4" s="211"/>
      <c r="C4" s="211"/>
      <c r="D4" s="211"/>
      <c r="E4" s="209" t="s">
        <v>155</v>
      </c>
      <c r="F4" s="209"/>
      <c r="G4" s="209"/>
      <c r="H4" s="209"/>
    </row>
    <row r="5" spans="1:8" x14ac:dyDescent="0.25">
      <c r="A5" s="211" t="s">
        <v>3</v>
      </c>
      <c r="B5" s="211"/>
      <c r="C5" s="211"/>
      <c r="D5" s="211"/>
      <c r="E5" s="214">
        <v>45883</v>
      </c>
      <c r="F5" s="214"/>
      <c r="G5" s="214"/>
      <c r="H5" s="214"/>
    </row>
    <row r="6" spans="1:8" ht="16.5" customHeight="1" x14ac:dyDescent="0.25">
      <c r="A6" s="211" t="s">
        <v>4</v>
      </c>
      <c r="B6" s="211"/>
      <c r="C6" s="211"/>
      <c r="D6" s="211"/>
      <c r="E6" s="207" t="s">
        <v>156</v>
      </c>
      <c r="F6" s="207"/>
      <c r="G6" s="207"/>
      <c r="H6" s="207"/>
    </row>
    <row r="7" spans="1:8" ht="15" customHeight="1" x14ac:dyDescent="0.25">
      <c r="A7" s="211" t="s">
        <v>5</v>
      </c>
      <c r="B7" s="211"/>
      <c r="C7" s="211"/>
      <c r="D7" s="211"/>
      <c r="E7" s="207" t="str">
        <f>E6</f>
        <v>M/s. Veena Developers</v>
      </c>
      <c r="F7" s="207"/>
      <c r="G7" s="207"/>
      <c r="H7" s="207"/>
    </row>
    <row r="8" spans="1:8" x14ac:dyDescent="0.25">
      <c r="A8" s="211" t="s">
        <v>315</v>
      </c>
      <c r="B8" s="211"/>
      <c r="C8" s="211"/>
      <c r="D8" s="211"/>
      <c r="E8" s="215" t="s">
        <v>157</v>
      </c>
      <c r="F8" s="215"/>
      <c r="G8" s="215"/>
      <c r="H8" s="215"/>
    </row>
    <row r="9" spans="1:8" x14ac:dyDescent="0.25">
      <c r="A9" s="211" t="s">
        <v>311</v>
      </c>
      <c r="B9" s="211"/>
      <c r="C9" s="211"/>
      <c r="D9" s="211"/>
      <c r="E9" s="211">
        <v>2261069800</v>
      </c>
      <c r="F9" s="211"/>
      <c r="G9" s="211"/>
      <c r="H9" s="211"/>
    </row>
    <row r="10" spans="1:8" x14ac:dyDescent="0.25">
      <c r="A10" s="211" t="s">
        <v>310</v>
      </c>
      <c r="B10" s="211"/>
      <c r="C10" s="211"/>
      <c r="D10" s="211"/>
      <c r="E10" s="211" t="s">
        <v>293</v>
      </c>
      <c r="F10" s="211"/>
      <c r="G10" s="211"/>
      <c r="H10" s="211"/>
    </row>
    <row r="11" spans="1:8" ht="111.75" customHeight="1" x14ac:dyDescent="0.25">
      <c r="A11" s="216" t="s">
        <v>6</v>
      </c>
      <c r="B11" s="216"/>
      <c r="C11" s="216"/>
      <c r="D11" s="216"/>
      <c r="E11" s="217" t="s">
        <v>186</v>
      </c>
      <c r="F11" s="216"/>
      <c r="G11" s="216"/>
      <c r="H11" s="216"/>
    </row>
    <row r="12" spans="1:8" x14ac:dyDescent="0.25">
      <c r="A12" s="211" t="s">
        <v>7</v>
      </c>
      <c r="B12" s="211"/>
      <c r="C12" s="211"/>
      <c r="D12" s="211"/>
      <c r="E12" s="217" t="s">
        <v>187</v>
      </c>
      <c r="F12" s="217"/>
      <c r="G12" s="217"/>
      <c r="H12" s="217"/>
    </row>
    <row r="13" spans="1:8" ht="34.5" customHeight="1" x14ac:dyDescent="0.25">
      <c r="A13" s="211" t="s">
        <v>312</v>
      </c>
      <c r="B13" s="211"/>
      <c r="C13" s="211"/>
      <c r="D13" s="211"/>
      <c r="E13" s="217" t="s">
        <v>188</v>
      </c>
      <c r="F13" s="216"/>
      <c r="G13" s="216"/>
      <c r="H13" s="216"/>
    </row>
    <row r="14" spans="1:8" ht="15.75" customHeight="1" x14ac:dyDescent="0.25">
      <c r="A14" s="207" t="s">
        <v>8</v>
      </c>
      <c r="B14" s="207"/>
      <c r="C14" s="207" t="str">
        <f>CONCATENATE((IF(OR(E8="",E8="NA"),"",E8)),", ",(IF(OR(A15="",A15="NA"),"",A15)),".",(IF(OR(C15="",C15="NA"),"",C15)),", ",(IF(OR(C16="",C16="NA"),"",C16)),", ",(IF(OR(G16="",G16="NA"),"",G16)),", ",(IF(OR(C17="",C17="NA"),"",C17)),", ",(IF(OR(C18="",C18="NA"),"",C18)),", ",(IF(OR(G17="",G17="NA"),"",G17)),".")</f>
        <v>Veena Samrajya, G No.942, Chintupada Road, Mahim, Palghar West, Palghar, Palghar.</v>
      </c>
      <c r="D14" s="207"/>
      <c r="E14" s="207"/>
      <c r="F14" s="207"/>
      <c r="G14" s="207"/>
      <c r="H14" s="207"/>
    </row>
    <row r="15" spans="1:8" ht="15.75" customHeight="1" x14ac:dyDescent="0.25">
      <c r="A15" s="170" t="s">
        <v>160</v>
      </c>
      <c r="B15" s="170"/>
      <c r="C15" s="174">
        <v>942</v>
      </c>
      <c r="D15" s="174"/>
      <c r="E15" s="174"/>
      <c r="F15" s="174"/>
      <c r="G15" s="174"/>
      <c r="H15" s="174"/>
    </row>
    <row r="16" spans="1:8" x14ac:dyDescent="0.25">
      <c r="A16" s="170" t="s">
        <v>9</v>
      </c>
      <c r="B16" s="170"/>
      <c r="C16" s="173" t="s">
        <v>162</v>
      </c>
      <c r="D16" s="173"/>
      <c r="E16" s="170" t="s">
        <v>110</v>
      </c>
      <c r="F16" s="170"/>
      <c r="G16" s="174" t="s">
        <v>161</v>
      </c>
      <c r="H16" s="174"/>
    </row>
    <row r="17" spans="1:8" x14ac:dyDescent="0.25">
      <c r="A17" s="142" t="s">
        <v>11</v>
      </c>
      <c r="B17" s="142"/>
      <c r="C17" s="174" t="s">
        <v>163</v>
      </c>
      <c r="D17" s="174"/>
      <c r="E17" s="170" t="s">
        <v>10</v>
      </c>
      <c r="F17" s="170"/>
      <c r="G17" s="208" t="s">
        <v>164</v>
      </c>
      <c r="H17" s="208"/>
    </row>
    <row r="18" spans="1:8" ht="32.25" customHeight="1" x14ac:dyDescent="0.25">
      <c r="A18" s="142" t="s">
        <v>111</v>
      </c>
      <c r="B18" s="142"/>
      <c r="C18" s="174" t="s">
        <v>164</v>
      </c>
      <c r="D18" s="174"/>
      <c r="E18" s="170" t="s">
        <v>12</v>
      </c>
      <c r="F18" s="170"/>
      <c r="G18" s="174">
        <v>401404</v>
      </c>
      <c r="H18" s="174"/>
    </row>
    <row r="19" spans="1:8" ht="15" customHeight="1" x14ac:dyDescent="0.25">
      <c r="A19" s="142" t="s">
        <v>13</v>
      </c>
      <c r="B19" s="142"/>
      <c r="C19" s="218" t="s">
        <v>165</v>
      </c>
      <c r="D19" s="218"/>
      <c r="E19" s="170" t="s">
        <v>14</v>
      </c>
      <c r="F19" s="170"/>
      <c r="G19" s="174" t="s">
        <v>192</v>
      </c>
      <c r="H19" s="174"/>
    </row>
    <row r="20" spans="1:8" ht="18.75" customHeight="1" x14ac:dyDescent="0.25">
      <c r="A20" s="170" t="s">
        <v>117</v>
      </c>
      <c r="B20" s="170"/>
      <c r="C20" s="170"/>
      <c r="D20" s="170"/>
      <c r="E20" s="173" t="s">
        <v>15</v>
      </c>
      <c r="F20" s="173"/>
      <c r="G20" s="173"/>
      <c r="H20" s="173"/>
    </row>
    <row r="21" spans="1:8" ht="15" customHeight="1" x14ac:dyDescent="0.25">
      <c r="A21" s="170"/>
      <c r="B21" s="170"/>
      <c r="C21" s="170"/>
      <c r="D21" s="170"/>
      <c r="E21" s="173"/>
      <c r="F21" s="173"/>
      <c r="G21" s="173"/>
      <c r="H21" s="173"/>
    </row>
    <row r="22" spans="1:8" ht="15" customHeight="1" x14ac:dyDescent="0.25">
      <c r="A22" s="170" t="s">
        <v>16</v>
      </c>
      <c r="B22" s="170"/>
      <c r="C22" s="170"/>
      <c r="D22" s="170"/>
      <c r="E22" s="174" t="s">
        <v>17</v>
      </c>
      <c r="F22" s="174"/>
      <c r="G22" s="174"/>
      <c r="H22" s="174"/>
    </row>
    <row r="23" spans="1:8" x14ac:dyDescent="0.25">
      <c r="A23" s="142" t="s">
        <v>18</v>
      </c>
      <c r="B23" s="142"/>
      <c r="C23" s="142"/>
      <c r="D23" s="142"/>
      <c r="E23" s="174" t="s">
        <v>158</v>
      </c>
      <c r="F23" s="174"/>
      <c r="G23" s="174"/>
      <c r="H23" s="174"/>
    </row>
    <row r="24" spans="1:8" x14ac:dyDescent="0.25">
      <c r="A24" s="142" t="s">
        <v>19</v>
      </c>
      <c r="B24" s="142"/>
      <c r="C24" s="142"/>
      <c r="D24" s="142"/>
      <c r="E24" s="174" t="s">
        <v>20</v>
      </c>
      <c r="F24" s="174"/>
      <c r="G24" s="174"/>
      <c r="H24" s="174"/>
    </row>
    <row r="25" spans="1:8" x14ac:dyDescent="0.25">
      <c r="A25" s="142" t="s">
        <v>21</v>
      </c>
      <c r="B25" s="142"/>
      <c r="C25" s="142"/>
      <c r="D25" s="142"/>
      <c r="E25" s="174" t="s">
        <v>159</v>
      </c>
      <c r="F25" s="174"/>
      <c r="G25" s="174"/>
      <c r="H25" s="174"/>
    </row>
    <row r="26" spans="1:8" x14ac:dyDescent="0.25">
      <c r="A26" s="142" t="s">
        <v>22</v>
      </c>
      <c r="B26" s="142"/>
      <c r="C26" s="142"/>
      <c r="D26" s="142"/>
      <c r="E26" s="174" t="s">
        <v>23</v>
      </c>
      <c r="F26" s="174"/>
      <c r="G26" s="174"/>
      <c r="H26" s="174"/>
    </row>
    <row r="27" spans="1:8" ht="15" customHeight="1" x14ac:dyDescent="0.25">
      <c r="A27" s="142" t="s">
        <v>124</v>
      </c>
      <c r="B27" s="142"/>
      <c r="C27" s="142"/>
      <c r="D27" s="142"/>
      <c r="E27" s="174" t="s">
        <v>125</v>
      </c>
      <c r="F27" s="174"/>
      <c r="G27" s="174"/>
      <c r="H27" s="174"/>
    </row>
    <row r="28" spans="1:8" x14ac:dyDescent="0.25">
      <c r="A28" s="170" t="s">
        <v>32</v>
      </c>
      <c r="B28" s="170"/>
      <c r="C28" s="170"/>
      <c r="D28" s="170"/>
      <c r="E28" s="209" t="s">
        <v>121</v>
      </c>
      <c r="F28" s="209"/>
      <c r="G28" s="209"/>
      <c r="H28" s="209"/>
    </row>
    <row r="29" spans="1:8" s="12" customFormat="1" x14ac:dyDescent="0.25">
      <c r="A29" s="170" t="s">
        <v>138</v>
      </c>
      <c r="B29" s="170"/>
      <c r="C29" s="170"/>
      <c r="D29" s="170"/>
      <c r="E29" s="170" t="s">
        <v>33</v>
      </c>
      <c r="F29" s="170"/>
      <c r="G29" s="170"/>
      <c r="H29" s="170"/>
    </row>
    <row r="30" spans="1:8" s="12" customFormat="1" x14ac:dyDescent="0.25">
      <c r="A30" s="167" t="s">
        <v>139</v>
      </c>
      <c r="B30" s="167"/>
      <c r="C30" s="153" t="s">
        <v>28</v>
      </c>
      <c r="D30" s="153"/>
      <c r="E30" s="153"/>
      <c r="F30" s="153" t="s">
        <v>30</v>
      </c>
      <c r="G30" s="153"/>
      <c r="H30" s="153"/>
    </row>
    <row r="31" spans="1:8" x14ac:dyDescent="0.25">
      <c r="A31" s="189" t="s">
        <v>24</v>
      </c>
      <c r="B31" s="189" t="s">
        <v>29</v>
      </c>
      <c r="C31" s="188" t="s">
        <v>29</v>
      </c>
      <c r="D31" s="188"/>
      <c r="E31" s="188"/>
      <c r="F31" s="188" t="s">
        <v>190</v>
      </c>
      <c r="G31" s="188"/>
      <c r="H31" s="188"/>
    </row>
    <row r="32" spans="1:8" s="12" customFormat="1" x14ac:dyDescent="0.25">
      <c r="A32" s="189" t="s">
        <v>25</v>
      </c>
      <c r="B32" s="189" t="s">
        <v>29</v>
      </c>
      <c r="C32" s="188" t="s">
        <v>29</v>
      </c>
      <c r="D32" s="188"/>
      <c r="E32" s="188"/>
      <c r="F32" s="188" t="s">
        <v>191</v>
      </c>
      <c r="G32" s="188"/>
      <c r="H32" s="188"/>
    </row>
    <row r="33" spans="1:8" x14ac:dyDescent="0.25">
      <c r="A33" s="189" t="s">
        <v>27</v>
      </c>
      <c r="B33" s="189" t="s">
        <v>29</v>
      </c>
      <c r="C33" s="188" t="s">
        <v>29</v>
      </c>
      <c r="D33" s="188"/>
      <c r="E33" s="188"/>
      <c r="F33" s="188" t="s">
        <v>165</v>
      </c>
      <c r="G33" s="188"/>
      <c r="H33" s="188"/>
    </row>
    <row r="34" spans="1:8" x14ac:dyDescent="0.25">
      <c r="A34" s="189" t="s">
        <v>26</v>
      </c>
      <c r="B34" s="189" t="s">
        <v>29</v>
      </c>
      <c r="C34" s="188" t="s">
        <v>29</v>
      </c>
      <c r="D34" s="188"/>
      <c r="E34" s="188"/>
      <c r="F34" s="188" t="s">
        <v>189</v>
      </c>
      <c r="G34" s="188"/>
      <c r="H34" s="188"/>
    </row>
    <row r="35" spans="1:8" ht="15.75" customHeight="1" x14ac:dyDescent="0.25">
      <c r="A35" s="142" t="s">
        <v>31</v>
      </c>
      <c r="B35" s="142"/>
      <c r="C35" s="142"/>
      <c r="D35" s="142"/>
      <c r="E35" s="142"/>
      <c r="F35" s="142"/>
      <c r="G35" s="142"/>
      <c r="H35" s="142"/>
    </row>
    <row r="36" spans="1:8" ht="15.75" customHeight="1" x14ac:dyDescent="0.25">
      <c r="A36" s="190" t="s">
        <v>295</v>
      </c>
      <c r="B36" s="190"/>
      <c r="C36" s="191" t="s">
        <v>296</v>
      </c>
      <c r="D36" s="192"/>
      <c r="E36" s="192"/>
      <c r="F36" s="192"/>
      <c r="G36" s="192"/>
      <c r="H36" s="193"/>
    </row>
    <row r="37" spans="1:8" x14ac:dyDescent="0.25">
      <c r="A37" s="190" t="s">
        <v>297</v>
      </c>
      <c r="B37" s="190"/>
      <c r="C37" s="194" t="s">
        <v>298</v>
      </c>
      <c r="D37" s="195"/>
      <c r="E37" s="195"/>
      <c r="F37" s="195"/>
      <c r="G37" s="195"/>
      <c r="H37" s="196"/>
    </row>
    <row r="38" spans="1:8" x14ac:dyDescent="0.25">
      <c r="A38" s="147" t="s">
        <v>34</v>
      </c>
      <c r="B38" s="147"/>
      <c r="C38" s="147"/>
      <c r="D38" s="147"/>
      <c r="E38" s="147"/>
      <c r="F38" s="147"/>
      <c r="G38" s="147"/>
      <c r="H38" s="147"/>
    </row>
    <row r="39" spans="1:8" x14ac:dyDescent="0.25">
      <c r="A39" s="142" t="s">
        <v>35</v>
      </c>
      <c r="B39" s="142"/>
      <c r="C39" s="142"/>
      <c r="D39" s="142"/>
      <c r="E39" s="210">
        <v>636157.77</v>
      </c>
      <c r="F39" s="210"/>
      <c r="G39" s="210"/>
      <c r="H39" s="210"/>
    </row>
    <row r="40" spans="1:8" x14ac:dyDescent="0.25">
      <c r="A40" s="142" t="s">
        <v>36</v>
      </c>
      <c r="B40" s="142"/>
      <c r="C40" s="142"/>
      <c r="D40" s="142"/>
      <c r="E40" s="171">
        <v>0.9</v>
      </c>
      <c r="F40" s="171"/>
      <c r="G40" s="171"/>
      <c r="H40" s="171"/>
    </row>
    <row r="41" spans="1:8" x14ac:dyDescent="0.25">
      <c r="A41" s="142" t="s">
        <v>37</v>
      </c>
      <c r="B41" s="142"/>
      <c r="C41" s="142"/>
      <c r="D41" s="142"/>
      <c r="E41" s="171">
        <f>E43/E39-E40</f>
        <v>0.26999996714651442</v>
      </c>
      <c r="F41" s="171"/>
      <c r="G41" s="171"/>
      <c r="H41" s="171"/>
    </row>
    <row r="42" spans="1:8" x14ac:dyDescent="0.25">
      <c r="A42" s="142" t="s">
        <v>38</v>
      </c>
      <c r="B42" s="142"/>
      <c r="C42" s="142"/>
      <c r="D42" s="142"/>
      <c r="E42" s="171">
        <f>E40+E41</f>
        <v>1.1699999671465144</v>
      </c>
      <c r="F42" s="171"/>
      <c r="G42" s="171"/>
      <c r="H42" s="171"/>
    </row>
    <row r="43" spans="1:8" x14ac:dyDescent="0.25">
      <c r="A43" s="142" t="s">
        <v>137</v>
      </c>
      <c r="B43" s="142"/>
      <c r="C43" s="142"/>
      <c r="D43" s="142"/>
      <c r="E43" s="172">
        <v>744304.57</v>
      </c>
      <c r="F43" s="172"/>
      <c r="G43" s="172"/>
      <c r="H43" s="172"/>
    </row>
    <row r="44" spans="1:8" x14ac:dyDescent="0.25">
      <c r="A44" s="173" t="s">
        <v>39</v>
      </c>
      <c r="B44" s="173"/>
      <c r="C44" s="173"/>
      <c r="D44" s="173"/>
      <c r="E44" s="173" t="s">
        <v>274</v>
      </c>
      <c r="F44" s="173"/>
      <c r="G44" s="173"/>
      <c r="H44" s="173"/>
    </row>
    <row r="45" spans="1:8" x14ac:dyDescent="0.25">
      <c r="A45" s="147" t="s">
        <v>40</v>
      </c>
      <c r="B45" s="147"/>
      <c r="C45" s="147"/>
      <c r="D45" s="147"/>
      <c r="E45" s="147"/>
      <c r="F45" s="147"/>
      <c r="G45" s="147"/>
      <c r="H45" s="147"/>
    </row>
    <row r="46" spans="1:8" x14ac:dyDescent="0.25">
      <c r="A46" s="170" t="s">
        <v>41</v>
      </c>
      <c r="B46" s="170"/>
      <c r="C46" s="169" t="s">
        <v>170</v>
      </c>
      <c r="D46" s="169"/>
      <c r="E46" s="169"/>
      <c r="F46" s="53" t="s">
        <v>42</v>
      </c>
      <c r="G46" s="174" t="s">
        <v>171</v>
      </c>
      <c r="H46" s="174"/>
    </row>
    <row r="47" spans="1:8" s="11" customFormat="1" x14ac:dyDescent="0.25">
      <c r="A47" s="170" t="s">
        <v>43</v>
      </c>
      <c r="B47" s="170"/>
      <c r="C47" s="169" t="str">
        <f>C46</f>
        <v>SD/BP/MAHIM/PALGHAR/1224</v>
      </c>
      <c r="D47" s="169"/>
      <c r="E47" s="169"/>
      <c r="F47" s="53" t="s">
        <v>42</v>
      </c>
      <c r="G47" s="174" t="str">
        <f>G46</f>
        <v>14/10/2016.</v>
      </c>
      <c r="H47" s="174"/>
    </row>
    <row r="48" spans="1:8" s="11" customFormat="1" x14ac:dyDescent="0.25">
      <c r="A48" s="174" t="s">
        <v>44</v>
      </c>
      <c r="B48" s="174"/>
      <c r="C48" s="169" t="s">
        <v>194</v>
      </c>
      <c r="D48" s="143"/>
      <c r="E48" s="143"/>
      <c r="F48" s="14" t="s">
        <v>42</v>
      </c>
      <c r="G48" s="197" t="s">
        <v>169</v>
      </c>
      <c r="H48" s="197"/>
    </row>
    <row r="49" spans="1:11" ht="111.75" customHeight="1" x14ac:dyDescent="0.25">
      <c r="A49" s="174"/>
      <c r="B49" s="174"/>
      <c r="C49" s="175" t="s">
        <v>272</v>
      </c>
      <c r="D49" s="176"/>
      <c r="E49" s="176"/>
      <c r="F49" s="176"/>
      <c r="G49" s="176"/>
      <c r="H49" s="177"/>
    </row>
    <row r="50" spans="1:11" x14ac:dyDescent="0.25">
      <c r="A50" s="149" t="s">
        <v>45</v>
      </c>
      <c r="B50" s="149"/>
      <c r="C50" s="181" t="s">
        <v>153</v>
      </c>
      <c r="D50" s="182"/>
      <c r="E50" s="182" t="s">
        <v>46</v>
      </c>
      <c r="F50" s="57" t="s">
        <v>42</v>
      </c>
      <c r="G50" s="179" t="s">
        <v>29</v>
      </c>
      <c r="H50" s="180"/>
    </row>
    <row r="51" spans="1:11" x14ac:dyDescent="0.25">
      <c r="A51" s="178" t="s">
        <v>48</v>
      </c>
      <c r="B51" s="178"/>
      <c r="C51" s="178"/>
      <c r="D51" s="178"/>
      <c r="E51" s="178"/>
      <c r="F51" s="178"/>
      <c r="G51" s="178"/>
      <c r="H51" s="178"/>
    </row>
    <row r="52" spans="1:11" x14ac:dyDescent="0.25">
      <c r="A52" s="170" t="s">
        <v>136</v>
      </c>
      <c r="B52" s="170"/>
      <c r="C52" s="170"/>
      <c r="D52" s="142">
        <v>57799.31</v>
      </c>
      <c r="E52" s="142"/>
      <c r="F52" s="142"/>
      <c r="G52" s="142"/>
      <c r="H52" s="142"/>
    </row>
    <row r="53" spans="1:11" x14ac:dyDescent="0.25">
      <c r="A53" s="174" t="s">
        <v>49</v>
      </c>
      <c r="B53" s="173"/>
      <c r="C53" s="173"/>
      <c r="D53" s="173" t="s">
        <v>224</v>
      </c>
      <c r="E53" s="173"/>
      <c r="F53" s="173"/>
      <c r="G53" s="173"/>
      <c r="H53" s="173"/>
    </row>
    <row r="54" spans="1:11" ht="33.75" customHeight="1" x14ac:dyDescent="0.25">
      <c r="A54" s="174" t="s">
        <v>50</v>
      </c>
      <c r="B54" s="173"/>
      <c r="C54" s="173"/>
      <c r="D54" s="174" t="s">
        <v>271</v>
      </c>
      <c r="E54" s="173"/>
      <c r="F54" s="173"/>
      <c r="G54" s="173"/>
      <c r="H54" s="173"/>
    </row>
    <row r="55" spans="1:11" ht="33.75" customHeight="1" x14ac:dyDescent="0.25">
      <c r="A55" s="174" t="s">
        <v>134</v>
      </c>
      <c r="B55" s="173"/>
      <c r="C55" s="173"/>
      <c r="D55" s="198" t="str">
        <f>D54</f>
        <v>Building No.1 - Shopline = Ground Floor
Building No.1 to 6 - Gr + 1st to 8th Floor</v>
      </c>
      <c r="E55" s="199"/>
      <c r="F55" s="199"/>
      <c r="G55" s="199"/>
      <c r="H55" s="200"/>
    </row>
    <row r="56" spans="1:11" ht="15.75" customHeight="1" x14ac:dyDescent="0.25">
      <c r="A56" s="142" t="s">
        <v>47</v>
      </c>
      <c r="B56" s="142"/>
      <c r="C56" s="142"/>
      <c r="D56" s="170" t="s">
        <v>309</v>
      </c>
      <c r="E56" s="170"/>
      <c r="F56" s="170"/>
      <c r="G56" s="170"/>
      <c r="H56" s="170"/>
    </row>
    <row r="57" spans="1:11" ht="15.75" customHeight="1" x14ac:dyDescent="0.25">
      <c r="A57" s="142" t="s">
        <v>131</v>
      </c>
      <c r="B57" s="142"/>
      <c r="C57" s="142"/>
      <c r="D57" s="170" t="s">
        <v>132</v>
      </c>
      <c r="E57" s="170"/>
      <c r="F57" s="170"/>
      <c r="G57" s="170"/>
      <c r="H57" s="170"/>
      <c r="J57" s="26"/>
      <c r="K57" s="26"/>
    </row>
    <row r="58" spans="1:11" ht="17.25" customHeight="1" x14ac:dyDescent="0.25">
      <c r="A58" s="142" t="s">
        <v>133</v>
      </c>
      <c r="B58" s="142"/>
      <c r="C58" s="142"/>
      <c r="D58" s="170" t="s">
        <v>23</v>
      </c>
      <c r="E58" s="170"/>
      <c r="F58" s="170"/>
      <c r="G58" s="170"/>
      <c r="H58" s="170"/>
      <c r="J58" s="26"/>
      <c r="K58" s="26"/>
    </row>
    <row r="59" spans="1:11" ht="17.25" customHeight="1" x14ac:dyDescent="0.25">
      <c r="A59" s="142" t="s">
        <v>130</v>
      </c>
      <c r="B59" s="142"/>
      <c r="C59" s="142"/>
      <c r="D59" s="174" t="s">
        <v>193</v>
      </c>
      <c r="E59" s="174"/>
      <c r="F59" s="174"/>
      <c r="G59" s="174"/>
      <c r="H59" s="174"/>
      <c r="J59" s="26"/>
      <c r="K59" s="26"/>
    </row>
    <row r="60" spans="1:11" ht="16.5" hidden="1" thickBot="1" x14ac:dyDescent="0.3">
      <c r="A60" s="59"/>
      <c r="B60" s="60"/>
      <c r="C60" s="60"/>
      <c r="D60" s="61"/>
      <c r="E60" s="61"/>
      <c r="F60" s="61"/>
      <c r="G60" s="61"/>
      <c r="H60" s="62"/>
      <c r="I60" s="38" t="str">
        <f>(IF(C65=0,"Work not yet Started.",IF(C65=1,"Excavation work in process",IF(C65=2,"Excavation work completed",IF(C65=4,"Footing work is process",IF(C65=5,"Footing work Completed",IF(C65=7,"Plinth work is process",IF(C65=10,"Plinth work completed","0")))))))&amp;(IF(C66&gt;0,", RCC upto "&amp;C66&amp;" Slab completed",""))&amp;(IF(C67&gt;0,", Brickwork upto "&amp;C67&amp;" Floor completed"," "))&amp;(IF(C68&gt;0,", Plaster upto "&amp;C68&amp;" Floor completed"," "))&amp;(IF(C69&gt;0,", Flooring upto "&amp;C69&amp;" Floor completed"," "))&amp;(IF(C70&gt;0,", Painting upto "&amp;C70&amp;" Floor completed"," "))&amp;(IF(C71&gt;0,", Finishing upto "&amp;C71&amp;" Floor completed"," ")))</f>
        <v xml:space="preserve">Work not yet Started.     </v>
      </c>
      <c r="J60" s="39"/>
      <c r="K60" s="40"/>
    </row>
    <row r="61" spans="1:11" hidden="1" x14ac:dyDescent="0.25">
      <c r="A61" s="185" t="s">
        <v>140</v>
      </c>
      <c r="B61" s="186"/>
      <c r="C61" s="186"/>
      <c r="D61" s="186"/>
      <c r="E61" s="186"/>
      <c r="F61" s="186"/>
      <c r="G61" s="186"/>
      <c r="H61" s="187"/>
      <c r="I61" s="41" t="s">
        <v>151</v>
      </c>
      <c r="J61" s="42"/>
      <c r="K61" s="43"/>
    </row>
    <row r="62" spans="1:11" ht="35.25" hidden="1" customHeight="1" x14ac:dyDescent="0.25">
      <c r="A62" s="34" t="s">
        <v>107</v>
      </c>
      <c r="B62" s="15">
        <v>0</v>
      </c>
      <c r="C62" s="32" t="s">
        <v>109</v>
      </c>
      <c r="D62" s="15">
        <v>1</v>
      </c>
      <c r="E62" s="30" t="s">
        <v>108</v>
      </c>
      <c r="F62" s="15">
        <v>0</v>
      </c>
      <c r="G62" s="32" t="s">
        <v>123</v>
      </c>
      <c r="H62" s="35">
        <v>7</v>
      </c>
      <c r="I62" s="41" t="s">
        <v>150</v>
      </c>
      <c r="J62" s="42"/>
      <c r="K62" s="43"/>
    </row>
    <row r="63" spans="1:11" ht="36" hidden="1" customHeight="1" x14ac:dyDescent="0.25">
      <c r="A63" s="152" t="s">
        <v>135</v>
      </c>
      <c r="B63" s="153"/>
      <c r="C63" s="149" t="str">
        <f>I60</f>
        <v xml:space="preserve">Work not yet Started.     </v>
      </c>
      <c r="D63" s="149"/>
      <c r="E63" s="149"/>
      <c r="F63" s="149"/>
      <c r="G63" s="149"/>
      <c r="H63" s="168"/>
      <c r="I63" s="41" t="s">
        <v>152</v>
      </c>
      <c r="J63" s="44"/>
      <c r="K63" s="45"/>
    </row>
    <row r="64" spans="1:11" ht="31.5" hidden="1" x14ac:dyDescent="0.25">
      <c r="A64" s="156" t="s">
        <v>51</v>
      </c>
      <c r="B64" s="157"/>
      <c r="C64" s="16" t="s">
        <v>126</v>
      </c>
      <c r="D64" s="29" t="s">
        <v>127</v>
      </c>
      <c r="E64" s="154" t="s">
        <v>129</v>
      </c>
      <c r="F64" s="154"/>
      <c r="G64" s="154" t="s">
        <v>128</v>
      </c>
      <c r="H64" s="155"/>
      <c r="I64" s="46"/>
      <c r="J64" s="44"/>
      <c r="K64" s="45"/>
    </row>
    <row r="65" spans="1:11" hidden="1" x14ac:dyDescent="0.25">
      <c r="A65" s="156" t="s">
        <v>52</v>
      </c>
      <c r="B65" s="157"/>
      <c r="C65" s="17">
        <v>0</v>
      </c>
      <c r="D65" s="31">
        <f>((100/10)*C65)/100</f>
        <v>0</v>
      </c>
      <c r="E65" s="160">
        <f>(IF(C63=I62,"100%",IF(C63=I63,"100%",((C65+(40/(B62+D62+F62+H62)*C66)+(15/H62*C67)+(10/H62*C68)+(10/H62*C69)+(5/H62*C70)+(5/H62*C71))/100))))</f>
        <v>0</v>
      </c>
      <c r="F65" s="160"/>
      <c r="G65" s="160">
        <f>((IF(C65=1,"2",IF(C65=2,"4",IF(C65=4,"8",IF(C65=5,"15",IF(C65=7,"20",IF(C65=10,"30","0")))))))/100)+(((30/(H62+F62+D62+B62)*C66)+(15/H62*C67)+(10/H62*C68)+(5/H62*C69)+(5/H62*C70)+(5/H62*C71))/100)</f>
        <v>0</v>
      </c>
      <c r="H65" s="183"/>
      <c r="I65" s="47" t="s">
        <v>143</v>
      </c>
      <c r="J65" s="48">
        <v>0.01</v>
      </c>
      <c r="K65" s="49">
        <v>0.02</v>
      </c>
    </row>
    <row r="66" spans="1:11" hidden="1" x14ac:dyDescent="0.25">
      <c r="A66" s="156" t="s">
        <v>149</v>
      </c>
      <c r="B66" s="157"/>
      <c r="C66" s="18">
        <v>0</v>
      </c>
      <c r="D66" s="31">
        <f>((100/(B62+F62+D62+H62))*C66)/100</f>
        <v>0</v>
      </c>
      <c r="E66" s="160"/>
      <c r="F66" s="160"/>
      <c r="G66" s="160"/>
      <c r="H66" s="183"/>
      <c r="I66" s="47" t="s">
        <v>144</v>
      </c>
      <c r="J66" s="48">
        <v>0.02</v>
      </c>
      <c r="K66" s="49">
        <v>0.04</v>
      </c>
    </row>
    <row r="67" spans="1:11" hidden="1" x14ac:dyDescent="0.25">
      <c r="A67" s="156" t="s">
        <v>53</v>
      </c>
      <c r="B67" s="157"/>
      <c r="C67" s="17">
        <v>0</v>
      </c>
      <c r="D67" s="31">
        <f>((100/H62)*C67)/100</f>
        <v>0</v>
      </c>
      <c r="E67" s="160"/>
      <c r="F67" s="160"/>
      <c r="G67" s="160"/>
      <c r="H67" s="183"/>
      <c r="I67" s="47" t="s">
        <v>145</v>
      </c>
      <c r="J67" s="48">
        <v>0.04</v>
      </c>
      <c r="K67" s="49">
        <v>0.08</v>
      </c>
    </row>
    <row r="68" spans="1:11" hidden="1" x14ac:dyDescent="0.25">
      <c r="A68" s="156" t="s">
        <v>54</v>
      </c>
      <c r="B68" s="157"/>
      <c r="C68" s="17">
        <v>0</v>
      </c>
      <c r="D68" s="31">
        <f>((100/H62)*C68)/100</f>
        <v>0</v>
      </c>
      <c r="E68" s="160"/>
      <c r="F68" s="160"/>
      <c r="G68" s="160"/>
      <c r="H68" s="183"/>
      <c r="I68" s="47" t="s">
        <v>146</v>
      </c>
      <c r="J68" s="48">
        <v>0.05</v>
      </c>
      <c r="K68" s="49">
        <v>0.15</v>
      </c>
    </row>
    <row r="69" spans="1:11" ht="15" hidden="1" customHeight="1" x14ac:dyDescent="0.25">
      <c r="A69" s="156" t="s">
        <v>55</v>
      </c>
      <c r="B69" s="157"/>
      <c r="C69" s="17">
        <v>0</v>
      </c>
      <c r="D69" s="31">
        <f>((100/H62)*C69)/100</f>
        <v>0</v>
      </c>
      <c r="E69" s="160"/>
      <c r="F69" s="160"/>
      <c r="G69" s="160"/>
      <c r="H69" s="183"/>
      <c r="I69" s="47" t="s">
        <v>147</v>
      </c>
      <c r="J69" s="48">
        <v>7.0000000000000007E-2</v>
      </c>
      <c r="K69" s="49">
        <v>0.2</v>
      </c>
    </row>
    <row r="70" spans="1:11" ht="16.5" hidden="1" thickBot="1" x14ac:dyDescent="0.3">
      <c r="A70" s="156" t="s">
        <v>56</v>
      </c>
      <c r="B70" s="157"/>
      <c r="C70" s="17">
        <v>0</v>
      </c>
      <c r="D70" s="31">
        <f>((100/H62)*C70)/100</f>
        <v>0</v>
      </c>
      <c r="E70" s="160"/>
      <c r="F70" s="160"/>
      <c r="G70" s="160"/>
      <c r="H70" s="183"/>
      <c r="I70" s="50" t="s">
        <v>148</v>
      </c>
      <c r="J70" s="51">
        <v>0.1</v>
      </c>
      <c r="K70" s="52">
        <v>0.3</v>
      </c>
    </row>
    <row r="71" spans="1:11" ht="16.5" hidden="1" thickBot="1" x14ac:dyDescent="0.3">
      <c r="A71" s="158" t="s">
        <v>57</v>
      </c>
      <c r="B71" s="159"/>
      <c r="C71" s="36">
        <v>0</v>
      </c>
      <c r="D71" s="37">
        <f>((100/H62)*C71)/100</f>
        <v>0</v>
      </c>
      <c r="E71" s="161"/>
      <c r="F71" s="161"/>
      <c r="G71" s="161"/>
      <c r="H71" s="184"/>
      <c r="I71" s="58"/>
      <c r="J71" s="48"/>
      <c r="K71" s="48"/>
    </row>
    <row r="72" spans="1:11" hidden="1" x14ac:dyDescent="0.25">
      <c r="A72" s="162"/>
      <c r="B72" s="162"/>
      <c r="C72" s="162"/>
      <c r="D72" s="162"/>
      <c r="E72" s="162"/>
      <c r="F72" s="162"/>
      <c r="G72" s="162"/>
      <c r="H72" s="162"/>
      <c r="I72" s="58"/>
      <c r="J72" s="48"/>
      <c r="K72" s="48"/>
    </row>
    <row r="73" spans="1:11" x14ac:dyDescent="0.25">
      <c r="A73" s="163" t="s">
        <v>207</v>
      </c>
      <c r="B73" s="164"/>
      <c r="C73" s="164"/>
      <c r="D73" s="164"/>
      <c r="E73" s="164"/>
      <c r="F73" s="164"/>
      <c r="G73" s="164"/>
      <c r="H73" s="165"/>
      <c r="I73" s="58"/>
      <c r="J73" s="48"/>
      <c r="K73" s="48"/>
    </row>
    <row r="74" spans="1:11" ht="41.25" x14ac:dyDescent="0.25">
      <c r="A74" s="63" t="s">
        <v>264</v>
      </c>
      <c r="B74" s="63" t="s">
        <v>208</v>
      </c>
      <c r="C74" s="63" t="s">
        <v>209</v>
      </c>
      <c r="D74" s="166" t="s">
        <v>210</v>
      </c>
      <c r="E74" s="166"/>
      <c r="F74" s="166"/>
      <c r="G74" s="64" t="s">
        <v>129</v>
      </c>
      <c r="H74" s="64" t="s">
        <v>128</v>
      </c>
      <c r="I74" s="58"/>
      <c r="J74" s="48"/>
      <c r="K74" s="48"/>
    </row>
    <row r="75" spans="1:11" s="87" customFormat="1" x14ac:dyDescent="0.25">
      <c r="A75" s="66" t="s">
        <v>261</v>
      </c>
      <c r="B75" s="66" t="s">
        <v>262</v>
      </c>
      <c r="C75" s="66" t="s">
        <v>262</v>
      </c>
      <c r="D75" s="150" t="s">
        <v>263</v>
      </c>
      <c r="E75" s="150"/>
      <c r="F75" s="150"/>
      <c r="G75" s="65">
        <v>0</v>
      </c>
      <c r="H75" s="65">
        <v>0</v>
      </c>
      <c r="I75" s="58"/>
      <c r="J75" s="86"/>
      <c r="K75" s="86"/>
    </row>
    <row r="76" spans="1:11" s="87" customFormat="1" ht="31.5" customHeight="1" x14ac:dyDescent="0.25">
      <c r="A76" s="120" t="s">
        <v>255</v>
      </c>
      <c r="B76" s="120" t="s">
        <v>65</v>
      </c>
      <c r="C76" s="120" t="s">
        <v>65</v>
      </c>
      <c r="D76" s="150" t="str">
        <f>Cons!R2</f>
        <v>Excavation work Completed. Plinth work completed</v>
      </c>
      <c r="E76" s="150"/>
      <c r="F76" s="150"/>
      <c r="G76" s="65">
        <f>Cons!P2</f>
        <v>0.1</v>
      </c>
      <c r="H76" s="65">
        <f>Cons!Q2</f>
        <v>0.45</v>
      </c>
      <c r="I76" s="58"/>
      <c r="J76" s="86"/>
      <c r="K76" s="86"/>
    </row>
    <row r="77" spans="1:11" s="87" customFormat="1" ht="31.5" customHeight="1" x14ac:dyDescent="0.25">
      <c r="A77" s="120" t="s">
        <v>256</v>
      </c>
      <c r="B77" s="120" t="s">
        <v>211</v>
      </c>
      <c r="C77" s="120" t="s">
        <v>211</v>
      </c>
      <c r="D77" s="150" t="str">
        <f>Cons!R3</f>
        <v>Excavation work Completed. Plinth work completed</v>
      </c>
      <c r="E77" s="150"/>
      <c r="F77" s="150"/>
      <c r="G77" s="65">
        <f>Cons!P3</f>
        <v>0.1</v>
      </c>
      <c r="H77" s="65">
        <f>Cons!Q3</f>
        <v>0.45</v>
      </c>
      <c r="I77" s="58"/>
      <c r="J77" s="86"/>
      <c r="K77" s="86"/>
    </row>
    <row r="78" spans="1:11" s="87" customFormat="1" ht="31.5" customHeight="1" x14ac:dyDescent="0.25">
      <c r="A78" s="120" t="s">
        <v>256</v>
      </c>
      <c r="B78" s="120" t="s">
        <v>212</v>
      </c>
      <c r="C78" s="120" t="s">
        <v>212</v>
      </c>
      <c r="D78" s="150" t="str">
        <f>Cons!R4</f>
        <v>Excavation work Completed. Plinth work completed</v>
      </c>
      <c r="E78" s="150"/>
      <c r="F78" s="150"/>
      <c r="G78" s="65">
        <f>Cons!P4</f>
        <v>0.1</v>
      </c>
      <c r="H78" s="65">
        <f>Cons!Q4</f>
        <v>0.45</v>
      </c>
      <c r="I78" s="58"/>
      <c r="J78" s="86"/>
      <c r="K78" s="86"/>
    </row>
    <row r="79" spans="1:11" s="87" customFormat="1" ht="31.5" customHeight="1" x14ac:dyDescent="0.25">
      <c r="A79" s="120" t="s">
        <v>256</v>
      </c>
      <c r="B79" s="120" t="s">
        <v>213</v>
      </c>
      <c r="C79" s="120" t="s">
        <v>213</v>
      </c>
      <c r="D79" s="150" t="str">
        <f>Cons!R5</f>
        <v>Excavation work Completed. Plinth work completed</v>
      </c>
      <c r="E79" s="150"/>
      <c r="F79" s="150"/>
      <c r="G79" s="65">
        <f>Cons!P5</f>
        <v>0.1</v>
      </c>
      <c r="H79" s="65">
        <f>Cons!Q5</f>
        <v>0.45</v>
      </c>
      <c r="I79" s="58"/>
      <c r="J79" s="86"/>
      <c r="K79" s="86"/>
    </row>
    <row r="80" spans="1:11" s="87" customFormat="1" ht="31.5" customHeight="1" x14ac:dyDescent="0.25">
      <c r="A80" s="120" t="s">
        <v>256</v>
      </c>
      <c r="B80" s="120" t="s">
        <v>195</v>
      </c>
      <c r="C80" s="120" t="s">
        <v>195</v>
      </c>
      <c r="D80" s="150" t="str">
        <f>Cons!R6</f>
        <v>Excavation work Completed. Plinth work completed</v>
      </c>
      <c r="E80" s="150"/>
      <c r="F80" s="150"/>
      <c r="G80" s="65">
        <f>Cons!P6</f>
        <v>0.1</v>
      </c>
      <c r="H80" s="65">
        <f>Cons!Q6</f>
        <v>0.45</v>
      </c>
      <c r="I80" s="58"/>
      <c r="J80" s="86"/>
      <c r="K80" s="86"/>
    </row>
    <row r="81" spans="1:11" s="87" customFormat="1" ht="31.5" customHeight="1" x14ac:dyDescent="0.25">
      <c r="A81" s="120" t="s">
        <v>257</v>
      </c>
      <c r="B81" s="120" t="s">
        <v>65</v>
      </c>
      <c r="C81" s="67" t="s">
        <v>196</v>
      </c>
      <c r="D81" s="150" t="str">
        <f>Cons!R7</f>
        <v>Excavation work Completed. Plinth work completed</v>
      </c>
      <c r="E81" s="150"/>
      <c r="F81" s="150"/>
      <c r="G81" s="65">
        <f>Cons!P7</f>
        <v>0.1</v>
      </c>
      <c r="H81" s="65">
        <f>Cons!Q7</f>
        <v>0.45</v>
      </c>
      <c r="I81" s="58"/>
      <c r="J81" s="86"/>
      <c r="K81" s="86"/>
    </row>
    <row r="82" spans="1:11" s="87" customFormat="1" ht="31.5" customHeight="1" x14ac:dyDescent="0.25">
      <c r="A82" s="120" t="s">
        <v>258</v>
      </c>
      <c r="B82" s="120" t="s">
        <v>211</v>
      </c>
      <c r="C82" s="67" t="s">
        <v>214</v>
      </c>
      <c r="D82" s="150" t="str">
        <f>Cons!R8</f>
        <v>Excavation work Completed. Plinth work completed</v>
      </c>
      <c r="E82" s="150"/>
      <c r="F82" s="150"/>
      <c r="G82" s="65">
        <f>Cons!P8</f>
        <v>0.1</v>
      </c>
      <c r="H82" s="65">
        <f>Cons!Q8</f>
        <v>0.45</v>
      </c>
      <c r="I82" s="58"/>
      <c r="J82" s="86"/>
      <c r="K82" s="86"/>
    </row>
    <row r="83" spans="1:11" s="87" customFormat="1" ht="32.25" customHeight="1" x14ac:dyDescent="0.25">
      <c r="A83" s="120" t="s">
        <v>258</v>
      </c>
      <c r="B83" s="120" t="s">
        <v>212</v>
      </c>
      <c r="C83" s="67" t="s">
        <v>197</v>
      </c>
      <c r="D83" s="150" t="str">
        <f>Cons!R9</f>
        <v>Excavation work Completed. Plinth work is process</v>
      </c>
      <c r="E83" s="150"/>
      <c r="F83" s="150"/>
      <c r="G83" s="65">
        <f>Cons!P9</f>
        <v>7.4999999999999997E-2</v>
      </c>
      <c r="H83" s="65">
        <f>Cons!Q9</f>
        <v>0.38750000000000001</v>
      </c>
      <c r="I83" s="58"/>
      <c r="J83" s="86"/>
      <c r="K83" s="86"/>
    </row>
    <row r="84" spans="1:11" s="87" customFormat="1" ht="32.25" customHeight="1" x14ac:dyDescent="0.25">
      <c r="A84" s="120" t="s">
        <v>259</v>
      </c>
      <c r="B84" s="120" t="s">
        <v>65</v>
      </c>
      <c r="C84" s="120" t="s">
        <v>215</v>
      </c>
      <c r="D84" s="150" t="str">
        <f>Cons!R10</f>
        <v>Excavation work Completed. Footing work Completed</v>
      </c>
      <c r="E84" s="150"/>
      <c r="F84" s="150"/>
      <c r="G84" s="65">
        <f>Cons!P10</f>
        <v>0.05</v>
      </c>
      <c r="H84" s="65">
        <f>Cons!Q10</f>
        <v>0.32500000000000001</v>
      </c>
      <c r="I84" s="58"/>
      <c r="J84" s="86"/>
      <c r="K84" s="86"/>
    </row>
    <row r="85" spans="1:11" s="87" customFormat="1" ht="32.25" customHeight="1" x14ac:dyDescent="0.25">
      <c r="A85" s="120" t="s">
        <v>260</v>
      </c>
      <c r="B85" s="120" t="s">
        <v>211</v>
      </c>
      <c r="C85" s="120" t="s">
        <v>216</v>
      </c>
      <c r="D85" s="150" t="str">
        <f>Cons!R11</f>
        <v>Excavation work Completed. Footing work Completed</v>
      </c>
      <c r="E85" s="150"/>
      <c r="F85" s="150"/>
      <c r="G85" s="65">
        <f>Cons!P11</f>
        <v>0.05</v>
      </c>
      <c r="H85" s="65">
        <f>Cons!Q11</f>
        <v>0.32500000000000001</v>
      </c>
      <c r="I85" s="58"/>
      <c r="J85" s="86"/>
      <c r="K85" s="86"/>
    </row>
    <row r="86" spans="1:11" s="87" customFormat="1" ht="32.25" customHeight="1" x14ac:dyDescent="0.25">
      <c r="A86" s="120" t="s">
        <v>254</v>
      </c>
      <c r="B86" s="120" t="s">
        <v>212</v>
      </c>
      <c r="C86" s="120" t="s">
        <v>217</v>
      </c>
      <c r="D86" s="150" t="str">
        <f>Cons!R12</f>
        <v>Excavation work Completed. Footing work Completed</v>
      </c>
      <c r="E86" s="150"/>
      <c r="F86" s="150"/>
      <c r="G86" s="65">
        <f>Cons!P12</f>
        <v>0.05</v>
      </c>
      <c r="H86" s="65">
        <f>Cons!Q12</f>
        <v>0.32500000000000001</v>
      </c>
      <c r="I86" s="58"/>
      <c r="J86" s="86"/>
      <c r="K86" s="86"/>
    </row>
    <row r="87" spans="1:11" s="87" customFormat="1" ht="32.25" customHeight="1" x14ac:dyDescent="0.25">
      <c r="A87" s="120" t="s">
        <v>253</v>
      </c>
      <c r="B87" s="120" t="s">
        <v>65</v>
      </c>
      <c r="C87" s="67" t="s">
        <v>219</v>
      </c>
      <c r="D87" s="150" t="str">
        <f>Cons!R13</f>
        <v>Excavation work Completed. Footing work is process</v>
      </c>
      <c r="E87" s="150"/>
      <c r="F87" s="150"/>
      <c r="G87" s="65">
        <f>Cons!P13</f>
        <v>2.5000000000000001E-2</v>
      </c>
      <c r="H87" s="65">
        <f>Cons!Q13</f>
        <v>0.26250000000000001</v>
      </c>
      <c r="I87" s="58"/>
      <c r="J87" s="86"/>
      <c r="K87" s="86"/>
    </row>
    <row r="88" spans="1:11" s="87" customFormat="1" ht="30.75" customHeight="1" x14ac:dyDescent="0.25">
      <c r="A88" s="120" t="s">
        <v>251</v>
      </c>
      <c r="B88" s="120" t="s">
        <v>211</v>
      </c>
      <c r="C88" s="67" t="s">
        <v>220</v>
      </c>
      <c r="D88" s="150" t="str">
        <f>Cons!R14</f>
        <v>Excavation work Completed. Plinth work is process</v>
      </c>
      <c r="E88" s="150"/>
      <c r="F88" s="150"/>
      <c r="G88" s="65">
        <f>Cons!P14</f>
        <v>7.4999999999999997E-2</v>
      </c>
      <c r="H88" s="65">
        <f>Cons!Q14</f>
        <v>0.38750000000000001</v>
      </c>
      <c r="I88" s="58"/>
      <c r="J88" s="86"/>
      <c r="K88" s="86"/>
    </row>
    <row r="89" spans="1:11" s="87" customFormat="1" ht="33.75" customHeight="1" x14ac:dyDescent="0.25">
      <c r="A89" s="119" t="s">
        <v>252</v>
      </c>
      <c r="B89" s="119" t="s">
        <v>212</v>
      </c>
      <c r="C89" s="68" t="s">
        <v>221</v>
      </c>
      <c r="D89" s="150" t="str">
        <f>Cons!R15</f>
        <v>Excavation work Completed. Plinth work completed</v>
      </c>
      <c r="E89" s="150"/>
      <c r="F89" s="150"/>
      <c r="G89" s="65">
        <f>Cons!P15</f>
        <v>0.1</v>
      </c>
      <c r="H89" s="65">
        <f>Cons!Q15</f>
        <v>0.45</v>
      </c>
      <c r="I89" s="58"/>
      <c r="J89" s="86"/>
      <c r="K89" s="86"/>
    </row>
    <row r="90" spans="1:11" s="87" customFormat="1" ht="32.25" customHeight="1" x14ac:dyDescent="0.25">
      <c r="A90" s="119" t="s">
        <v>251</v>
      </c>
      <c r="B90" s="119" t="s">
        <v>213</v>
      </c>
      <c r="C90" s="119" t="s">
        <v>222</v>
      </c>
      <c r="D90" s="150" t="str">
        <f>Cons!R16</f>
        <v>Excavation work Completed. Plinth work completed</v>
      </c>
      <c r="E90" s="150"/>
      <c r="F90" s="150"/>
      <c r="G90" s="65">
        <f>Cons!P16</f>
        <v>0.1</v>
      </c>
      <c r="H90" s="65">
        <f>Cons!Q16</f>
        <v>0.45</v>
      </c>
      <c r="I90" s="58"/>
      <c r="J90" s="86"/>
      <c r="K90" s="86"/>
    </row>
    <row r="91" spans="1:11" s="87" customFormat="1" ht="31.5" customHeight="1" x14ac:dyDescent="0.25">
      <c r="A91" s="68" t="s">
        <v>250</v>
      </c>
      <c r="B91" s="68" t="s">
        <v>195</v>
      </c>
      <c r="C91" s="68" t="s">
        <v>90</v>
      </c>
      <c r="D91" s="150" t="str">
        <f>Cons!R17</f>
        <v>Excavation work Completed. Plinth work is process</v>
      </c>
      <c r="E91" s="150"/>
      <c r="F91" s="150"/>
      <c r="G91" s="65">
        <f>Cons!P17</f>
        <v>7.4999999999999997E-2</v>
      </c>
      <c r="H91" s="65">
        <f>Cons!Q17</f>
        <v>0.38750000000000001</v>
      </c>
      <c r="I91" s="58"/>
      <c r="J91" s="86"/>
      <c r="K91" s="86"/>
    </row>
    <row r="92" spans="1:11" s="87" customFormat="1" ht="33" customHeight="1" x14ac:dyDescent="0.25">
      <c r="A92" s="68" t="s">
        <v>249</v>
      </c>
      <c r="B92" s="68" t="s">
        <v>196</v>
      </c>
      <c r="C92" s="68" t="s">
        <v>218</v>
      </c>
      <c r="D92" s="150" t="str">
        <f>Cons!R18</f>
        <v>Excavation work Completed. Footing work Completed</v>
      </c>
      <c r="E92" s="150"/>
      <c r="F92" s="150"/>
      <c r="G92" s="65">
        <f>Cons!P18</f>
        <v>0.05</v>
      </c>
      <c r="H92" s="65">
        <f>Cons!Q18</f>
        <v>0.32500000000000001</v>
      </c>
      <c r="I92" s="58"/>
      <c r="J92" s="86"/>
      <c r="K92" s="86"/>
    </row>
    <row r="93" spans="1:11" s="87" customFormat="1" ht="18.600000000000001" customHeight="1" x14ac:dyDescent="0.25">
      <c r="A93" s="91" t="s">
        <v>248</v>
      </c>
      <c r="B93" s="91" t="s">
        <v>65</v>
      </c>
      <c r="C93" s="90" t="s">
        <v>199</v>
      </c>
      <c r="D93" s="150" t="str">
        <f>Cons!R19</f>
        <v>All work completed. Please provide OC.</v>
      </c>
      <c r="E93" s="150"/>
      <c r="F93" s="150"/>
      <c r="G93" s="65">
        <f>Cons!P19</f>
        <v>1</v>
      </c>
      <c r="H93" s="65">
        <f>Cons!Q19</f>
        <v>1</v>
      </c>
      <c r="I93" s="58"/>
      <c r="J93" s="86"/>
      <c r="K93" s="86"/>
    </row>
    <row r="94" spans="1:11" s="87" customFormat="1" ht="18" customHeight="1" x14ac:dyDescent="0.25">
      <c r="A94" s="71" t="s">
        <v>247</v>
      </c>
      <c r="B94" s="71" t="s">
        <v>211</v>
      </c>
      <c r="C94" s="68" t="s">
        <v>200</v>
      </c>
      <c r="D94" s="150" t="str">
        <f>Cons!R20</f>
        <v>All work completed. Please provide OC.</v>
      </c>
      <c r="E94" s="150"/>
      <c r="F94" s="150"/>
      <c r="G94" s="65">
        <f>Cons!P20</f>
        <v>1</v>
      </c>
      <c r="H94" s="65">
        <f>Cons!Q20</f>
        <v>1</v>
      </c>
      <c r="I94" s="58"/>
      <c r="J94" s="86" t="s">
        <v>299</v>
      </c>
      <c r="K94" s="86"/>
    </row>
    <row r="95" spans="1:11" s="87" customFormat="1" ht="18" customHeight="1" x14ac:dyDescent="0.25">
      <c r="A95" s="71" t="s">
        <v>245</v>
      </c>
      <c r="B95" s="71" t="s">
        <v>212</v>
      </c>
      <c r="C95" s="68" t="s">
        <v>201</v>
      </c>
      <c r="D95" s="150" t="str">
        <f>Cons!R21</f>
        <v>All work completed. Please provide OC.</v>
      </c>
      <c r="E95" s="150"/>
      <c r="F95" s="150"/>
      <c r="G95" s="65">
        <f>Cons!P21</f>
        <v>1</v>
      </c>
      <c r="H95" s="65">
        <f>Cons!Q21</f>
        <v>1</v>
      </c>
      <c r="I95" s="58"/>
      <c r="J95" s="86"/>
      <c r="K95" s="86"/>
    </row>
    <row r="96" spans="1:11" s="87" customFormat="1" ht="20.100000000000001" customHeight="1" x14ac:dyDescent="0.25">
      <c r="A96" s="71" t="s">
        <v>246</v>
      </c>
      <c r="B96" s="71" t="s">
        <v>213</v>
      </c>
      <c r="C96" s="68" t="s">
        <v>202</v>
      </c>
      <c r="D96" s="150" t="str">
        <f>Cons!R22</f>
        <v>All work completed. Please provide OC.</v>
      </c>
      <c r="E96" s="150"/>
      <c r="F96" s="150"/>
      <c r="G96" s="65">
        <f>Cons!P22</f>
        <v>1</v>
      </c>
      <c r="H96" s="65">
        <f>Cons!Q22</f>
        <v>1</v>
      </c>
      <c r="I96" s="58"/>
      <c r="J96" s="86"/>
      <c r="K96" s="86"/>
    </row>
    <row r="97" spans="1:11" s="87" customFormat="1" x14ac:dyDescent="0.25">
      <c r="A97" s="71" t="s">
        <v>245</v>
      </c>
      <c r="B97" s="71" t="s">
        <v>195</v>
      </c>
      <c r="C97" s="68" t="s">
        <v>91</v>
      </c>
      <c r="D97" s="150" t="str">
        <f>Cons!R23</f>
        <v>All work completed. Please provide OC.</v>
      </c>
      <c r="E97" s="150"/>
      <c r="F97" s="150"/>
      <c r="G97" s="65">
        <f>Cons!P23</f>
        <v>1</v>
      </c>
      <c r="H97" s="65">
        <f>Cons!Q23</f>
        <v>1</v>
      </c>
      <c r="I97" s="58"/>
      <c r="J97" s="86"/>
      <c r="K97" s="86"/>
    </row>
    <row r="98" spans="1:11" x14ac:dyDescent="0.25">
      <c r="A98" s="71" t="s">
        <v>244</v>
      </c>
      <c r="B98" s="71" t="s">
        <v>196</v>
      </c>
      <c r="C98" s="90" t="s">
        <v>198</v>
      </c>
      <c r="D98" s="150" t="str">
        <f>Cons!R24</f>
        <v>All work completed. Please provide OC.</v>
      </c>
      <c r="E98" s="150"/>
      <c r="F98" s="150"/>
      <c r="G98" s="65">
        <f>Cons!P24</f>
        <v>1</v>
      </c>
      <c r="H98" s="65">
        <f>Cons!Q24</f>
        <v>1</v>
      </c>
      <c r="I98" s="58"/>
      <c r="J98" s="48"/>
      <c r="K98" s="48"/>
    </row>
    <row r="99" spans="1:11" ht="51" customHeight="1" x14ac:dyDescent="0.25">
      <c r="A99" s="122" t="s">
        <v>243</v>
      </c>
      <c r="B99" s="122" t="s">
        <v>65</v>
      </c>
      <c r="C99" s="122" t="s">
        <v>203</v>
      </c>
      <c r="D99" s="150" t="str">
        <f>Cons!R25</f>
        <v>Plinth, RCC, Brick, Plaster, Flooring, Painting work Completed. Finishing work is in process.</v>
      </c>
      <c r="E99" s="150"/>
      <c r="F99" s="150"/>
      <c r="G99" s="65">
        <f>Cons!P25</f>
        <v>0.9</v>
      </c>
      <c r="H99" s="65">
        <f>Cons!Q25</f>
        <v>0.94374999999999998</v>
      </c>
      <c r="I99" s="58"/>
      <c r="J99" s="48"/>
      <c r="K99" s="48"/>
    </row>
    <row r="100" spans="1:11" ht="51" customHeight="1" x14ac:dyDescent="0.25">
      <c r="A100" s="122" t="s">
        <v>242</v>
      </c>
      <c r="B100" s="122" t="s">
        <v>211</v>
      </c>
      <c r="C100" s="122" t="s">
        <v>205</v>
      </c>
      <c r="D100" s="150" t="str">
        <f>Cons!R26</f>
        <v>Plinth, RCC, Brick, Plaster, Flooring, Painting work Completed. Finishing work is in process.</v>
      </c>
      <c r="E100" s="150"/>
      <c r="F100" s="150"/>
      <c r="G100" s="65">
        <f>Cons!P26</f>
        <v>0.9</v>
      </c>
      <c r="H100" s="65">
        <f>Cons!Q26</f>
        <v>0.94374999999999998</v>
      </c>
      <c r="I100" s="58"/>
      <c r="J100" s="48"/>
      <c r="K100" s="48"/>
    </row>
    <row r="101" spans="1:11" ht="49.5" customHeight="1" x14ac:dyDescent="0.25">
      <c r="A101" s="71" t="s">
        <v>241</v>
      </c>
      <c r="B101" s="71" t="s">
        <v>212</v>
      </c>
      <c r="C101" s="71" t="s">
        <v>206</v>
      </c>
      <c r="D101" s="150" t="str">
        <f>Cons!R27</f>
        <v>Plinth, RCC, Brick, Plaster, Flooring, Painting work Completed. Finishing work is in process.</v>
      </c>
      <c r="E101" s="150"/>
      <c r="F101" s="150"/>
      <c r="G101" s="65">
        <f>Cons!P27</f>
        <v>0.9</v>
      </c>
      <c r="H101" s="65">
        <f>Cons!Q27</f>
        <v>0.94374999999999998</v>
      </c>
      <c r="I101" s="58"/>
      <c r="J101" s="48"/>
      <c r="K101" s="48"/>
    </row>
    <row r="102" spans="1:11" ht="51" customHeight="1" x14ac:dyDescent="0.25">
      <c r="A102" s="71" t="s">
        <v>241</v>
      </c>
      <c r="B102" s="71" t="s">
        <v>213</v>
      </c>
      <c r="C102" s="71" t="s">
        <v>204</v>
      </c>
      <c r="D102" s="150" t="str">
        <f>Cons!R28</f>
        <v>Plinth, RCC, Brick, Plaster, Flooring, Painting work Completed. Finishing work is in process.</v>
      </c>
      <c r="E102" s="150"/>
      <c r="F102" s="150"/>
      <c r="G102" s="65">
        <f>Cons!P28</f>
        <v>0.9</v>
      </c>
      <c r="H102" s="65">
        <f>Cons!Q28</f>
        <v>0.94374999999999998</v>
      </c>
    </row>
    <row r="103" spans="1:11" x14ac:dyDescent="0.25">
      <c r="A103" s="151" t="s">
        <v>223</v>
      </c>
      <c r="B103" s="151"/>
      <c r="C103" s="151"/>
      <c r="D103" s="151"/>
      <c r="E103" s="151"/>
      <c r="F103" s="151"/>
      <c r="G103" s="151"/>
      <c r="H103" s="151"/>
    </row>
    <row r="104" spans="1:11" ht="15" customHeight="1" x14ac:dyDescent="0.25">
      <c r="A104" s="142" t="s">
        <v>58</v>
      </c>
      <c r="B104" s="142"/>
      <c r="C104" s="142"/>
      <c r="D104" s="142"/>
      <c r="E104" s="142"/>
      <c r="F104" s="142"/>
      <c r="G104" s="142"/>
      <c r="H104" s="142"/>
    </row>
    <row r="105" spans="1:11" x14ac:dyDescent="0.25">
      <c r="A105" s="148" t="s">
        <v>112</v>
      </c>
      <c r="B105" s="148"/>
      <c r="C105" s="149" t="s">
        <v>113</v>
      </c>
      <c r="D105" s="149"/>
      <c r="E105" s="149"/>
      <c r="F105" s="149"/>
      <c r="G105" s="149"/>
      <c r="H105" s="149"/>
    </row>
    <row r="106" spans="1:11" x14ac:dyDescent="0.25">
      <c r="A106" s="147" t="s">
        <v>59</v>
      </c>
      <c r="B106" s="147"/>
      <c r="C106" s="147"/>
      <c r="D106" s="147"/>
      <c r="E106" s="147"/>
      <c r="F106" s="147"/>
      <c r="G106" s="147"/>
      <c r="H106" s="147"/>
    </row>
    <row r="107" spans="1:11" x14ac:dyDescent="0.25">
      <c r="A107" s="142" t="s">
        <v>114</v>
      </c>
      <c r="B107" s="142"/>
      <c r="C107" s="142"/>
      <c r="D107" s="142"/>
      <c r="E107" s="142"/>
      <c r="F107" s="143">
        <v>3600</v>
      </c>
      <c r="G107" s="143"/>
      <c r="H107" s="143"/>
    </row>
    <row r="108" spans="1:11" s="13" customFormat="1" x14ac:dyDescent="0.25">
      <c r="A108" s="142" t="s">
        <v>122</v>
      </c>
      <c r="B108" s="142"/>
      <c r="C108" s="142"/>
      <c r="D108" s="142"/>
      <c r="E108" s="142"/>
      <c r="F108" s="143">
        <v>5500</v>
      </c>
      <c r="G108" s="143"/>
      <c r="H108" s="143"/>
    </row>
    <row r="109" spans="1:11" s="13" customFormat="1" x14ac:dyDescent="0.25">
      <c r="A109" s="142" t="s">
        <v>270</v>
      </c>
      <c r="B109" s="142"/>
      <c r="C109" s="142"/>
      <c r="D109" s="142"/>
      <c r="E109" s="142"/>
      <c r="F109" s="143" t="s">
        <v>265</v>
      </c>
      <c r="G109" s="143"/>
      <c r="H109" s="143"/>
    </row>
    <row r="110" spans="1:11" s="13" customFormat="1" x14ac:dyDescent="0.25">
      <c r="A110" s="142" t="s">
        <v>268</v>
      </c>
      <c r="B110" s="142"/>
      <c r="C110" s="142"/>
      <c r="D110" s="142"/>
      <c r="E110" s="142"/>
      <c r="F110" s="143" t="s">
        <v>269</v>
      </c>
      <c r="G110" s="143"/>
      <c r="H110" s="143"/>
    </row>
    <row r="111" spans="1:11" s="13" customFormat="1" x14ac:dyDescent="0.25">
      <c r="A111" s="142" t="s">
        <v>142</v>
      </c>
      <c r="B111" s="142"/>
      <c r="C111" s="142"/>
      <c r="D111" s="142"/>
      <c r="E111" s="142"/>
      <c r="F111" s="143" t="s">
        <v>267</v>
      </c>
      <c r="G111" s="143"/>
      <c r="H111" s="143"/>
    </row>
    <row r="112" spans="1:11" s="13" customFormat="1" x14ac:dyDescent="0.25">
      <c r="A112" s="142" t="s">
        <v>266</v>
      </c>
      <c r="B112" s="142"/>
      <c r="C112" s="142"/>
      <c r="D112" s="142"/>
      <c r="E112" s="142"/>
      <c r="F112" s="143" t="s">
        <v>273</v>
      </c>
      <c r="G112" s="143"/>
      <c r="H112" s="143"/>
    </row>
    <row r="113" spans="1:8" x14ac:dyDescent="0.25">
      <c r="A113" s="142" t="s">
        <v>141</v>
      </c>
      <c r="B113" s="142"/>
      <c r="C113" s="142"/>
      <c r="D113" s="142"/>
      <c r="E113" s="142"/>
      <c r="F113" s="143" t="s">
        <v>265</v>
      </c>
      <c r="G113" s="143"/>
      <c r="H113" s="143"/>
    </row>
    <row r="114" spans="1:8" s="9" customFormat="1" x14ac:dyDescent="0.25">
      <c r="A114" s="142" t="s">
        <v>60</v>
      </c>
      <c r="B114" s="142"/>
      <c r="C114" s="142"/>
      <c r="D114" s="142"/>
      <c r="E114" s="142"/>
      <c r="F114" s="169" t="s">
        <v>232</v>
      </c>
      <c r="G114" s="169"/>
      <c r="H114" s="169"/>
    </row>
    <row r="115" spans="1:8" s="1" customFormat="1" ht="15.75" customHeight="1" x14ac:dyDescent="0.25">
      <c r="A115" s="147" t="s">
        <v>61</v>
      </c>
      <c r="B115" s="147"/>
      <c r="C115" s="147"/>
      <c r="D115" s="147"/>
      <c r="E115" s="147"/>
      <c r="F115" s="143">
        <f>F107*0.8</f>
        <v>2880</v>
      </c>
      <c r="G115" s="143"/>
      <c r="H115" s="143"/>
    </row>
    <row r="116" spans="1:8" s="1" customFormat="1" ht="15.75" hidden="1" customHeight="1" x14ac:dyDescent="0.25">
      <c r="A116" s="203" t="s">
        <v>115</v>
      </c>
      <c r="B116" s="203"/>
      <c r="C116" s="203"/>
      <c r="D116" s="203"/>
      <c r="E116" s="203"/>
      <c r="F116" s="203"/>
      <c r="G116" s="203"/>
      <c r="H116" s="203"/>
    </row>
    <row r="117" spans="1:8" s="1" customFormat="1" hidden="1" x14ac:dyDescent="0.25">
      <c r="A117" s="145" t="s">
        <v>62</v>
      </c>
      <c r="B117" s="145"/>
      <c r="C117" s="19" t="s">
        <v>119</v>
      </c>
      <c r="D117" s="222" t="s">
        <v>63</v>
      </c>
      <c r="E117" s="222"/>
      <c r="F117" s="145" t="s">
        <v>64</v>
      </c>
      <c r="G117" s="145"/>
      <c r="H117" s="145"/>
    </row>
    <row r="118" spans="1:8" s="1" customFormat="1" hidden="1" x14ac:dyDescent="0.25">
      <c r="A118" s="206"/>
      <c r="B118" s="206"/>
      <c r="C118" s="20"/>
      <c r="D118" s="204"/>
      <c r="E118" s="204"/>
      <c r="F118" s="205"/>
      <c r="G118" s="205"/>
      <c r="H118" s="205"/>
    </row>
    <row r="119" spans="1:8" s="1" customFormat="1" hidden="1" x14ac:dyDescent="0.25">
      <c r="A119" s="203" t="s">
        <v>106</v>
      </c>
      <c r="B119" s="203"/>
      <c r="C119" s="203"/>
      <c r="D119" s="203"/>
      <c r="E119" s="203"/>
      <c r="F119" s="203"/>
      <c r="G119" s="203"/>
      <c r="H119" s="203"/>
    </row>
    <row r="120" spans="1:8" s="1" customFormat="1" hidden="1" x14ac:dyDescent="0.25">
      <c r="A120" s="145" t="s">
        <v>62</v>
      </c>
      <c r="B120" s="145"/>
      <c r="C120" s="19" t="s">
        <v>119</v>
      </c>
      <c r="D120" s="222" t="s">
        <v>63</v>
      </c>
      <c r="E120" s="222"/>
      <c r="F120" s="145" t="s">
        <v>64</v>
      </c>
      <c r="G120" s="145"/>
      <c r="H120" s="145"/>
    </row>
    <row r="121" spans="1:8" s="9" customFormat="1" hidden="1" x14ac:dyDescent="0.25">
      <c r="A121" s="206"/>
      <c r="B121" s="206"/>
      <c r="C121" s="20"/>
      <c r="D121" s="204"/>
      <c r="E121" s="204"/>
      <c r="F121" s="205"/>
      <c r="G121" s="205"/>
      <c r="H121" s="205"/>
    </row>
    <row r="122" spans="1:8" x14ac:dyDescent="0.25">
      <c r="A122" s="190" t="s">
        <v>67</v>
      </c>
      <c r="B122" s="190"/>
      <c r="C122" s="190"/>
      <c r="D122" s="190"/>
      <c r="E122" s="190"/>
      <c r="F122" s="190"/>
      <c r="G122" s="190"/>
      <c r="H122" s="190"/>
    </row>
    <row r="123" spans="1:8" x14ac:dyDescent="0.25">
      <c r="A123" s="190" t="s">
        <v>68</v>
      </c>
      <c r="B123" s="190"/>
      <c r="C123" s="190"/>
      <c r="D123" s="190"/>
      <c r="E123" s="190"/>
      <c r="F123" s="190"/>
      <c r="G123" s="190"/>
      <c r="H123" s="190"/>
    </row>
    <row r="124" spans="1:8" s="2" customFormat="1" ht="42.75" x14ac:dyDescent="0.25">
      <c r="A124" s="144" t="s">
        <v>116</v>
      </c>
      <c r="B124" s="144"/>
      <c r="C124" s="28" t="s">
        <v>69</v>
      </c>
      <c r="D124" s="28" t="s">
        <v>70</v>
      </c>
      <c r="E124" s="21" t="s">
        <v>71</v>
      </c>
      <c r="F124" s="28" t="s">
        <v>72</v>
      </c>
      <c r="G124" s="144" t="s">
        <v>73</v>
      </c>
      <c r="H124" s="144"/>
    </row>
    <row r="125" spans="1:8" s="2" customFormat="1" x14ac:dyDescent="0.25">
      <c r="A125" s="134" t="s">
        <v>166</v>
      </c>
      <c r="B125" s="134"/>
      <c r="C125" s="134"/>
      <c r="D125" s="134"/>
      <c r="E125" s="134"/>
      <c r="F125" s="134"/>
      <c r="G125" s="134"/>
      <c r="H125" s="134"/>
    </row>
    <row r="126" spans="1:8" s="2" customFormat="1" x14ac:dyDescent="0.25">
      <c r="A126" s="134" t="s">
        <v>167</v>
      </c>
      <c r="B126" s="134"/>
      <c r="C126" s="134"/>
      <c r="D126" s="134"/>
      <c r="E126" s="134"/>
      <c r="F126" s="134"/>
      <c r="G126" s="134"/>
      <c r="H126" s="134"/>
    </row>
    <row r="127" spans="1:8" s="2" customFormat="1" x14ac:dyDescent="0.25">
      <c r="A127" s="134" t="s">
        <v>168</v>
      </c>
      <c r="B127" s="134"/>
      <c r="C127" s="134"/>
      <c r="D127" s="134"/>
      <c r="E127" s="134"/>
      <c r="F127" s="134"/>
      <c r="G127" s="134"/>
      <c r="H127" s="134"/>
    </row>
    <row r="128" spans="1:8" s="2" customFormat="1" x14ac:dyDescent="0.25">
      <c r="A128" s="133">
        <v>1</v>
      </c>
      <c r="B128" s="133"/>
      <c r="C128" s="121" t="s">
        <v>172</v>
      </c>
      <c r="D128" s="121">
        <f>15.3*10.764</f>
        <v>164.6892</v>
      </c>
      <c r="E128" s="121">
        <v>0</v>
      </c>
      <c r="F128" s="121">
        <f>D128*1.5</f>
        <v>247.03379999999999</v>
      </c>
      <c r="G128" s="133" t="s">
        <v>173</v>
      </c>
      <c r="H128" s="133"/>
    </row>
    <row r="129" spans="1:9" s="2" customFormat="1" x14ac:dyDescent="0.25">
      <c r="A129" s="133">
        <v>2</v>
      </c>
      <c r="B129" s="133"/>
      <c r="C129" s="121" t="s">
        <v>172</v>
      </c>
      <c r="D129" s="121">
        <f>16.69*10.764</f>
        <v>179.65116</v>
      </c>
      <c r="E129" s="121">
        <v>0</v>
      </c>
      <c r="F129" s="121">
        <f t="shared" ref="F129:F133" si="0">D129*1.5</f>
        <v>269.47674000000001</v>
      </c>
      <c r="G129" s="133" t="s">
        <v>173</v>
      </c>
      <c r="H129" s="133"/>
      <c r="I129" s="2">
        <v>6</v>
      </c>
    </row>
    <row r="130" spans="1:9" s="2" customFormat="1" x14ac:dyDescent="0.25">
      <c r="A130" s="133">
        <v>3</v>
      </c>
      <c r="B130" s="133"/>
      <c r="C130" s="121" t="s">
        <v>172</v>
      </c>
      <c r="D130" s="121">
        <f>11.43*10.764</f>
        <v>123.03251999999999</v>
      </c>
      <c r="E130" s="121">
        <v>0</v>
      </c>
      <c r="F130" s="121">
        <f t="shared" si="0"/>
        <v>184.54877999999999</v>
      </c>
      <c r="G130" s="133" t="s">
        <v>173</v>
      </c>
      <c r="H130" s="133"/>
    </row>
    <row r="131" spans="1:9" s="2" customFormat="1" x14ac:dyDescent="0.25">
      <c r="A131" s="133">
        <v>4</v>
      </c>
      <c r="B131" s="133"/>
      <c r="C131" s="121" t="s">
        <v>172</v>
      </c>
      <c r="D131" s="121">
        <f>12.8*10.764</f>
        <v>137.7792</v>
      </c>
      <c r="E131" s="121">
        <v>0</v>
      </c>
      <c r="F131" s="121">
        <f t="shared" si="0"/>
        <v>206.6688</v>
      </c>
      <c r="G131" s="133" t="s">
        <v>173</v>
      </c>
      <c r="H131" s="133"/>
    </row>
    <row r="132" spans="1:9" s="2" customFormat="1" x14ac:dyDescent="0.25">
      <c r="A132" s="133">
        <v>5</v>
      </c>
      <c r="B132" s="133"/>
      <c r="C132" s="121" t="s">
        <v>172</v>
      </c>
      <c r="D132" s="121">
        <f>9.43*10.764</f>
        <v>101.50451999999999</v>
      </c>
      <c r="E132" s="121">
        <v>0</v>
      </c>
      <c r="F132" s="121">
        <f t="shared" si="0"/>
        <v>152.25677999999999</v>
      </c>
      <c r="G132" s="133" t="s">
        <v>173</v>
      </c>
      <c r="H132" s="133"/>
    </row>
    <row r="133" spans="1:9" s="2" customFormat="1" x14ac:dyDescent="0.25">
      <c r="A133" s="133">
        <v>6</v>
      </c>
      <c r="B133" s="133"/>
      <c r="C133" s="121" t="s">
        <v>172</v>
      </c>
      <c r="D133" s="121">
        <f>13.32*10.764</f>
        <v>143.37647999999999</v>
      </c>
      <c r="E133" s="121">
        <v>0</v>
      </c>
      <c r="F133" s="121">
        <f t="shared" si="0"/>
        <v>215.06471999999997</v>
      </c>
      <c r="G133" s="133" t="s">
        <v>173</v>
      </c>
      <c r="H133" s="133"/>
    </row>
    <row r="134" spans="1:9" s="2" customFormat="1" x14ac:dyDescent="0.25">
      <c r="A134" s="133"/>
      <c r="B134" s="133"/>
      <c r="C134" s="133"/>
      <c r="D134" s="133"/>
      <c r="E134" s="133"/>
      <c r="F134" s="133"/>
      <c r="G134" s="133"/>
      <c r="H134" s="133"/>
    </row>
    <row r="135" spans="1:9" s="2" customFormat="1" ht="129.75" customHeight="1" x14ac:dyDescent="0.25">
      <c r="A135" s="144" t="s">
        <v>225</v>
      </c>
      <c r="B135" s="144"/>
      <c r="C135" s="144"/>
      <c r="D135" s="144"/>
      <c r="E135" s="144"/>
      <c r="F135" s="146" t="s">
        <v>240</v>
      </c>
      <c r="G135" s="146"/>
      <c r="H135" s="146"/>
    </row>
    <row r="136" spans="1:9" s="2" customFormat="1" x14ac:dyDescent="0.25">
      <c r="A136" s="134" t="s">
        <v>174</v>
      </c>
      <c r="B136" s="134"/>
      <c r="C136" s="134"/>
      <c r="D136" s="134"/>
      <c r="E136" s="134"/>
      <c r="F136" s="134"/>
      <c r="G136" s="134"/>
      <c r="H136" s="134"/>
    </row>
    <row r="137" spans="1:9" s="2" customFormat="1" x14ac:dyDescent="0.25">
      <c r="A137" s="133">
        <v>1</v>
      </c>
      <c r="B137" s="133"/>
      <c r="C137" s="27" t="s">
        <v>172</v>
      </c>
      <c r="D137" s="27">
        <f>14.76*10.764</f>
        <v>158.87663999999998</v>
      </c>
      <c r="E137" s="33">
        <v>0</v>
      </c>
      <c r="F137" s="33">
        <f t="shared" ref="F137:F145" si="1">D137*1.5</f>
        <v>238.31495999999999</v>
      </c>
      <c r="G137" s="133" t="s">
        <v>173</v>
      </c>
      <c r="H137" s="133"/>
    </row>
    <row r="138" spans="1:9" s="2" customFormat="1" x14ac:dyDescent="0.25">
      <c r="A138" s="133">
        <v>2</v>
      </c>
      <c r="B138" s="133"/>
      <c r="C138" s="33" t="s">
        <v>172</v>
      </c>
      <c r="D138" s="27">
        <f>16.63*10.764</f>
        <v>179.00531999999998</v>
      </c>
      <c r="E138" s="33">
        <v>0</v>
      </c>
      <c r="F138" s="33">
        <f t="shared" si="1"/>
        <v>268.50797999999998</v>
      </c>
      <c r="G138" s="133" t="s">
        <v>173</v>
      </c>
      <c r="H138" s="133"/>
    </row>
    <row r="139" spans="1:9" s="2" customFormat="1" x14ac:dyDescent="0.25">
      <c r="A139" s="133">
        <v>3</v>
      </c>
      <c r="B139" s="133"/>
      <c r="C139" s="33" t="s">
        <v>172</v>
      </c>
      <c r="D139" s="27">
        <f>15.07*10.764</f>
        <v>162.21348</v>
      </c>
      <c r="E139" s="33">
        <v>0</v>
      </c>
      <c r="F139" s="33">
        <f t="shared" si="1"/>
        <v>243.32022000000001</v>
      </c>
      <c r="G139" s="133" t="s">
        <v>173</v>
      </c>
      <c r="H139" s="133"/>
      <c r="I139" s="2">
        <f>8*9</f>
        <v>72</v>
      </c>
    </row>
    <row r="140" spans="1:9" s="2" customFormat="1" x14ac:dyDescent="0.25">
      <c r="A140" s="133">
        <v>4</v>
      </c>
      <c r="B140" s="133"/>
      <c r="C140" s="33" t="s">
        <v>172</v>
      </c>
      <c r="D140" s="27">
        <f>16.6*10.764</f>
        <v>178.6824</v>
      </c>
      <c r="E140" s="33">
        <v>0</v>
      </c>
      <c r="F140" s="33">
        <f t="shared" si="1"/>
        <v>268.02359999999999</v>
      </c>
      <c r="G140" s="133" t="s">
        <v>173</v>
      </c>
      <c r="H140" s="133"/>
    </row>
    <row r="141" spans="1:9" s="2" customFormat="1" x14ac:dyDescent="0.25">
      <c r="A141" s="133">
        <v>5</v>
      </c>
      <c r="B141" s="133"/>
      <c r="C141" s="33" t="s">
        <v>172</v>
      </c>
      <c r="D141" s="27">
        <f>17.33*10.764</f>
        <v>186.54011999999997</v>
      </c>
      <c r="E141" s="33">
        <v>0</v>
      </c>
      <c r="F141" s="33">
        <f t="shared" si="1"/>
        <v>279.81017999999995</v>
      </c>
      <c r="G141" s="133" t="s">
        <v>173</v>
      </c>
      <c r="H141" s="133"/>
    </row>
    <row r="142" spans="1:9" s="2" customFormat="1" x14ac:dyDescent="0.25">
      <c r="A142" s="133">
        <v>6</v>
      </c>
      <c r="B142" s="133"/>
      <c r="C142" s="33" t="s">
        <v>172</v>
      </c>
      <c r="D142" s="27">
        <f>16.6*10.764</f>
        <v>178.6824</v>
      </c>
      <c r="E142" s="33">
        <v>0</v>
      </c>
      <c r="F142" s="33">
        <f t="shared" si="1"/>
        <v>268.02359999999999</v>
      </c>
      <c r="G142" s="133" t="s">
        <v>173</v>
      </c>
      <c r="H142" s="133"/>
    </row>
    <row r="143" spans="1:9" s="2" customFormat="1" x14ac:dyDescent="0.25">
      <c r="A143" s="133">
        <v>7</v>
      </c>
      <c r="B143" s="133"/>
      <c r="C143" s="33" t="s">
        <v>172</v>
      </c>
      <c r="D143" s="27">
        <f>15.07*10.764</f>
        <v>162.21348</v>
      </c>
      <c r="E143" s="33">
        <v>0</v>
      </c>
      <c r="F143" s="33">
        <f t="shared" si="1"/>
        <v>243.32022000000001</v>
      </c>
      <c r="G143" s="133" t="s">
        <v>173</v>
      </c>
      <c r="H143" s="133"/>
    </row>
    <row r="144" spans="1:9" s="2" customFormat="1" x14ac:dyDescent="0.25">
      <c r="A144" s="133">
        <v>8</v>
      </c>
      <c r="B144" s="133"/>
      <c r="C144" s="33" t="s">
        <v>172</v>
      </c>
      <c r="D144" s="27">
        <f>16.63*10.764</f>
        <v>179.00531999999998</v>
      </c>
      <c r="E144" s="33">
        <v>0</v>
      </c>
      <c r="F144" s="33">
        <f t="shared" si="1"/>
        <v>268.50797999999998</v>
      </c>
      <c r="G144" s="133" t="s">
        <v>173</v>
      </c>
      <c r="H144" s="133"/>
    </row>
    <row r="145" spans="1:10" s="2" customFormat="1" x14ac:dyDescent="0.25">
      <c r="A145" s="133">
        <v>9</v>
      </c>
      <c r="B145" s="133"/>
      <c r="C145" s="33" t="s">
        <v>172</v>
      </c>
      <c r="D145" s="27">
        <f>14.76*10.764</f>
        <v>158.87663999999998</v>
      </c>
      <c r="E145" s="33">
        <v>0</v>
      </c>
      <c r="F145" s="33">
        <f t="shared" si="1"/>
        <v>238.31495999999999</v>
      </c>
      <c r="G145" s="133" t="s">
        <v>173</v>
      </c>
      <c r="H145" s="133"/>
    </row>
    <row r="146" spans="1:10" s="2" customFormat="1" ht="15.75" customHeight="1" x14ac:dyDescent="0.25">
      <c r="A146" s="133">
        <v>1</v>
      </c>
      <c r="B146" s="133"/>
      <c r="C146" s="27" t="s">
        <v>175</v>
      </c>
      <c r="D146" s="27">
        <f>29.88*10.764</f>
        <v>321.62831999999997</v>
      </c>
      <c r="E146" s="33">
        <v>0</v>
      </c>
      <c r="F146" s="33">
        <f>D146*1.45</f>
        <v>466.36106399999994</v>
      </c>
      <c r="G146" s="133" t="s">
        <v>173</v>
      </c>
      <c r="H146" s="133"/>
      <c r="J146" s="2">
        <f>8*3</f>
        <v>24</v>
      </c>
    </row>
    <row r="147" spans="1:10" s="2" customFormat="1" ht="15.75" customHeight="1" x14ac:dyDescent="0.25">
      <c r="A147" s="133">
        <v>2</v>
      </c>
      <c r="B147" s="133"/>
      <c r="C147" s="33" t="s">
        <v>175</v>
      </c>
      <c r="D147" s="27">
        <f>29.88*10.764</f>
        <v>321.62831999999997</v>
      </c>
      <c r="E147" s="33">
        <v>0</v>
      </c>
      <c r="F147" s="33">
        <f t="shared" ref="F147:F148" si="2">D147*1.45</f>
        <v>466.36106399999994</v>
      </c>
      <c r="G147" s="133" t="s">
        <v>173</v>
      </c>
      <c r="H147" s="133"/>
    </row>
    <row r="148" spans="1:10" s="2" customFormat="1" x14ac:dyDescent="0.25">
      <c r="A148" s="133">
        <v>3</v>
      </c>
      <c r="B148" s="133"/>
      <c r="C148" s="33" t="s">
        <v>175</v>
      </c>
      <c r="D148" s="27">
        <f>31.81*10.764</f>
        <v>342.40283999999997</v>
      </c>
      <c r="E148" s="33">
        <v>0</v>
      </c>
      <c r="F148" s="33">
        <f t="shared" si="2"/>
        <v>496.48411799999997</v>
      </c>
      <c r="G148" s="133" t="s">
        <v>173</v>
      </c>
      <c r="H148" s="133"/>
    </row>
    <row r="149" spans="1:10" s="2" customFormat="1" x14ac:dyDescent="0.25">
      <c r="A149" s="134" t="s">
        <v>176</v>
      </c>
      <c r="B149" s="134"/>
      <c r="C149" s="134"/>
      <c r="D149" s="134"/>
      <c r="E149" s="134"/>
      <c r="F149" s="134"/>
      <c r="G149" s="134"/>
      <c r="H149" s="134"/>
      <c r="I149" s="2">
        <f>4*F150*24</f>
        <v>44770.662143999994</v>
      </c>
      <c r="J149" s="2">
        <f>F150*2*12</f>
        <v>11192.665535999999</v>
      </c>
    </row>
    <row r="150" spans="1:10" s="2" customFormat="1" x14ac:dyDescent="0.25">
      <c r="A150" s="133">
        <v>1</v>
      </c>
      <c r="B150" s="133"/>
      <c r="C150" s="33" t="s">
        <v>175</v>
      </c>
      <c r="D150" s="33">
        <f>29.88*10.764</f>
        <v>321.62831999999997</v>
      </c>
      <c r="E150" s="33">
        <v>0</v>
      </c>
      <c r="F150" s="33">
        <f>D150*1.45</f>
        <v>466.36106399999994</v>
      </c>
      <c r="G150" s="133" t="str">
        <f>A149</f>
        <v>1st to 8th Floor</v>
      </c>
      <c r="H150" s="133"/>
      <c r="I150" s="2">
        <f t="shared" ref="I150:I154" si="3">4*F151*24</f>
        <v>44770.662143999994</v>
      </c>
      <c r="J150" s="2">
        <f t="shared" ref="J150:J155" si="4">F151*2*12</f>
        <v>11192.665535999999</v>
      </c>
    </row>
    <row r="151" spans="1:10" s="2" customFormat="1" x14ac:dyDescent="0.25">
      <c r="A151" s="133">
        <v>2</v>
      </c>
      <c r="B151" s="133"/>
      <c r="C151" s="33" t="s">
        <v>175</v>
      </c>
      <c r="D151" s="33">
        <f>29.88*10.764</f>
        <v>321.62831999999997</v>
      </c>
      <c r="E151" s="33">
        <v>0</v>
      </c>
      <c r="F151" s="33">
        <f t="shared" ref="F151:F152" si="5">D151*1.45</f>
        <v>466.36106399999994</v>
      </c>
      <c r="G151" s="133" t="str">
        <f>G150</f>
        <v>1st to 8th Floor</v>
      </c>
      <c r="H151" s="133"/>
      <c r="I151" s="2">
        <f t="shared" si="3"/>
        <v>47662.475328</v>
      </c>
      <c r="J151" s="2">
        <f t="shared" si="4"/>
        <v>11915.618832</v>
      </c>
    </row>
    <row r="152" spans="1:10" s="2" customFormat="1" x14ac:dyDescent="0.25">
      <c r="A152" s="133">
        <v>3</v>
      </c>
      <c r="B152" s="133"/>
      <c r="C152" s="33" t="s">
        <v>175</v>
      </c>
      <c r="D152" s="33">
        <f>31.81*10.764</f>
        <v>342.40283999999997</v>
      </c>
      <c r="E152" s="33">
        <v>0</v>
      </c>
      <c r="F152" s="33">
        <f t="shared" si="5"/>
        <v>496.48411799999997</v>
      </c>
      <c r="G152" s="133" t="str">
        <f>G151</f>
        <v>1st to 8th Floor</v>
      </c>
      <c r="H152" s="133"/>
      <c r="I152" s="2">
        <f t="shared" si="3"/>
        <v>50209.668287999986</v>
      </c>
      <c r="J152" s="2">
        <f t="shared" si="4"/>
        <v>12552.417071999997</v>
      </c>
    </row>
    <row r="153" spans="1:10" s="2" customFormat="1" x14ac:dyDescent="0.25">
      <c r="A153" s="133">
        <v>4</v>
      </c>
      <c r="B153" s="133"/>
      <c r="C153" s="33" t="s">
        <v>175</v>
      </c>
      <c r="D153" s="33">
        <f>33.51*10.764</f>
        <v>360.70163999999994</v>
      </c>
      <c r="E153" s="33">
        <v>0</v>
      </c>
      <c r="F153" s="33">
        <f t="shared" ref="F153:F157" si="6">D153*1.45</f>
        <v>523.01737799999989</v>
      </c>
      <c r="G153" s="133" t="str">
        <f t="shared" ref="G153:G157" si="7">G152</f>
        <v>1st to 8th Floor</v>
      </c>
      <c r="H153" s="133"/>
      <c r="I153" s="2">
        <f t="shared" si="3"/>
        <v>31525.258751999994</v>
      </c>
      <c r="J153" s="2">
        <f>F154*2*12</f>
        <v>7881.3146879999986</v>
      </c>
    </row>
    <row r="154" spans="1:10" s="2" customFormat="1" x14ac:dyDescent="0.25">
      <c r="A154" s="133">
        <v>5</v>
      </c>
      <c r="B154" s="133"/>
      <c r="C154" s="33" t="s">
        <v>177</v>
      </c>
      <c r="D154" s="33">
        <f>21.04*10.764</f>
        <v>226.47455999999997</v>
      </c>
      <c r="E154" s="33">
        <v>0</v>
      </c>
      <c r="F154" s="33">
        <f t="shared" si="6"/>
        <v>328.38811199999992</v>
      </c>
      <c r="G154" s="133" t="str">
        <f t="shared" si="7"/>
        <v>1st to 8th Floor</v>
      </c>
      <c r="H154" s="133"/>
      <c r="I154" s="2">
        <f t="shared" si="3"/>
        <v>31525.258751999994</v>
      </c>
      <c r="J154" s="2">
        <f t="shared" si="4"/>
        <v>7881.3146879999986</v>
      </c>
    </row>
    <row r="155" spans="1:10" s="2" customFormat="1" x14ac:dyDescent="0.25">
      <c r="A155" s="133">
        <v>6</v>
      </c>
      <c r="B155" s="133"/>
      <c r="C155" s="33" t="s">
        <v>177</v>
      </c>
      <c r="D155" s="33">
        <f>21.04*10.764</f>
        <v>226.47455999999997</v>
      </c>
      <c r="E155" s="33">
        <v>0</v>
      </c>
      <c r="F155" s="33">
        <f t="shared" si="6"/>
        <v>328.38811199999992</v>
      </c>
      <c r="G155" s="133" t="str">
        <f t="shared" si="7"/>
        <v>1st to 8th Floor</v>
      </c>
      <c r="H155" s="133"/>
      <c r="J155" s="2">
        <f t="shared" si="4"/>
        <v>12552.417071999997</v>
      </c>
    </row>
    <row r="156" spans="1:10" s="2" customFormat="1" x14ac:dyDescent="0.25">
      <c r="A156" s="133">
        <v>7</v>
      </c>
      <c r="B156" s="133"/>
      <c r="C156" s="33" t="s">
        <v>175</v>
      </c>
      <c r="D156" s="33">
        <f>33.51*10.764</f>
        <v>360.70163999999994</v>
      </c>
      <c r="E156" s="33">
        <v>0</v>
      </c>
      <c r="F156" s="33">
        <f t="shared" si="6"/>
        <v>523.01737799999989</v>
      </c>
      <c r="G156" s="133" t="str">
        <f t="shared" si="7"/>
        <v>1st to 8th Floor</v>
      </c>
      <c r="H156" s="133"/>
    </row>
    <row r="157" spans="1:10" s="2" customFormat="1" x14ac:dyDescent="0.25">
      <c r="A157" s="133">
        <v>8</v>
      </c>
      <c r="B157" s="133"/>
      <c r="C157" s="33" t="s">
        <v>175</v>
      </c>
      <c r="D157" s="33">
        <f>31.81*10.764</f>
        <v>342.40283999999997</v>
      </c>
      <c r="E157" s="33">
        <v>0</v>
      </c>
      <c r="F157" s="33">
        <f t="shared" si="6"/>
        <v>496.48411799999997</v>
      </c>
      <c r="G157" s="133" t="str">
        <f t="shared" si="7"/>
        <v>1st to 8th Floor</v>
      </c>
      <c r="H157" s="133"/>
    </row>
    <row r="158" spans="1:10" s="2" customFormat="1" x14ac:dyDescent="0.25">
      <c r="A158" s="139"/>
      <c r="B158" s="140"/>
      <c r="C158" s="140"/>
      <c r="D158" s="140"/>
      <c r="E158" s="140"/>
      <c r="F158" s="140"/>
      <c r="G158" s="140"/>
      <c r="H158" s="141"/>
    </row>
    <row r="159" spans="1:10" s="2" customFormat="1" ht="86.25" customHeight="1" x14ac:dyDescent="0.25">
      <c r="A159" s="144" t="s">
        <v>226</v>
      </c>
      <c r="B159" s="144"/>
      <c r="C159" s="144"/>
      <c r="D159" s="144"/>
      <c r="E159" s="144"/>
      <c r="F159" s="137" t="s">
        <v>227</v>
      </c>
      <c r="G159" s="137"/>
      <c r="H159" s="138"/>
    </row>
    <row r="160" spans="1:10" s="2" customFormat="1" x14ac:dyDescent="0.25">
      <c r="A160" s="134" t="s">
        <v>174</v>
      </c>
      <c r="B160" s="134"/>
      <c r="C160" s="134"/>
      <c r="D160" s="134"/>
      <c r="E160" s="134"/>
      <c r="F160" s="134"/>
      <c r="G160" s="134"/>
      <c r="H160" s="134"/>
    </row>
    <row r="161" spans="1:10" s="2" customFormat="1" x14ac:dyDescent="0.25">
      <c r="A161" s="133">
        <v>1</v>
      </c>
      <c r="B161" s="133"/>
      <c r="C161" s="33" t="s">
        <v>172</v>
      </c>
      <c r="D161" s="33">
        <f>14.76*10.764</f>
        <v>158.87663999999998</v>
      </c>
      <c r="E161" s="33">
        <v>0</v>
      </c>
      <c r="F161" s="33">
        <f t="shared" ref="F161:F169" si="8">D161*1.5</f>
        <v>238.31495999999999</v>
      </c>
      <c r="G161" s="133" t="s">
        <v>173</v>
      </c>
      <c r="H161" s="133"/>
    </row>
    <row r="162" spans="1:10" s="2" customFormat="1" x14ac:dyDescent="0.25">
      <c r="A162" s="133">
        <v>2</v>
      </c>
      <c r="B162" s="133"/>
      <c r="C162" s="33" t="s">
        <v>172</v>
      </c>
      <c r="D162" s="33">
        <f>16.63*10.764</f>
        <v>179.00531999999998</v>
      </c>
      <c r="E162" s="33">
        <v>0</v>
      </c>
      <c r="F162" s="33">
        <f t="shared" si="8"/>
        <v>268.50797999999998</v>
      </c>
      <c r="G162" s="133" t="s">
        <v>173</v>
      </c>
      <c r="H162" s="133"/>
      <c r="I162" s="2">
        <f>9*5</f>
        <v>45</v>
      </c>
    </row>
    <row r="163" spans="1:10" s="2" customFormat="1" x14ac:dyDescent="0.25">
      <c r="A163" s="133">
        <v>3</v>
      </c>
      <c r="B163" s="133"/>
      <c r="C163" s="33" t="s">
        <v>172</v>
      </c>
      <c r="D163" s="33">
        <f>15.07*10.764</f>
        <v>162.21348</v>
      </c>
      <c r="E163" s="33">
        <v>0</v>
      </c>
      <c r="F163" s="33">
        <f t="shared" si="8"/>
        <v>243.32022000000001</v>
      </c>
      <c r="G163" s="133" t="s">
        <v>173</v>
      </c>
      <c r="H163" s="133"/>
    </row>
    <row r="164" spans="1:10" s="2" customFormat="1" x14ac:dyDescent="0.25">
      <c r="A164" s="133">
        <v>4</v>
      </c>
      <c r="B164" s="133"/>
      <c r="C164" s="33" t="s">
        <v>172</v>
      </c>
      <c r="D164" s="33">
        <f>16.6*10.764</f>
        <v>178.6824</v>
      </c>
      <c r="E164" s="33">
        <v>0</v>
      </c>
      <c r="F164" s="33">
        <f t="shared" si="8"/>
        <v>268.02359999999999</v>
      </c>
      <c r="G164" s="133" t="s">
        <v>173</v>
      </c>
      <c r="H164" s="133"/>
    </row>
    <row r="165" spans="1:10" s="2" customFormat="1" x14ac:dyDescent="0.25">
      <c r="A165" s="133">
        <v>5</v>
      </c>
      <c r="B165" s="133"/>
      <c r="C165" s="33" t="s">
        <v>172</v>
      </c>
      <c r="D165" s="33">
        <f>17.33*10.764</f>
        <v>186.54011999999997</v>
      </c>
      <c r="E165" s="33">
        <v>0</v>
      </c>
      <c r="F165" s="33">
        <f t="shared" si="8"/>
        <v>279.81017999999995</v>
      </c>
      <c r="G165" s="133" t="s">
        <v>173</v>
      </c>
      <c r="H165" s="133"/>
      <c r="J165" s="2">
        <v>5</v>
      </c>
    </row>
    <row r="166" spans="1:10" s="2" customFormat="1" x14ac:dyDescent="0.25">
      <c r="A166" s="133">
        <v>6</v>
      </c>
      <c r="B166" s="133"/>
      <c r="C166" s="33" t="s">
        <v>172</v>
      </c>
      <c r="D166" s="33">
        <f>16.6*10.764</f>
        <v>178.6824</v>
      </c>
      <c r="E166" s="33">
        <v>0</v>
      </c>
      <c r="F166" s="33">
        <f t="shared" si="8"/>
        <v>268.02359999999999</v>
      </c>
      <c r="G166" s="133" t="s">
        <v>173</v>
      </c>
      <c r="H166" s="133"/>
    </row>
    <row r="167" spans="1:10" s="2" customFormat="1" x14ac:dyDescent="0.25">
      <c r="A167" s="133">
        <v>7</v>
      </c>
      <c r="B167" s="133"/>
      <c r="C167" s="33" t="s">
        <v>172</v>
      </c>
      <c r="D167" s="33">
        <f>15.07*10.764</f>
        <v>162.21348</v>
      </c>
      <c r="E167" s="33">
        <v>0</v>
      </c>
      <c r="F167" s="33">
        <f t="shared" si="8"/>
        <v>243.32022000000001</v>
      </c>
      <c r="G167" s="133" t="s">
        <v>173</v>
      </c>
      <c r="H167" s="133"/>
    </row>
    <row r="168" spans="1:10" s="2" customFormat="1" x14ac:dyDescent="0.25">
      <c r="A168" s="133">
        <v>8</v>
      </c>
      <c r="B168" s="133"/>
      <c r="C168" s="33" t="s">
        <v>172</v>
      </c>
      <c r="D168" s="33">
        <f>16.63*10.764</f>
        <v>179.00531999999998</v>
      </c>
      <c r="E168" s="33">
        <v>0</v>
      </c>
      <c r="F168" s="33">
        <f t="shared" si="8"/>
        <v>268.50797999999998</v>
      </c>
      <c r="G168" s="133" t="s">
        <v>173</v>
      </c>
      <c r="H168" s="133"/>
    </row>
    <row r="169" spans="1:10" s="2" customFormat="1" x14ac:dyDescent="0.25">
      <c r="A169" s="133">
        <v>9</v>
      </c>
      <c r="B169" s="133"/>
      <c r="C169" s="33" t="s">
        <v>172</v>
      </c>
      <c r="D169" s="33">
        <f>14.76*10.764</f>
        <v>158.87663999999998</v>
      </c>
      <c r="E169" s="33">
        <v>0</v>
      </c>
      <c r="F169" s="33">
        <f t="shared" si="8"/>
        <v>238.31495999999999</v>
      </c>
      <c r="G169" s="133" t="s">
        <v>173</v>
      </c>
      <c r="H169" s="133"/>
    </row>
    <row r="170" spans="1:10" s="2" customFormat="1" x14ac:dyDescent="0.25">
      <c r="A170" s="133">
        <v>1</v>
      </c>
      <c r="B170" s="133"/>
      <c r="C170" s="33" t="s">
        <v>175</v>
      </c>
      <c r="D170" s="33">
        <f>29.86*10.764</f>
        <v>321.41303999999997</v>
      </c>
      <c r="E170" s="33">
        <v>0</v>
      </c>
      <c r="F170" s="33">
        <f>D170*1.45</f>
        <v>466.04890799999993</v>
      </c>
      <c r="G170" s="133" t="s">
        <v>173</v>
      </c>
      <c r="H170" s="133"/>
    </row>
    <row r="171" spans="1:10" s="2" customFormat="1" x14ac:dyDescent="0.25">
      <c r="A171" s="134" t="s">
        <v>176</v>
      </c>
      <c r="B171" s="134"/>
      <c r="C171" s="134"/>
      <c r="D171" s="134"/>
      <c r="E171" s="134"/>
      <c r="F171" s="134"/>
      <c r="G171" s="134"/>
      <c r="H171" s="134"/>
    </row>
    <row r="172" spans="1:10" s="2" customFormat="1" x14ac:dyDescent="0.25">
      <c r="A172" s="133">
        <v>1</v>
      </c>
      <c r="B172" s="133"/>
      <c r="C172" s="33" t="s">
        <v>175</v>
      </c>
      <c r="D172" s="33">
        <f>29.86*10.764</f>
        <v>321.41303999999997</v>
      </c>
      <c r="E172" s="33">
        <v>0</v>
      </c>
      <c r="F172" s="33">
        <f>D172*1.45</f>
        <v>466.04890799999993</v>
      </c>
      <c r="G172" s="133" t="str">
        <f>A171</f>
        <v>1st to 8th Floor</v>
      </c>
      <c r="H172" s="133"/>
    </row>
    <row r="173" spans="1:10" s="2" customFormat="1" x14ac:dyDescent="0.25">
      <c r="A173" s="133">
        <v>2</v>
      </c>
      <c r="B173" s="133"/>
      <c r="C173" s="33" t="s">
        <v>175</v>
      </c>
      <c r="D173" s="33">
        <f>29.86*10.764</f>
        <v>321.41303999999997</v>
      </c>
      <c r="E173" s="33">
        <v>0</v>
      </c>
      <c r="F173" s="33">
        <f t="shared" ref="F173:F177" si="9">D173*1.45</f>
        <v>466.04890799999993</v>
      </c>
      <c r="G173" s="133" t="str">
        <f>G172</f>
        <v>1st to 8th Floor</v>
      </c>
      <c r="H173" s="133"/>
      <c r="J173" s="2">
        <f>5*8*6</f>
        <v>240</v>
      </c>
    </row>
    <row r="174" spans="1:10" s="2" customFormat="1" x14ac:dyDescent="0.25">
      <c r="A174" s="133">
        <v>3</v>
      </c>
      <c r="B174" s="133"/>
      <c r="C174" s="33" t="s">
        <v>177</v>
      </c>
      <c r="D174" s="33">
        <f>21.04*10.764</f>
        <v>226.47455999999997</v>
      </c>
      <c r="E174" s="33">
        <v>0</v>
      </c>
      <c r="F174" s="33">
        <f t="shared" si="9"/>
        <v>328.38811199999992</v>
      </c>
      <c r="G174" s="133" t="str">
        <f>G173</f>
        <v>1st to 8th Floor</v>
      </c>
      <c r="H174" s="133"/>
    </row>
    <row r="175" spans="1:10" s="2" customFormat="1" x14ac:dyDescent="0.25">
      <c r="A175" s="133">
        <v>4</v>
      </c>
      <c r="B175" s="133"/>
      <c r="C175" s="33" t="s">
        <v>177</v>
      </c>
      <c r="D175" s="33">
        <f>21.04*10.764</f>
        <v>226.47455999999997</v>
      </c>
      <c r="E175" s="33">
        <v>0</v>
      </c>
      <c r="F175" s="33">
        <f t="shared" si="9"/>
        <v>328.38811199999992</v>
      </c>
      <c r="G175" s="133" t="str">
        <f t="shared" ref="G175:G177" si="10">G174</f>
        <v>1st to 8th Floor</v>
      </c>
      <c r="H175" s="133"/>
    </row>
    <row r="176" spans="1:10" s="2" customFormat="1" x14ac:dyDescent="0.25">
      <c r="A176" s="133">
        <v>5</v>
      </c>
      <c r="B176" s="133"/>
      <c r="C176" s="33" t="s">
        <v>175</v>
      </c>
      <c r="D176" s="33">
        <f>31.81*10.764</f>
        <v>342.40283999999997</v>
      </c>
      <c r="E176" s="33">
        <v>0</v>
      </c>
      <c r="F176" s="33">
        <f t="shared" si="9"/>
        <v>496.48411799999997</v>
      </c>
      <c r="G176" s="133" t="str">
        <f t="shared" si="10"/>
        <v>1st to 8th Floor</v>
      </c>
      <c r="H176" s="133"/>
    </row>
    <row r="177" spans="1:10" s="2" customFormat="1" x14ac:dyDescent="0.25">
      <c r="A177" s="133">
        <v>6</v>
      </c>
      <c r="B177" s="133"/>
      <c r="C177" s="33" t="s">
        <v>175</v>
      </c>
      <c r="D177" s="33">
        <f>31.81*10.764</f>
        <v>342.40283999999997</v>
      </c>
      <c r="E177" s="33">
        <v>0</v>
      </c>
      <c r="F177" s="33">
        <f t="shared" si="9"/>
        <v>496.48411799999997</v>
      </c>
      <c r="G177" s="133" t="str">
        <f t="shared" si="10"/>
        <v>1st to 8th Floor</v>
      </c>
      <c r="H177" s="133"/>
    </row>
    <row r="178" spans="1:10" s="2" customFormat="1" ht="15.75" customHeight="1" x14ac:dyDescent="0.25">
      <c r="A178" s="54"/>
      <c r="B178" s="55"/>
      <c r="C178" s="55"/>
      <c r="D178" s="55"/>
      <c r="E178" s="55"/>
      <c r="F178" s="55"/>
      <c r="G178" s="55"/>
      <c r="H178" s="56"/>
    </row>
    <row r="179" spans="1:10" s="2" customFormat="1" x14ac:dyDescent="0.25">
      <c r="A179" s="135" t="s">
        <v>178</v>
      </c>
      <c r="B179" s="136"/>
      <c r="C179" s="136"/>
      <c r="D179" s="136"/>
      <c r="E179" s="136"/>
      <c r="F179" s="137" t="s">
        <v>228</v>
      </c>
      <c r="G179" s="137"/>
      <c r="H179" s="138"/>
    </row>
    <row r="180" spans="1:10" s="2" customFormat="1" x14ac:dyDescent="0.25">
      <c r="A180" s="134" t="s">
        <v>174</v>
      </c>
      <c r="B180" s="134"/>
      <c r="C180" s="134"/>
      <c r="D180" s="134"/>
      <c r="E180" s="134"/>
      <c r="F180" s="134"/>
      <c r="G180" s="134"/>
      <c r="H180" s="134"/>
    </row>
    <row r="181" spans="1:10" s="2" customFormat="1" x14ac:dyDescent="0.25">
      <c r="A181" s="133">
        <v>1</v>
      </c>
      <c r="B181" s="133"/>
      <c r="C181" s="33" t="s">
        <v>172</v>
      </c>
      <c r="D181" s="33">
        <f>15.31*10.764</f>
        <v>164.79684</v>
      </c>
      <c r="E181" s="33">
        <v>0</v>
      </c>
      <c r="F181" s="33">
        <f t="shared" ref="F181:F187" si="11">D181*1.5</f>
        <v>247.19526000000002</v>
      </c>
      <c r="G181" s="133" t="s">
        <v>173</v>
      </c>
      <c r="H181" s="133"/>
    </row>
    <row r="182" spans="1:10" s="2" customFormat="1" x14ac:dyDescent="0.25">
      <c r="A182" s="133">
        <v>2</v>
      </c>
      <c r="B182" s="133"/>
      <c r="C182" s="33" t="s">
        <v>172</v>
      </c>
      <c r="D182" s="33">
        <f>17.12*10.764</f>
        <v>184.27968000000001</v>
      </c>
      <c r="E182" s="33">
        <v>0</v>
      </c>
      <c r="F182" s="33">
        <f t="shared" si="11"/>
        <v>276.41952000000003</v>
      </c>
      <c r="G182" s="133" t="s">
        <v>173</v>
      </c>
      <c r="H182" s="133"/>
    </row>
    <row r="183" spans="1:10" s="2" customFormat="1" x14ac:dyDescent="0.25">
      <c r="A183" s="133">
        <v>3</v>
      </c>
      <c r="B183" s="133"/>
      <c r="C183" s="33" t="s">
        <v>172</v>
      </c>
      <c r="D183" s="33">
        <f>15.56*10.764</f>
        <v>167.48784000000001</v>
      </c>
      <c r="E183" s="33">
        <v>0</v>
      </c>
      <c r="F183" s="33">
        <f t="shared" si="11"/>
        <v>251.23176000000001</v>
      </c>
      <c r="G183" s="133" t="s">
        <v>173</v>
      </c>
      <c r="H183" s="133"/>
    </row>
    <row r="184" spans="1:10" s="2" customFormat="1" x14ac:dyDescent="0.25">
      <c r="A184" s="133">
        <v>4</v>
      </c>
      <c r="B184" s="133"/>
      <c r="C184" s="33" t="s">
        <v>172</v>
      </c>
      <c r="D184" s="33">
        <f>12.62*10.764</f>
        <v>135.84168</v>
      </c>
      <c r="E184" s="33">
        <v>0</v>
      </c>
      <c r="F184" s="33">
        <f t="shared" si="11"/>
        <v>203.76251999999999</v>
      </c>
      <c r="G184" s="133" t="s">
        <v>173</v>
      </c>
      <c r="H184" s="133"/>
      <c r="I184" s="2">
        <v>7</v>
      </c>
    </row>
    <row r="185" spans="1:10" s="2" customFormat="1" x14ac:dyDescent="0.25">
      <c r="A185" s="133">
        <v>5</v>
      </c>
      <c r="B185" s="133"/>
      <c r="C185" s="33" t="s">
        <v>172</v>
      </c>
      <c r="D185" s="33">
        <f>12.62*10.764</f>
        <v>135.84168</v>
      </c>
      <c r="E185" s="33">
        <v>0</v>
      </c>
      <c r="F185" s="33">
        <f t="shared" si="11"/>
        <v>203.76251999999999</v>
      </c>
      <c r="G185" s="133" t="s">
        <v>173</v>
      </c>
      <c r="H185" s="133"/>
    </row>
    <row r="186" spans="1:10" s="2" customFormat="1" x14ac:dyDescent="0.25">
      <c r="A186" s="133">
        <v>6</v>
      </c>
      <c r="B186" s="133"/>
      <c r="C186" s="33" t="s">
        <v>172</v>
      </c>
      <c r="D186" s="33">
        <f>22.14*10.764</f>
        <v>238.31495999999999</v>
      </c>
      <c r="E186" s="33">
        <v>0</v>
      </c>
      <c r="F186" s="33">
        <f t="shared" si="11"/>
        <v>357.47244000000001</v>
      </c>
      <c r="G186" s="133" t="s">
        <v>173</v>
      </c>
      <c r="H186" s="133"/>
    </row>
    <row r="187" spans="1:10" s="2" customFormat="1" x14ac:dyDescent="0.25">
      <c r="A187" s="133">
        <v>7</v>
      </c>
      <c r="B187" s="133"/>
      <c r="C187" s="33" t="s">
        <v>172</v>
      </c>
      <c r="D187" s="33">
        <f>31.44*10.764</f>
        <v>338.42016000000001</v>
      </c>
      <c r="E187" s="33">
        <v>0</v>
      </c>
      <c r="F187" s="33">
        <f t="shared" si="11"/>
        <v>507.63024000000001</v>
      </c>
      <c r="G187" s="133" t="s">
        <v>173</v>
      </c>
      <c r="H187" s="133"/>
      <c r="J187" s="2">
        <v>3</v>
      </c>
    </row>
    <row r="188" spans="1:10" s="2" customFormat="1" ht="15.75" customHeight="1" x14ac:dyDescent="0.25">
      <c r="A188" s="133">
        <v>1</v>
      </c>
      <c r="B188" s="133"/>
      <c r="C188" s="33" t="s">
        <v>175</v>
      </c>
      <c r="D188" s="33">
        <f>29.87*10.764</f>
        <v>321.52067999999997</v>
      </c>
      <c r="E188" s="33">
        <v>0</v>
      </c>
      <c r="F188" s="33">
        <f>D188*1.45</f>
        <v>466.20498599999996</v>
      </c>
      <c r="G188" s="133" t="s">
        <v>173</v>
      </c>
      <c r="H188" s="133"/>
    </row>
    <row r="189" spans="1:10" s="2" customFormat="1" ht="15.75" customHeight="1" x14ac:dyDescent="0.25">
      <c r="A189" s="133">
        <v>2</v>
      </c>
      <c r="B189" s="133"/>
      <c r="C189" s="33" t="s">
        <v>177</v>
      </c>
      <c r="D189" s="33">
        <f>21.04*10.764</f>
        <v>226.47455999999997</v>
      </c>
      <c r="E189" s="33">
        <v>0</v>
      </c>
      <c r="F189" s="33">
        <f t="shared" ref="F189:F190" si="12">D189*1.45</f>
        <v>328.38811199999992</v>
      </c>
      <c r="G189" s="133" t="s">
        <v>173</v>
      </c>
      <c r="H189" s="133"/>
    </row>
    <row r="190" spans="1:10" s="2" customFormat="1" x14ac:dyDescent="0.25">
      <c r="A190" s="133">
        <v>3</v>
      </c>
      <c r="B190" s="133"/>
      <c r="C190" s="33" t="s">
        <v>175</v>
      </c>
      <c r="D190" s="33">
        <f>31.81*10.764</f>
        <v>342.40283999999997</v>
      </c>
      <c r="E190" s="33">
        <v>0</v>
      </c>
      <c r="F190" s="33">
        <f t="shared" si="12"/>
        <v>496.48411799999997</v>
      </c>
      <c r="G190" s="133" t="s">
        <v>173</v>
      </c>
      <c r="H190" s="133"/>
    </row>
    <row r="191" spans="1:10" s="2" customFormat="1" x14ac:dyDescent="0.25">
      <c r="A191" s="134" t="s">
        <v>176</v>
      </c>
      <c r="B191" s="134"/>
      <c r="C191" s="134"/>
      <c r="D191" s="134"/>
      <c r="E191" s="134"/>
      <c r="F191" s="134"/>
      <c r="G191" s="134"/>
      <c r="H191" s="134"/>
    </row>
    <row r="192" spans="1:10" s="2" customFormat="1" x14ac:dyDescent="0.25">
      <c r="A192" s="133">
        <v>1</v>
      </c>
      <c r="B192" s="133"/>
      <c r="C192" s="33" t="s">
        <v>175</v>
      </c>
      <c r="D192" s="33">
        <f>29.87*10.764</f>
        <v>321.52067999999997</v>
      </c>
      <c r="E192" s="33">
        <v>0</v>
      </c>
      <c r="F192" s="33">
        <f>D192*1.45</f>
        <v>466.20498599999996</v>
      </c>
      <c r="G192" s="133" t="str">
        <f>A191</f>
        <v>1st to 8th Floor</v>
      </c>
      <c r="H192" s="133"/>
    </row>
    <row r="193" spans="1:10" s="2" customFormat="1" x14ac:dyDescent="0.25">
      <c r="A193" s="133">
        <v>2</v>
      </c>
      <c r="B193" s="133"/>
      <c r="C193" s="33" t="s">
        <v>175</v>
      </c>
      <c r="D193" s="33">
        <f>29.87*10.764</f>
        <v>321.52067999999997</v>
      </c>
      <c r="E193" s="33">
        <v>0</v>
      </c>
      <c r="F193" s="33">
        <f t="shared" ref="F193:F198" si="13">D193*1.45</f>
        <v>466.20498599999996</v>
      </c>
      <c r="G193" s="133" t="str">
        <f>G192</f>
        <v>1st to 8th Floor</v>
      </c>
      <c r="H193" s="133"/>
    </row>
    <row r="194" spans="1:10" s="2" customFormat="1" x14ac:dyDescent="0.25">
      <c r="A194" s="133">
        <v>3</v>
      </c>
      <c r="B194" s="133"/>
      <c r="C194" s="33" t="s">
        <v>175</v>
      </c>
      <c r="D194" s="33">
        <f>33.51*10.764</f>
        <v>360.70163999999994</v>
      </c>
      <c r="E194" s="33">
        <v>0</v>
      </c>
      <c r="F194" s="33">
        <f t="shared" si="13"/>
        <v>523.01737799999989</v>
      </c>
      <c r="G194" s="133" t="str">
        <f>G193</f>
        <v>1st to 8th Floor</v>
      </c>
      <c r="H194" s="133"/>
      <c r="J194" s="2">
        <f>8*7</f>
        <v>56</v>
      </c>
    </row>
    <row r="195" spans="1:10" s="2" customFormat="1" x14ac:dyDescent="0.25">
      <c r="A195" s="133">
        <v>4</v>
      </c>
      <c r="B195" s="133"/>
      <c r="C195" s="33" t="s">
        <v>177</v>
      </c>
      <c r="D195" s="33">
        <f>21.04*10.764</f>
        <v>226.47455999999997</v>
      </c>
      <c r="E195" s="33">
        <v>0</v>
      </c>
      <c r="F195" s="33">
        <f t="shared" si="13"/>
        <v>328.38811199999992</v>
      </c>
      <c r="G195" s="133" t="str">
        <f t="shared" ref="G195:G198" si="14">G194</f>
        <v>1st to 8th Floor</v>
      </c>
      <c r="H195" s="133"/>
    </row>
    <row r="196" spans="1:10" s="2" customFormat="1" x14ac:dyDescent="0.25">
      <c r="A196" s="133">
        <v>5</v>
      </c>
      <c r="B196" s="133"/>
      <c r="C196" s="33" t="s">
        <v>177</v>
      </c>
      <c r="D196" s="33">
        <f>21.04*10.764</f>
        <v>226.47455999999997</v>
      </c>
      <c r="E196" s="33">
        <v>0</v>
      </c>
      <c r="F196" s="33">
        <f t="shared" si="13"/>
        <v>328.38811199999992</v>
      </c>
      <c r="G196" s="133" t="str">
        <f t="shared" si="14"/>
        <v>1st to 8th Floor</v>
      </c>
      <c r="H196" s="133"/>
    </row>
    <row r="197" spans="1:10" s="2" customFormat="1" x14ac:dyDescent="0.25">
      <c r="A197" s="133">
        <v>6</v>
      </c>
      <c r="B197" s="133"/>
      <c r="C197" s="33" t="s">
        <v>175</v>
      </c>
      <c r="D197" s="33">
        <f>31.81*10.764</f>
        <v>342.40283999999997</v>
      </c>
      <c r="E197" s="33">
        <v>0</v>
      </c>
      <c r="F197" s="33">
        <f t="shared" si="13"/>
        <v>496.48411799999997</v>
      </c>
      <c r="G197" s="133" t="str">
        <f t="shared" si="14"/>
        <v>1st to 8th Floor</v>
      </c>
      <c r="H197" s="133"/>
    </row>
    <row r="198" spans="1:10" s="2" customFormat="1" x14ac:dyDescent="0.25">
      <c r="A198" s="133">
        <v>7</v>
      </c>
      <c r="B198" s="133"/>
      <c r="C198" s="33" t="s">
        <v>175</v>
      </c>
      <c r="D198" s="33">
        <f>31.81*10.764</f>
        <v>342.40283999999997</v>
      </c>
      <c r="E198" s="33">
        <v>0</v>
      </c>
      <c r="F198" s="33">
        <f t="shared" si="13"/>
        <v>496.48411799999997</v>
      </c>
      <c r="G198" s="133" t="str">
        <f t="shared" si="14"/>
        <v>1st to 8th Floor</v>
      </c>
      <c r="H198" s="133"/>
    </row>
    <row r="199" spans="1:10" s="2" customFormat="1" ht="15.75" customHeight="1" x14ac:dyDescent="0.25">
      <c r="A199" s="54"/>
      <c r="B199" s="55"/>
      <c r="C199" s="55"/>
      <c r="D199" s="55"/>
      <c r="E199" s="55"/>
      <c r="F199" s="55"/>
      <c r="G199" s="55"/>
      <c r="H199" s="56"/>
    </row>
    <row r="200" spans="1:10" s="2" customFormat="1" x14ac:dyDescent="0.25">
      <c r="A200" s="135" t="s">
        <v>179</v>
      </c>
      <c r="B200" s="136"/>
      <c r="C200" s="136"/>
      <c r="D200" s="136"/>
      <c r="E200" s="136"/>
      <c r="F200" s="137" t="s">
        <v>229</v>
      </c>
      <c r="G200" s="137"/>
      <c r="H200" s="138"/>
    </row>
    <row r="201" spans="1:10" s="2" customFormat="1" x14ac:dyDescent="0.25">
      <c r="A201" s="134" t="s">
        <v>174</v>
      </c>
      <c r="B201" s="134"/>
      <c r="C201" s="134"/>
      <c r="D201" s="134"/>
      <c r="E201" s="134"/>
      <c r="F201" s="134"/>
      <c r="G201" s="134"/>
      <c r="H201" s="134"/>
    </row>
    <row r="202" spans="1:10" s="2" customFormat="1" ht="15.75" customHeight="1" x14ac:dyDescent="0.25">
      <c r="A202" s="133">
        <v>1</v>
      </c>
      <c r="B202" s="133"/>
      <c r="C202" s="33" t="s">
        <v>175</v>
      </c>
      <c r="D202" s="33">
        <f>29.86*10.764</f>
        <v>321.41303999999997</v>
      </c>
      <c r="E202" s="33">
        <v>0</v>
      </c>
      <c r="F202" s="33">
        <f>D202*1.45</f>
        <v>466.04890799999993</v>
      </c>
      <c r="G202" s="133" t="s">
        <v>173</v>
      </c>
      <c r="H202" s="133"/>
    </row>
    <row r="203" spans="1:10" s="2" customFormat="1" ht="15.75" customHeight="1" x14ac:dyDescent="0.25">
      <c r="A203" s="133">
        <v>2</v>
      </c>
      <c r="B203" s="133"/>
      <c r="C203" s="33" t="s">
        <v>175</v>
      </c>
      <c r="D203" s="33">
        <f>29.86*10.764</f>
        <v>321.41303999999997</v>
      </c>
      <c r="E203" s="33">
        <v>0</v>
      </c>
      <c r="F203" s="33">
        <f t="shared" ref="F203:F204" si="15">D203*1.45</f>
        <v>466.04890799999993</v>
      </c>
      <c r="G203" s="133" t="s">
        <v>173</v>
      </c>
      <c r="H203" s="133"/>
      <c r="J203" s="2">
        <v>5</v>
      </c>
    </row>
    <row r="204" spans="1:10" s="2" customFormat="1" ht="15.75" customHeight="1" x14ac:dyDescent="0.25">
      <c r="A204" s="133">
        <v>3</v>
      </c>
      <c r="B204" s="133"/>
      <c r="C204" s="33" t="s">
        <v>175</v>
      </c>
      <c r="D204" s="33">
        <f>33.51*10.764</f>
        <v>360.70163999999994</v>
      </c>
      <c r="E204" s="33">
        <v>0</v>
      </c>
      <c r="F204" s="33">
        <f t="shared" si="15"/>
        <v>523.01737799999989</v>
      </c>
      <c r="G204" s="133" t="s">
        <v>173</v>
      </c>
      <c r="H204" s="133"/>
    </row>
    <row r="205" spans="1:10" s="2" customFormat="1" ht="15.75" customHeight="1" x14ac:dyDescent="0.25">
      <c r="A205" s="133">
        <v>4</v>
      </c>
      <c r="B205" s="133"/>
      <c r="C205" s="33" t="s">
        <v>177</v>
      </c>
      <c r="D205" s="33">
        <f>21.04*10.764</f>
        <v>226.47455999999997</v>
      </c>
      <c r="E205" s="33">
        <v>0</v>
      </c>
      <c r="F205" s="33">
        <f t="shared" ref="F205:F206" si="16">D205*1.45</f>
        <v>328.38811199999992</v>
      </c>
      <c r="G205" s="133" t="s">
        <v>173</v>
      </c>
      <c r="H205" s="133"/>
    </row>
    <row r="206" spans="1:10" s="2" customFormat="1" x14ac:dyDescent="0.25">
      <c r="A206" s="133">
        <v>5</v>
      </c>
      <c r="B206" s="133"/>
      <c r="C206" s="33" t="s">
        <v>177</v>
      </c>
      <c r="D206" s="33">
        <f>21.04*10.764</f>
        <v>226.47455999999997</v>
      </c>
      <c r="E206" s="33">
        <v>0</v>
      </c>
      <c r="F206" s="33">
        <f t="shared" si="16"/>
        <v>328.38811199999992</v>
      </c>
      <c r="G206" s="133" t="s">
        <v>173</v>
      </c>
      <c r="H206" s="133"/>
    </row>
    <row r="207" spans="1:10" s="2" customFormat="1" x14ac:dyDescent="0.25">
      <c r="A207" s="134" t="s">
        <v>176</v>
      </c>
      <c r="B207" s="134"/>
      <c r="C207" s="134"/>
      <c r="D207" s="134"/>
      <c r="E207" s="134"/>
      <c r="F207" s="134"/>
      <c r="G207" s="134"/>
      <c r="H207" s="134"/>
    </row>
    <row r="208" spans="1:10" s="2" customFormat="1" x14ac:dyDescent="0.25">
      <c r="A208" s="133">
        <v>1</v>
      </c>
      <c r="B208" s="133"/>
      <c r="C208" s="33" t="s">
        <v>175</v>
      </c>
      <c r="D208" s="33">
        <f>29.86*10.764</f>
        <v>321.41303999999997</v>
      </c>
      <c r="E208" s="33">
        <v>0</v>
      </c>
      <c r="F208" s="33">
        <f>D208*1.45</f>
        <v>466.04890799999993</v>
      </c>
      <c r="G208" s="133" t="str">
        <f>A207</f>
        <v>1st to 8th Floor</v>
      </c>
      <c r="H208" s="133"/>
    </row>
    <row r="209" spans="1:10" s="2" customFormat="1" x14ac:dyDescent="0.25">
      <c r="A209" s="133">
        <v>2</v>
      </c>
      <c r="B209" s="133"/>
      <c r="C209" s="33" t="s">
        <v>175</v>
      </c>
      <c r="D209" s="33">
        <f>29.86*10.764</f>
        <v>321.41303999999997</v>
      </c>
      <c r="E209" s="33">
        <v>0</v>
      </c>
      <c r="F209" s="33">
        <f t="shared" ref="F209:F213" si="17">D209*1.45</f>
        <v>466.04890799999993</v>
      </c>
      <c r="G209" s="133" t="str">
        <f>G208</f>
        <v>1st to 8th Floor</v>
      </c>
      <c r="H209" s="133"/>
    </row>
    <row r="210" spans="1:10" s="2" customFormat="1" x14ac:dyDescent="0.25">
      <c r="A210" s="133">
        <v>3</v>
      </c>
      <c r="B210" s="133"/>
      <c r="C210" s="33" t="s">
        <v>175</v>
      </c>
      <c r="D210" s="33">
        <f>31.81*10.764</f>
        <v>342.40283999999997</v>
      </c>
      <c r="E210" s="33">
        <v>0</v>
      </c>
      <c r="F210" s="33">
        <f t="shared" si="17"/>
        <v>496.48411799999997</v>
      </c>
      <c r="G210" s="133" t="str">
        <f>G209</f>
        <v>1st to 8th Floor</v>
      </c>
      <c r="H210" s="133"/>
      <c r="J210" s="2">
        <f>8*6</f>
        <v>48</v>
      </c>
    </row>
    <row r="211" spans="1:10" s="2" customFormat="1" x14ac:dyDescent="0.25">
      <c r="A211" s="133">
        <v>4</v>
      </c>
      <c r="B211" s="133"/>
      <c r="C211" s="33" t="s">
        <v>175</v>
      </c>
      <c r="D211" s="33">
        <f>33.51*10.764</f>
        <v>360.70163999999994</v>
      </c>
      <c r="E211" s="33">
        <v>0</v>
      </c>
      <c r="F211" s="33">
        <f t="shared" si="17"/>
        <v>523.01737799999989</v>
      </c>
      <c r="G211" s="133" t="str">
        <f t="shared" ref="G211:G213" si="18">G210</f>
        <v>1st to 8th Floor</v>
      </c>
      <c r="H211" s="133"/>
    </row>
    <row r="212" spans="1:10" s="2" customFormat="1" x14ac:dyDescent="0.25">
      <c r="A212" s="133">
        <v>5</v>
      </c>
      <c r="B212" s="133"/>
      <c r="C212" s="33" t="s">
        <v>177</v>
      </c>
      <c r="D212" s="33">
        <f>21.04*10.764</f>
        <v>226.47455999999997</v>
      </c>
      <c r="E212" s="33">
        <v>0</v>
      </c>
      <c r="F212" s="33">
        <f t="shared" si="17"/>
        <v>328.38811199999992</v>
      </c>
      <c r="G212" s="133" t="str">
        <f t="shared" si="18"/>
        <v>1st to 8th Floor</v>
      </c>
      <c r="H212" s="133"/>
    </row>
    <row r="213" spans="1:10" s="2" customFormat="1" x14ac:dyDescent="0.25">
      <c r="A213" s="133">
        <v>6</v>
      </c>
      <c r="B213" s="133"/>
      <c r="C213" s="33" t="s">
        <v>177</v>
      </c>
      <c r="D213" s="33">
        <f>21.04*10.764</f>
        <v>226.47455999999997</v>
      </c>
      <c r="E213" s="33">
        <v>0</v>
      </c>
      <c r="F213" s="33">
        <f t="shared" si="17"/>
        <v>328.38811199999992</v>
      </c>
      <c r="G213" s="133" t="str">
        <f t="shared" si="18"/>
        <v>1st to 8th Floor</v>
      </c>
      <c r="H213" s="133"/>
    </row>
    <row r="214" spans="1:10" s="2" customFormat="1" x14ac:dyDescent="0.25">
      <c r="A214" s="54"/>
      <c r="B214" s="55"/>
      <c r="C214" s="55"/>
      <c r="D214" s="55"/>
      <c r="E214" s="55"/>
      <c r="F214" s="55"/>
      <c r="G214" s="55"/>
      <c r="H214" s="56"/>
    </row>
    <row r="215" spans="1:10" s="2" customFormat="1" ht="71.25" customHeight="1" x14ac:dyDescent="0.25">
      <c r="A215" s="135" t="s">
        <v>230</v>
      </c>
      <c r="B215" s="136"/>
      <c r="C215" s="136"/>
      <c r="D215" s="136"/>
      <c r="E215" s="136"/>
      <c r="F215" s="137" t="s">
        <v>237</v>
      </c>
      <c r="G215" s="137"/>
      <c r="H215" s="138"/>
    </row>
    <row r="216" spans="1:10" s="2" customFormat="1" ht="15.75" customHeight="1" x14ac:dyDescent="0.25">
      <c r="A216" s="134" t="s">
        <v>174</v>
      </c>
      <c r="B216" s="134"/>
      <c r="C216" s="134"/>
      <c r="D216" s="134"/>
      <c r="E216" s="134"/>
      <c r="F216" s="134"/>
      <c r="G216" s="134"/>
      <c r="H216" s="134"/>
    </row>
    <row r="217" spans="1:10" s="2" customFormat="1" ht="15.75" customHeight="1" x14ac:dyDescent="0.25">
      <c r="A217" s="133">
        <v>1</v>
      </c>
      <c r="B217" s="133"/>
      <c r="C217" s="139" t="s">
        <v>180</v>
      </c>
      <c r="D217" s="140"/>
      <c r="E217" s="140"/>
      <c r="F217" s="141"/>
      <c r="G217" s="133" t="s">
        <v>173</v>
      </c>
      <c r="H217" s="133"/>
    </row>
    <row r="218" spans="1:10" s="2" customFormat="1" ht="15.75" customHeight="1" x14ac:dyDescent="0.25">
      <c r="A218" s="133">
        <v>2</v>
      </c>
      <c r="B218" s="133"/>
      <c r="C218" s="33" t="s">
        <v>175</v>
      </c>
      <c r="D218" s="33">
        <f>29.87*10.764</f>
        <v>321.52067999999997</v>
      </c>
      <c r="E218" s="33">
        <v>0</v>
      </c>
      <c r="F218" s="33">
        <f t="shared" ref="F218:F223" si="19">D218*1.45</f>
        <v>466.20498599999996</v>
      </c>
      <c r="G218" s="133" t="s">
        <v>173</v>
      </c>
      <c r="H218" s="133"/>
      <c r="J218" s="2">
        <f>4*6</f>
        <v>24</v>
      </c>
    </row>
    <row r="219" spans="1:10" s="2" customFormat="1" ht="15.75" customHeight="1" x14ac:dyDescent="0.25">
      <c r="A219" s="133">
        <v>3</v>
      </c>
      <c r="B219" s="133"/>
      <c r="C219" s="33" t="s">
        <v>175</v>
      </c>
      <c r="D219" s="33">
        <f>33.51*10.764</f>
        <v>360.70163999999994</v>
      </c>
      <c r="E219" s="33">
        <v>0</v>
      </c>
      <c r="F219" s="33">
        <f t="shared" si="19"/>
        <v>523.01737799999989</v>
      </c>
      <c r="G219" s="133" t="s">
        <v>173</v>
      </c>
      <c r="H219" s="133"/>
    </row>
    <row r="220" spans="1:10" s="2" customFormat="1" ht="15.75" customHeight="1" x14ac:dyDescent="0.25">
      <c r="A220" s="133">
        <v>4</v>
      </c>
      <c r="B220" s="133"/>
      <c r="C220" s="33" t="s">
        <v>177</v>
      </c>
      <c r="D220" s="33">
        <f>21.04*10.764</f>
        <v>226.47455999999997</v>
      </c>
      <c r="E220" s="33">
        <v>0</v>
      </c>
      <c r="F220" s="33">
        <f t="shared" si="19"/>
        <v>328.38811199999992</v>
      </c>
      <c r="G220" s="133" t="s">
        <v>173</v>
      </c>
      <c r="H220" s="133"/>
    </row>
    <row r="221" spans="1:10" s="2" customFormat="1" ht="15.75" customHeight="1" x14ac:dyDescent="0.25">
      <c r="A221" s="133">
        <v>5</v>
      </c>
      <c r="B221" s="133"/>
      <c r="C221" s="33" t="s">
        <v>177</v>
      </c>
      <c r="D221" s="33">
        <f>21.04*10.764</f>
        <v>226.47455999999997</v>
      </c>
      <c r="E221" s="33">
        <v>0</v>
      </c>
      <c r="F221" s="33">
        <f t="shared" si="19"/>
        <v>328.38811199999992</v>
      </c>
      <c r="G221" s="133" t="s">
        <v>173</v>
      </c>
      <c r="H221" s="133"/>
    </row>
    <row r="222" spans="1:10" s="2" customFormat="1" ht="15.75" customHeight="1" x14ac:dyDescent="0.25">
      <c r="A222" s="133">
        <v>6</v>
      </c>
      <c r="B222" s="133"/>
      <c r="C222" s="33" t="s">
        <v>175</v>
      </c>
      <c r="D222" s="33">
        <f>31.81*10.764</f>
        <v>342.40283999999997</v>
      </c>
      <c r="E222" s="33">
        <v>0</v>
      </c>
      <c r="F222" s="33">
        <f t="shared" si="19"/>
        <v>496.48411799999997</v>
      </c>
      <c r="G222" s="133" t="s">
        <v>173</v>
      </c>
      <c r="H222" s="133"/>
    </row>
    <row r="223" spans="1:10" s="2" customFormat="1" x14ac:dyDescent="0.25">
      <c r="A223" s="133">
        <v>7</v>
      </c>
      <c r="B223" s="133"/>
      <c r="C223" s="33" t="s">
        <v>175</v>
      </c>
      <c r="D223" s="33">
        <f>31.81*10.764</f>
        <v>342.40283999999997</v>
      </c>
      <c r="E223" s="33">
        <v>0</v>
      </c>
      <c r="F223" s="33">
        <f t="shared" si="19"/>
        <v>496.48411799999997</v>
      </c>
      <c r="G223" s="133" t="s">
        <v>173</v>
      </c>
      <c r="H223" s="133"/>
    </row>
    <row r="224" spans="1:10" s="2" customFormat="1" x14ac:dyDescent="0.25">
      <c r="A224" s="134" t="s">
        <v>176</v>
      </c>
      <c r="B224" s="134"/>
      <c r="C224" s="134"/>
      <c r="D224" s="134"/>
      <c r="E224" s="134"/>
      <c r="F224" s="134"/>
      <c r="G224" s="134"/>
      <c r="H224" s="134"/>
    </row>
    <row r="225" spans="1:10" s="2" customFormat="1" x14ac:dyDescent="0.25">
      <c r="A225" s="133">
        <v>1</v>
      </c>
      <c r="B225" s="133"/>
      <c r="C225" s="33" t="s">
        <v>175</v>
      </c>
      <c r="D225" s="33">
        <f>29.87*10.764</f>
        <v>321.52067999999997</v>
      </c>
      <c r="E225" s="33">
        <v>0</v>
      </c>
      <c r="F225" s="33">
        <f>D225*1.45</f>
        <v>466.20498599999996</v>
      </c>
      <c r="G225" s="133" t="str">
        <f>A224</f>
        <v>1st to 8th Floor</v>
      </c>
      <c r="H225" s="133"/>
    </row>
    <row r="226" spans="1:10" s="2" customFormat="1" x14ac:dyDescent="0.25">
      <c r="A226" s="133">
        <v>2</v>
      </c>
      <c r="B226" s="133"/>
      <c r="C226" s="33" t="s">
        <v>175</v>
      </c>
      <c r="D226" s="33">
        <f>29.87*10.764</f>
        <v>321.52067999999997</v>
      </c>
      <c r="E226" s="33">
        <v>0</v>
      </c>
      <c r="F226" s="33">
        <f t="shared" ref="F226:F231" si="20">D226*1.45</f>
        <v>466.20498599999996</v>
      </c>
      <c r="G226" s="133" t="str">
        <f>G225</f>
        <v>1st to 8th Floor</v>
      </c>
      <c r="H226" s="133"/>
    </row>
    <row r="227" spans="1:10" s="2" customFormat="1" x14ac:dyDescent="0.25">
      <c r="A227" s="133">
        <v>3</v>
      </c>
      <c r="B227" s="133"/>
      <c r="C227" s="33" t="s">
        <v>175</v>
      </c>
      <c r="D227" s="33">
        <f>33.51*10.764</f>
        <v>360.70163999999994</v>
      </c>
      <c r="E227" s="33">
        <v>0</v>
      </c>
      <c r="F227" s="33">
        <f t="shared" si="20"/>
        <v>523.01737799999989</v>
      </c>
      <c r="G227" s="133" t="str">
        <f>G226</f>
        <v>1st to 8th Floor</v>
      </c>
      <c r="H227" s="133"/>
      <c r="J227" s="2">
        <f>8*7*4</f>
        <v>224</v>
      </c>
    </row>
    <row r="228" spans="1:10" s="2" customFormat="1" x14ac:dyDescent="0.25">
      <c r="A228" s="133">
        <v>4</v>
      </c>
      <c r="B228" s="133"/>
      <c r="C228" s="33" t="s">
        <v>177</v>
      </c>
      <c r="D228" s="33">
        <f>21.04*10.764</f>
        <v>226.47455999999997</v>
      </c>
      <c r="E228" s="33">
        <v>0</v>
      </c>
      <c r="F228" s="33">
        <f t="shared" si="20"/>
        <v>328.38811199999992</v>
      </c>
      <c r="G228" s="133" t="str">
        <f t="shared" ref="G228:G231" si="21">G227</f>
        <v>1st to 8th Floor</v>
      </c>
      <c r="H228" s="133"/>
    </row>
    <row r="229" spans="1:10" s="2" customFormat="1" x14ac:dyDescent="0.25">
      <c r="A229" s="133">
        <v>5</v>
      </c>
      <c r="B229" s="133"/>
      <c r="C229" s="33" t="s">
        <v>177</v>
      </c>
      <c r="D229" s="33">
        <f>21.04*10.764</f>
        <v>226.47455999999997</v>
      </c>
      <c r="E229" s="33">
        <v>0</v>
      </c>
      <c r="F229" s="33">
        <f t="shared" si="20"/>
        <v>328.38811199999992</v>
      </c>
      <c r="G229" s="133" t="str">
        <f t="shared" si="21"/>
        <v>1st to 8th Floor</v>
      </c>
      <c r="H229" s="133"/>
    </row>
    <row r="230" spans="1:10" s="2" customFormat="1" x14ac:dyDescent="0.25">
      <c r="A230" s="133">
        <v>6</v>
      </c>
      <c r="B230" s="133"/>
      <c r="C230" s="33" t="s">
        <v>175</v>
      </c>
      <c r="D230" s="33">
        <f>31.81*10.764</f>
        <v>342.40283999999997</v>
      </c>
      <c r="E230" s="33">
        <v>0</v>
      </c>
      <c r="F230" s="33">
        <f t="shared" si="20"/>
        <v>496.48411799999997</v>
      </c>
      <c r="G230" s="133" t="str">
        <f t="shared" si="21"/>
        <v>1st to 8th Floor</v>
      </c>
      <c r="H230" s="133"/>
    </row>
    <row r="231" spans="1:10" s="2" customFormat="1" x14ac:dyDescent="0.25">
      <c r="A231" s="133">
        <v>7</v>
      </c>
      <c r="B231" s="133"/>
      <c r="C231" s="33" t="s">
        <v>175</v>
      </c>
      <c r="D231" s="33">
        <f>31.81*10.764</f>
        <v>342.40283999999997</v>
      </c>
      <c r="E231" s="33">
        <v>0</v>
      </c>
      <c r="F231" s="33">
        <f t="shared" si="20"/>
        <v>496.48411799999997</v>
      </c>
      <c r="G231" s="133" t="str">
        <f t="shared" si="21"/>
        <v>1st to 8th Floor</v>
      </c>
      <c r="H231" s="133"/>
    </row>
    <row r="232" spans="1:10" s="2" customFormat="1" x14ac:dyDescent="0.25">
      <c r="A232" s="54"/>
      <c r="B232" s="55"/>
      <c r="C232" s="55"/>
      <c r="D232" s="55"/>
      <c r="E232" s="55"/>
      <c r="F232" s="55"/>
      <c r="G232" s="55"/>
      <c r="H232" s="56"/>
    </row>
    <row r="233" spans="1:10" s="2" customFormat="1" ht="36" customHeight="1" x14ac:dyDescent="0.25">
      <c r="A233" s="135" t="s">
        <v>181</v>
      </c>
      <c r="B233" s="136"/>
      <c r="C233" s="136"/>
      <c r="D233" s="136"/>
      <c r="E233" s="136"/>
      <c r="F233" s="137" t="s">
        <v>238</v>
      </c>
      <c r="G233" s="137"/>
      <c r="H233" s="138"/>
    </row>
    <row r="234" spans="1:10" s="2" customFormat="1" x14ac:dyDescent="0.25">
      <c r="A234" s="134" t="s">
        <v>174</v>
      </c>
      <c r="B234" s="134"/>
      <c r="C234" s="134"/>
      <c r="D234" s="134"/>
      <c r="E234" s="134"/>
      <c r="F234" s="134"/>
      <c r="G234" s="134"/>
      <c r="H234" s="134"/>
    </row>
    <row r="235" spans="1:10" s="2" customFormat="1" x14ac:dyDescent="0.25">
      <c r="A235" s="133">
        <v>1</v>
      </c>
      <c r="B235" s="133"/>
      <c r="C235" s="33" t="s">
        <v>172</v>
      </c>
      <c r="D235" s="33">
        <f>15.31*10.764</f>
        <v>164.79684</v>
      </c>
      <c r="E235" s="33">
        <v>0</v>
      </c>
      <c r="F235" s="33">
        <f t="shared" ref="F235:F238" si="22">D235*1.5</f>
        <v>247.19526000000002</v>
      </c>
      <c r="G235" s="133" t="s">
        <v>173</v>
      </c>
      <c r="H235" s="133"/>
    </row>
    <row r="236" spans="1:10" s="2" customFormat="1" x14ac:dyDescent="0.25">
      <c r="A236" s="133">
        <v>2</v>
      </c>
      <c r="B236" s="133"/>
      <c r="C236" s="33" t="s">
        <v>172</v>
      </c>
      <c r="D236" s="33">
        <f>16*10.764</f>
        <v>172.22399999999999</v>
      </c>
      <c r="E236" s="33">
        <v>0</v>
      </c>
      <c r="F236" s="33">
        <f t="shared" si="22"/>
        <v>258.33600000000001</v>
      </c>
      <c r="G236" s="133" t="s">
        <v>173</v>
      </c>
      <c r="H236" s="133"/>
      <c r="I236" s="2">
        <v>8</v>
      </c>
    </row>
    <row r="237" spans="1:10" s="2" customFormat="1" x14ac:dyDescent="0.25">
      <c r="A237" s="133">
        <v>3</v>
      </c>
      <c r="B237" s="133"/>
      <c r="C237" s="33" t="s">
        <v>172</v>
      </c>
      <c r="D237" s="33">
        <f>16*10.764</f>
        <v>172.22399999999999</v>
      </c>
      <c r="E237" s="33">
        <v>0</v>
      </c>
      <c r="F237" s="33">
        <f t="shared" si="22"/>
        <v>258.33600000000001</v>
      </c>
      <c r="G237" s="133" t="s">
        <v>173</v>
      </c>
      <c r="H237" s="133"/>
    </row>
    <row r="238" spans="1:10" s="2" customFormat="1" ht="15.75" customHeight="1" x14ac:dyDescent="0.25">
      <c r="A238" s="133">
        <v>4</v>
      </c>
      <c r="B238" s="133"/>
      <c r="C238" s="33" t="s">
        <v>172</v>
      </c>
      <c r="D238" s="33">
        <f>15.31*10.764</f>
        <v>164.79684</v>
      </c>
      <c r="E238" s="33">
        <v>0</v>
      </c>
      <c r="F238" s="33">
        <f t="shared" si="22"/>
        <v>247.19526000000002</v>
      </c>
      <c r="G238" s="133" t="s">
        <v>173</v>
      </c>
      <c r="H238" s="133"/>
    </row>
    <row r="239" spans="1:10" s="2" customFormat="1" ht="15.75" customHeight="1" x14ac:dyDescent="0.25">
      <c r="A239" s="133">
        <v>1</v>
      </c>
      <c r="B239" s="133"/>
      <c r="C239" s="33" t="s">
        <v>175</v>
      </c>
      <c r="D239" s="33">
        <f>29.88*10.764</f>
        <v>321.62831999999997</v>
      </c>
      <c r="E239" s="33">
        <v>0</v>
      </c>
      <c r="F239" s="33">
        <f t="shared" ref="F239:F241" si="23">D239*1.45</f>
        <v>466.36106399999994</v>
      </c>
      <c r="G239" s="133" t="s">
        <v>173</v>
      </c>
      <c r="H239" s="133"/>
      <c r="J239" s="2">
        <f>2*2</f>
        <v>4</v>
      </c>
    </row>
    <row r="240" spans="1:10" s="2" customFormat="1" ht="15.75" customHeight="1" x14ac:dyDescent="0.25">
      <c r="A240" s="133">
        <v>2</v>
      </c>
      <c r="B240" s="133"/>
      <c r="C240" s="33" t="s">
        <v>177</v>
      </c>
      <c r="D240" s="33">
        <f>21.09*10.764</f>
        <v>227.01275999999999</v>
      </c>
      <c r="E240" s="33">
        <v>0</v>
      </c>
      <c r="F240" s="33">
        <f t="shared" si="23"/>
        <v>329.16850199999999</v>
      </c>
      <c r="G240" s="133" t="s">
        <v>173</v>
      </c>
      <c r="H240" s="133"/>
    </row>
    <row r="241" spans="1:10" s="2" customFormat="1" x14ac:dyDescent="0.25">
      <c r="A241" s="133">
        <v>3</v>
      </c>
      <c r="B241" s="133"/>
      <c r="C241" s="33" t="s">
        <v>177</v>
      </c>
      <c r="D241" s="33">
        <f>21.09*10.764</f>
        <v>227.01275999999999</v>
      </c>
      <c r="E241" s="33">
        <v>0</v>
      </c>
      <c r="F241" s="33">
        <f t="shared" si="23"/>
        <v>329.16850199999999</v>
      </c>
      <c r="G241" s="133" t="s">
        <v>173</v>
      </c>
      <c r="H241" s="133"/>
    </row>
    <row r="242" spans="1:10" s="2" customFormat="1" x14ac:dyDescent="0.25">
      <c r="A242" s="134" t="s">
        <v>176</v>
      </c>
      <c r="B242" s="134"/>
      <c r="C242" s="134"/>
      <c r="D242" s="134"/>
      <c r="E242" s="134"/>
      <c r="F242" s="134"/>
      <c r="G242" s="134"/>
      <c r="H242" s="134"/>
    </row>
    <row r="243" spans="1:10" s="2" customFormat="1" x14ac:dyDescent="0.25">
      <c r="A243" s="133">
        <v>1</v>
      </c>
      <c r="B243" s="133"/>
      <c r="C243" s="33" t="s">
        <v>175</v>
      </c>
      <c r="D243" s="33">
        <f>29.88*10.764</f>
        <v>321.62831999999997</v>
      </c>
      <c r="E243" s="33">
        <v>0</v>
      </c>
      <c r="F243" s="33">
        <f>D243*1.45</f>
        <v>466.36106399999994</v>
      </c>
      <c r="G243" s="133" t="str">
        <f>A242</f>
        <v>1st to 8th Floor</v>
      </c>
      <c r="H243" s="133"/>
    </row>
    <row r="244" spans="1:10" s="2" customFormat="1" x14ac:dyDescent="0.25">
      <c r="A244" s="133">
        <v>2</v>
      </c>
      <c r="B244" s="133"/>
      <c r="C244" s="33" t="s">
        <v>175</v>
      </c>
      <c r="D244" s="33">
        <f>29.88*10.764</f>
        <v>321.62831999999997</v>
      </c>
      <c r="E244" s="33">
        <v>0</v>
      </c>
      <c r="F244" s="33">
        <f t="shared" ref="F244:F248" si="24">D244*1.45</f>
        <v>466.36106399999994</v>
      </c>
      <c r="G244" s="133" t="str">
        <f>G243</f>
        <v>1st to 8th Floor</v>
      </c>
      <c r="H244" s="133"/>
    </row>
    <row r="245" spans="1:10" s="2" customFormat="1" x14ac:dyDescent="0.25">
      <c r="A245" s="133">
        <v>3</v>
      </c>
      <c r="B245" s="133"/>
      <c r="C245" s="33" t="s">
        <v>177</v>
      </c>
      <c r="D245" s="33">
        <f>21.09*10.764</f>
        <v>227.01275999999999</v>
      </c>
      <c r="E245" s="33">
        <v>0</v>
      </c>
      <c r="F245" s="33">
        <f t="shared" si="24"/>
        <v>329.16850199999999</v>
      </c>
      <c r="G245" s="133" t="str">
        <f>G244</f>
        <v>1st to 8th Floor</v>
      </c>
      <c r="H245" s="133"/>
    </row>
    <row r="246" spans="1:10" s="2" customFormat="1" x14ac:dyDescent="0.25">
      <c r="A246" s="133">
        <v>4</v>
      </c>
      <c r="B246" s="133"/>
      <c r="C246" s="33" t="s">
        <v>177</v>
      </c>
      <c r="D246" s="33">
        <f>21.09*10.764</f>
        <v>227.01275999999999</v>
      </c>
      <c r="E246" s="33">
        <v>0</v>
      </c>
      <c r="F246" s="33">
        <f t="shared" si="24"/>
        <v>329.16850199999999</v>
      </c>
      <c r="G246" s="133" t="str">
        <f t="shared" ref="G246:G248" si="25">G245</f>
        <v>1st to 8th Floor</v>
      </c>
      <c r="H246" s="133"/>
      <c r="J246" s="2">
        <f>8*6*2</f>
        <v>96</v>
      </c>
    </row>
    <row r="247" spans="1:10" s="2" customFormat="1" x14ac:dyDescent="0.25">
      <c r="A247" s="133">
        <v>5</v>
      </c>
      <c r="B247" s="133"/>
      <c r="C247" s="33" t="s">
        <v>177</v>
      </c>
      <c r="D247" s="33">
        <f>21.09*10.764</f>
        <v>227.01275999999999</v>
      </c>
      <c r="E247" s="33">
        <v>0</v>
      </c>
      <c r="F247" s="33">
        <f t="shared" si="24"/>
        <v>329.16850199999999</v>
      </c>
      <c r="G247" s="133" t="str">
        <f t="shared" si="25"/>
        <v>1st to 8th Floor</v>
      </c>
      <c r="H247" s="133"/>
    </row>
    <row r="248" spans="1:10" s="2" customFormat="1" x14ac:dyDescent="0.25">
      <c r="A248" s="133">
        <v>6</v>
      </c>
      <c r="B248" s="133"/>
      <c r="C248" s="33" t="s">
        <v>177</v>
      </c>
      <c r="D248" s="33">
        <f>21.09*10.764</f>
        <v>227.01275999999999</v>
      </c>
      <c r="E248" s="33">
        <v>0</v>
      </c>
      <c r="F248" s="33">
        <f t="shared" si="24"/>
        <v>329.16850199999999</v>
      </c>
      <c r="G248" s="133" t="str">
        <f t="shared" si="25"/>
        <v>1st to 8th Floor</v>
      </c>
      <c r="H248" s="133"/>
    </row>
    <row r="249" spans="1:10" s="2" customFormat="1" x14ac:dyDescent="0.25">
      <c r="A249" s="54"/>
      <c r="B249" s="55"/>
      <c r="C249" s="55"/>
      <c r="D249" s="55"/>
      <c r="E249" s="55"/>
      <c r="F249" s="55"/>
      <c r="G249" s="55"/>
      <c r="H249" s="56"/>
    </row>
    <row r="250" spans="1:10" s="2" customFormat="1" ht="35.25" customHeight="1" x14ac:dyDescent="0.25">
      <c r="A250" s="135" t="s">
        <v>182</v>
      </c>
      <c r="B250" s="136"/>
      <c r="C250" s="136"/>
      <c r="D250" s="136"/>
      <c r="E250" s="136"/>
      <c r="F250" s="137" t="s">
        <v>235</v>
      </c>
      <c r="G250" s="137"/>
      <c r="H250" s="138"/>
    </row>
    <row r="251" spans="1:10" s="2" customFormat="1" x14ac:dyDescent="0.25">
      <c r="A251" s="134" t="s">
        <v>174</v>
      </c>
      <c r="B251" s="134"/>
      <c r="C251" s="134"/>
      <c r="D251" s="134"/>
      <c r="E251" s="134"/>
      <c r="F251" s="134"/>
      <c r="G251" s="134"/>
      <c r="H251" s="134"/>
    </row>
    <row r="252" spans="1:10" s="2" customFormat="1" x14ac:dyDescent="0.25">
      <c r="A252" s="133">
        <v>1</v>
      </c>
      <c r="B252" s="133"/>
      <c r="C252" s="33" t="s">
        <v>172</v>
      </c>
      <c r="D252" s="33">
        <f>12.13*10.764</f>
        <v>130.56732</v>
      </c>
      <c r="E252" s="33">
        <v>0</v>
      </c>
      <c r="F252" s="33">
        <f t="shared" ref="F252:F255" si="26">D252*1.5</f>
        <v>195.85097999999999</v>
      </c>
      <c r="G252" s="133" t="s">
        <v>173</v>
      </c>
      <c r="H252" s="133"/>
    </row>
    <row r="253" spans="1:10" s="2" customFormat="1" x14ac:dyDescent="0.25">
      <c r="A253" s="133">
        <v>2</v>
      </c>
      <c r="B253" s="133"/>
      <c r="C253" s="33" t="s">
        <v>172</v>
      </c>
      <c r="D253" s="33">
        <f>12.36*10.764</f>
        <v>133.04303999999999</v>
      </c>
      <c r="E253" s="33">
        <v>0</v>
      </c>
      <c r="F253" s="33">
        <f t="shared" si="26"/>
        <v>199.56455999999997</v>
      </c>
      <c r="G253" s="133" t="s">
        <v>173</v>
      </c>
      <c r="H253" s="133"/>
    </row>
    <row r="254" spans="1:10" s="2" customFormat="1" x14ac:dyDescent="0.25">
      <c r="A254" s="133">
        <v>3</v>
      </c>
      <c r="B254" s="133"/>
      <c r="C254" s="33" t="s">
        <v>172</v>
      </c>
      <c r="D254" s="33">
        <f>13.61*10.764</f>
        <v>146.49803999999997</v>
      </c>
      <c r="E254" s="33">
        <v>0</v>
      </c>
      <c r="F254" s="33">
        <f t="shared" si="26"/>
        <v>219.74705999999998</v>
      </c>
      <c r="G254" s="133" t="s">
        <v>173</v>
      </c>
      <c r="H254" s="133"/>
      <c r="I254" s="2">
        <f>7*2</f>
        <v>14</v>
      </c>
    </row>
    <row r="255" spans="1:10" s="2" customFormat="1" x14ac:dyDescent="0.25">
      <c r="A255" s="133">
        <v>4</v>
      </c>
      <c r="B255" s="133"/>
      <c r="C255" s="33" t="s">
        <v>172</v>
      </c>
      <c r="D255" s="33">
        <f>16.58*10.764</f>
        <v>178.46711999999997</v>
      </c>
      <c r="E255" s="33">
        <v>0</v>
      </c>
      <c r="F255" s="33">
        <f t="shared" si="26"/>
        <v>267.70067999999992</v>
      </c>
      <c r="G255" s="133" t="s">
        <v>173</v>
      </c>
      <c r="H255" s="133"/>
    </row>
    <row r="256" spans="1:10" s="2" customFormat="1" x14ac:dyDescent="0.25">
      <c r="A256" s="133">
        <v>5</v>
      </c>
      <c r="B256" s="133"/>
      <c r="C256" s="33" t="s">
        <v>172</v>
      </c>
      <c r="D256" s="33">
        <f>15.07*10.764</f>
        <v>162.21348</v>
      </c>
      <c r="E256" s="33">
        <v>0</v>
      </c>
      <c r="F256" s="33">
        <f t="shared" ref="F256:F258" si="27">D256*1.5</f>
        <v>243.32022000000001</v>
      </c>
      <c r="G256" s="133" t="s">
        <v>173</v>
      </c>
      <c r="H256" s="133"/>
    </row>
    <row r="257" spans="1:10" s="2" customFormat="1" x14ac:dyDescent="0.25">
      <c r="A257" s="133">
        <v>6</v>
      </c>
      <c r="B257" s="133"/>
      <c r="C257" s="33" t="s">
        <v>172</v>
      </c>
      <c r="D257" s="33">
        <f>16.63*10.764</f>
        <v>179.00531999999998</v>
      </c>
      <c r="E257" s="33">
        <v>0</v>
      </c>
      <c r="F257" s="33">
        <f t="shared" si="27"/>
        <v>268.50797999999998</v>
      </c>
      <c r="G257" s="133" t="s">
        <v>173</v>
      </c>
      <c r="H257" s="133"/>
      <c r="J257" s="2">
        <f>3*2</f>
        <v>6</v>
      </c>
    </row>
    <row r="258" spans="1:10" s="2" customFormat="1" ht="15.75" customHeight="1" x14ac:dyDescent="0.25">
      <c r="A258" s="133">
        <v>7</v>
      </c>
      <c r="B258" s="133"/>
      <c r="C258" s="33" t="s">
        <v>172</v>
      </c>
      <c r="D258" s="33">
        <f>14.76*10.764</f>
        <v>158.87663999999998</v>
      </c>
      <c r="E258" s="33">
        <v>0</v>
      </c>
      <c r="F258" s="33">
        <f t="shared" si="27"/>
        <v>238.31495999999999</v>
      </c>
      <c r="G258" s="133" t="s">
        <v>173</v>
      </c>
      <c r="H258" s="133"/>
    </row>
    <row r="259" spans="1:10" s="2" customFormat="1" ht="15.75" customHeight="1" x14ac:dyDescent="0.25">
      <c r="A259" s="133">
        <v>1</v>
      </c>
      <c r="B259" s="133"/>
      <c r="C259" s="33" t="s">
        <v>175</v>
      </c>
      <c r="D259" s="33">
        <f>29.87*10.764</f>
        <v>321.52067999999997</v>
      </c>
      <c r="E259" s="33">
        <v>0</v>
      </c>
      <c r="F259" s="33">
        <f t="shared" ref="F259:F261" si="28">D259*1.45</f>
        <v>466.20498599999996</v>
      </c>
      <c r="G259" s="133" t="s">
        <v>173</v>
      </c>
      <c r="H259" s="133"/>
    </row>
    <row r="260" spans="1:10" s="2" customFormat="1" ht="15.75" customHeight="1" x14ac:dyDescent="0.25">
      <c r="A260" s="133">
        <v>2</v>
      </c>
      <c r="B260" s="133"/>
      <c r="C260" s="33" t="s">
        <v>175</v>
      </c>
      <c r="D260" s="33">
        <f>29.87*10.764</f>
        <v>321.52067999999997</v>
      </c>
      <c r="E260" s="33">
        <v>0</v>
      </c>
      <c r="F260" s="33">
        <f t="shared" si="28"/>
        <v>466.20498599999996</v>
      </c>
      <c r="G260" s="133" t="s">
        <v>173</v>
      </c>
      <c r="H260" s="133"/>
    </row>
    <row r="261" spans="1:10" s="2" customFormat="1" x14ac:dyDescent="0.25">
      <c r="A261" s="133">
        <v>3</v>
      </c>
      <c r="B261" s="133"/>
      <c r="C261" s="33" t="s">
        <v>175</v>
      </c>
      <c r="D261" s="33">
        <f>33.51*10.764</f>
        <v>360.70163999999994</v>
      </c>
      <c r="E261" s="33">
        <v>0</v>
      </c>
      <c r="F261" s="33">
        <f t="shared" si="28"/>
        <v>523.01737799999989</v>
      </c>
      <c r="G261" s="133" t="s">
        <v>173</v>
      </c>
      <c r="H261" s="133"/>
    </row>
    <row r="262" spans="1:10" s="2" customFormat="1" x14ac:dyDescent="0.25">
      <c r="A262" s="134" t="s">
        <v>176</v>
      </c>
      <c r="B262" s="134"/>
      <c r="C262" s="134"/>
      <c r="D262" s="134"/>
      <c r="E262" s="134"/>
      <c r="F262" s="134"/>
      <c r="G262" s="134"/>
      <c r="H262" s="134"/>
    </row>
    <row r="263" spans="1:10" s="2" customFormat="1" x14ac:dyDescent="0.25">
      <c r="A263" s="133">
        <v>1</v>
      </c>
      <c r="B263" s="133"/>
      <c r="C263" s="33" t="s">
        <v>175</v>
      </c>
      <c r="D263" s="33">
        <f>29.87*10.764</f>
        <v>321.52067999999997</v>
      </c>
      <c r="E263" s="33">
        <v>0</v>
      </c>
      <c r="F263" s="33">
        <f>D263*1.45</f>
        <v>466.20498599999996</v>
      </c>
      <c r="G263" s="133" t="str">
        <f>A262</f>
        <v>1st to 8th Floor</v>
      </c>
      <c r="H263" s="133"/>
    </row>
    <row r="264" spans="1:10" s="2" customFormat="1" x14ac:dyDescent="0.25">
      <c r="A264" s="133">
        <v>2</v>
      </c>
      <c r="B264" s="133"/>
      <c r="C264" s="33" t="s">
        <v>175</v>
      </c>
      <c r="D264" s="33">
        <f>29.87*10.764</f>
        <v>321.52067999999997</v>
      </c>
      <c r="E264" s="33">
        <v>0</v>
      </c>
      <c r="F264" s="33">
        <f t="shared" ref="F264:F269" si="29">D264*1.45</f>
        <v>466.20498599999996</v>
      </c>
      <c r="G264" s="133" t="str">
        <f>G263</f>
        <v>1st to 8th Floor</v>
      </c>
      <c r="H264" s="133"/>
    </row>
    <row r="265" spans="1:10" s="2" customFormat="1" x14ac:dyDescent="0.25">
      <c r="A265" s="133">
        <v>3</v>
      </c>
      <c r="B265" s="133"/>
      <c r="C265" s="33" t="s">
        <v>175</v>
      </c>
      <c r="D265" s="33">
        <f>33.51*10.764</f>
        <v>360.70163999999994</v>
      </c>
      <c r="E265" s="33">
        <v>0</v>
      </c>
      <c r="F265" s="33">
        <f t="shared" si="29"/>
        <v>523.01737799999989</v>
      </c>
      <c r="G265" s="133" t="str">
        <f>G264</f>
        <v>1st to 8th Floor</v>
      </c>
      <c r="H265" s="133"/>
    </row>
    <row r="266" spans="1:10" s="2" customFormat="1" x14ac:dyDescent="0.25">
      <c r="A266" s="133">
        <v>4</v>
      </c>
      <c r="B266" s="133"/>
      <c r="C266" s="33" t="s">
        <v>177</v>
      </c>
      <c r="D266" s="33">
        <f>21.04*10.764</f>
        <v>226.47455999999997</v>
      </c>
      <c r="E266" s="33">
        <v>0</v>
      </c>
      <c r="F266" s="33">
        <f t="shared" si="29"/>
        <v>328.38811199999992</v>
      </c>
      <c r="G266" s="133" t="str">
        <f t="shared" ref="G266:G267" si="30">G265</f>
        <v>1st to 8th Floor</v>
      </c>
      <c r="H266" s="133"/>
    </row>
    <row r="267" spans="1:10" s="2" customFormat="1" ht="15.75" customHeight="1" x14ac:dyDescent="0.25">
      <c r="A267" s="133">
        <v>5</v>
      </c>
      <c r="B267" s="133"/>
      <c r="C267" s="33" t="s">
        <v>177</v>
      </c>
      <c r="D267" s="33">
        <f>21.04*10.764</f>
        <v>226.47455999999997</v>
      </c>
      <c r="E267" s="33">
        <v>0</v>
      </c>
      <c r="F267" s="33">
        <f t="shared" si="29"/>
        <v>328.38811199999992</v>
      </c>
      <c r="G267" s="133" t="str">
        <f t="shared" si="30"/>
        <v>1st to 8th Floor</v>
      </c>
      <c r="H267" s="133"/>
      <c r="J267" s="2">
        <f>8*2*7</f>
        <v>112</v>
      </c>
    </row>
    <row r="268" spans="1:10" s="2" customFormat="1" ht="15.75" customHeight="1" x14ac:dyDescent="0.25">
      <c r="A268" s="133">
        <v>6</v>
      </c>
      <c r="B268" s="133"/>
      <c r="C268" s="33" t="s">
        <v>175</v>
      </c>
      <c r="D268" s="33">
        <f>31.81*10.764</f>
        <v>342.40283999999997</v>
      </c>
      <c r="E268" s="33">
        <v>0</v>
      </c>
      <c r="F268" s="33">
        <f t="shared" si="29"/>
        <v>496.48411799999997</v>
      </c>
      <c r="G268" s="133" t="str">
        <f t="shared" ref="G268:G269" si="31">G267</f>
        <v>1st to 8th Floor</v>
      </c>
      <c r="H268" s="133"/>
    </row>
    <row r="269" spans="1:10" s="2" customFormat="1" ht="15.75" customHeight="1" x14ac:dyDescent="0.25">
      <c r="A269" s="133">
        <v>7</v>
      </c>
      <c r="B269" s="133"/>
      <c r="C269" s="33" t="s">
        <v>175</v>
      </c>
      <c r="D269" s="33">
        <f>31.81*10.764</f>
        <v>342.40283999999997</v>
      </c>
      <c r="E269" s="33">
        <v>0</v>
      </c>
      <c r="F269" s="33">
        <f t="shared" si="29"/>
        <v>496.48411799999997</v>
      </c>
      <c r="G269" s="133" t="str">
        <f t="shared" si="31"/>
        <v>1st to 8th Floor</v>
      </c>
      <c r="H269" s="133"/>
    </row>
    <row r="270" spans="1:10" s="2" customFormat="1" x14ac:dyDescent="0.25">
      <c r="A270" s="54"/>
      <c r="B270" s="55"/>
      <c r="C270" s="55"/>
      <c r="D270" s="55"/>
      <c r="E270" s="55"/>
      <c r="F270" s="55"/>
      <c r="G270" s="55"/>
      <c r="H270" s="56"/>
    </row>
    <row r="271" spans="1:10" s="2" customFormat="1" ht="39" customHeight="1" x14ac:dyDescent="0.25">
      <c r="A271" s="135" t="s">
        <v>183</v>
      </c>
      <c r="B271" s="136"/>
      <c r="C271" s="136"/>
      <c r="D271" s="136"/>
      <c r="E271" s="136"/>
      <c r="F271" s="137" t="s">
        <v>236</v>
      </c>
      <c r="G271" s="137"/>
      <c r="H271" s="138"/>
    </row>
    <row r="272" spans="1:10" s="2" customFormat="1" ht="15.75" customHeight="1" x14ac:dyDescent="0.25">
      <c r="A272" s="134" t="s">
        <v>174</v>
      </c>
      <c r="B272" s="134"/>
      <c r="C272" s="134"/>
      <c r="D272" s="134"/>
      <c r="E272" s="134"/>
      <c r="F272" s="134"/>
      <c r="G272" s="134"/>
      <c r="H272" s="134"/>
    </row>
    <row r="273" spans="1:10" s="2" customFormat="1" ht="15.75" customHeight="1" x14ac:dyDescent="0.25">
      <c r="A273" s="133">
        <v>1</v>
      </c>
      <c r="B273" s="133"/>
      <c r="C273" s="33" t="s">
        <v>175</v>
      </c>
      <c r="D273" s="33">
        <f>29.87*10.764</f>
        <v>321.52067999999997</v>
      </c>
      <c r="E273" s="33">
        <v>0</v>
      </c>
      <c r="F273" s="33">
        <f t="shared" ref="F273:F275" si="32">D273*1.45</f>
        <v>466.20498599999996</v>
      </c>
      <c r="G273" s="133" t="s">
        <v>173</v>
      </c>
      <c r="H273" s="133"/>
    </row>
    <row r="274" spans="1:10" s="2" customFormat="1" ht="15.75" customHeight="1" x14ac:dyDescent="0.25">
      <c r="A274" s="133">
        <v>2</v>
      </c>
      <c r="B274" s="133"/>
      <c r="C274" s="33" t="s">
        <v>177</v>
      </c>
      <c r="D274" s="33">
        <f>29.87*10.764</f>
        <v>321.52067999999997</v>
      </c>
      <c r="E274" s="33">
        <v>0</v>
      </c>
      <c r="F274" s="33">
        <f t="shared" si="32"/>
        <v>466.20498599999996</v>
      </c>
      <c r="G274" s="133" t="s">
        <v>173</v>
      </c>
      <c r="H274" s="133"/>
      <c r="J274" s="2">
        <f>5*2</f>
        <v>10</v>
      </c>
    </row>
    <row r="275" spans="1:10" s="2" customFormat="1" ht="15.75" customHeight="1" x14ac:dyDescent="0.25">
      <c r="A275" s="133">
        <v>3</v>
      </c>
      <c r="B275" s="133"/>
      <c r="C275" s="33" t="s">
        <v>177</v>
      </c>
      <c r="D275" s="33">
        <f>33.51*10.764</f>
        <v>360.70163999999994</v>
      </c>
      <c r="E275" s="33">
        <v>0</v>
      </c>
      <c r="F275" s="33">
        <f t="shared" si="32"/>
        <v>523.01737799999989</v>
      </c>
      <c r="G275" s="133" t="s">
        <v>173</v>
      </c>
      <c r="H275" s="133"/>
    </row>
    <row r="276" spans="1:10" s="2" customFormat="1" ht="15.75" customHeight="1" x14ac:dyDescent="0.25">
      <c r="A276" s="133">
        <v>4</v>
      </c>
      <c r="B276" s="133"/>
      <c r="C276" s="33" t="s">
        <v>175</v>
      </c>
      <c r="D276" s="33">
        <f>29.87*10.764</f>
        <v>321.52067999999997</v>
      </c>
      <c r="E276" s="33">
        <v>0</v>
      </c>
      <c r="F276" s="33">
        <f t="shared" ref="F276:F277" si="33">D276*1.45</f>
        <v>466.20498599999996</v>
      </c>
      <c r="G276" s="133" t="s">
        <v>173</v>
      </c>
      <c r="H276" s="133"/>
    </row>
    <row r="277" spans="1:10" s="2" customFormat="1" x14ac:dyDescent="0.25">
      <c r="A277" s="133">
        <v>5</v>
      </c>
      <c r="B277" s="133"/>
      <c r="C277" s="33" t="s">
        <v>175</v>
      </c>
      <c r="D277" s="33">
        <f>33.51*10.764</f>
        <v>360.70163999999994</v>
      </c>
      <c r="E277" s="33">
        <v>0</v>
      </c>
      <c r="F277" s="33">
        <f t="shared" si="33"/>
        <v>523.01737799999989</v>
      </c>
      <c r="G277" s="133" t="s">
        <v>173</v>
      </c>
      <c r="H277" s="133"/>
    </row>
    <row r="278" spans="1:10" s="2" customFormat="1" x14ac:dyDescent="0.25">
      <c r="A278" s="134" t="s">
        <v>176</v>
      </c>
      <c r="B278" s="134"/>
      <c r="C278" s="134"/>
      <c r="D278" s="134"/>
      <c r="E278" s="134"/>
      <c r="F278" s="134"/>
      <c r="G278" s="134"/>
      <c r="H278" s="134"/>
    </row>
    <row r="279" spans="1:10" s="2" customFormat="1" x14ac:dyDescent="0.25">
      <c r="A279" s="133">
        <v>1</v>
      </c>
      <c r="B279" s="133"/>
      <c r="C279" s="33" t="s">
        <v>175</v>
      </c>
      <c r="D279" s="33">
        <f>29.86*10.764</f>
        <v>321.41303999999997</v>
      </c>
      <c r="E279" s="33">
        <v>0</v>
      </c>
      <c r="F279" s="33">
        <f>D279*1.45</f>
        <v>466.04890799999993</v>
      </c>
      <c r="G279" s="133" t="str">
        <f>A278</f>
        <v>1st to 8th Floor</v>
      </c>
      <c r="H279" s="133"/>
    </row>
    <row r="280" spans="1:10" s="2" customFormat="1" x14ac:dyDescent="0.25">
      <c r="A280" s="133">
        <v>2</v>
      </c>
      <c r="B280" s="133"/>
      <c r="C280" s="33" t="s">
        <v>175</v>
      </c>
      <c r="D280" s="33">
        <f>29.86*10.764</f>
        <v>321.41303999999997</v>
      </c>
      <c r="E280" s="33">
        <v>0</v>
      </c>
      <c r="F280" s="33">
        <f t="shared" ref="F280:F284" si="34">D280*1.45</f>
        <v>466.04890799999993</v>
      </c>
      <c r="G280" s="133" t="str">
        <f>G279</f>
        <v>1st to 8th Floor</v>
      </c>
      <c r="H280" s="133"/>
      <c r="J280" s="2">
        <f>2*6*8</f>
        <v>96</v>
      </c>
    </row>
    <row r="281" spans="1:10" s="2" customFormat="1" x14ac:dyDescent="0.25">
      <c r="A281" s="133">
        <v>3</v>
      </c>
      <c r="B281" s="133"/>
      <c r="C281" s="33" t="s">
        <v>177</v>
      </c>
      <c r="D281" s="33">
        <f t="shared" ref="D281" si="35">21.04*10.764</f>
        <v>226.47455999999997</v>
      </c>
      <c r="E281" s="33">
        <v>0</v>
      </c>
      <c r="F281" s="33">
        <f t="shared" si="34"/>
        <v>328.38811199999992</v>
      </c>
      <c r="G281" s="133" t="str">
        <f>G280</f>
        <v>1st to 8th Floor</v>
      </c>
      <c r="H281" s="133"/>
    </row>
    <row r="282" spans="1:10" s="2" customFormat="1" x14ac:dyDescent="0.25">
      <c r="A282" s="133">
        <v>4</v>
      </c>
      <c r="B282" s="133"/>
      <c r="C282" s="33" t="s">
        <v>177</v>
      </c>
      <c r="D282" s="33">
        <f>21.04*10.764</f>
        <v>226.47455999999997</v>
      </c>
      <c r="E282" s="33">
        <v>0</v>
      </c>
      <c r="F282" s="33">
        <f t="shared" si="34"/>
        <v>328.38811199999992</v>
      </c>
      <c r="G282" s="133" t="str">
        <f t="shared" ref="G282:G284" si="36">G281</f>
        <v>1st to 8th Floor</v>
      </c>
      <c r="H282" s="133"/>
    </row>
    <row r="283" spans="1:10" s="2" customFormat="1" ht="15.75" customHeight="1" x14ac:dyDescent="0.25">
      <c r="A283" s="133">
        <v>5</v>
      </c>
      <c r="B283" s="133"/>
      <c r="C283" s="33" t="s">
        <v>175</v>
      </c>
      <c r="D283" s="33">
        <f>31.81*10.764</f>
        <v>342.40283999999997</v>
      </c>
      <c r="E283" s="33">
        <v>0</v>
      </c>
      <c r="F283" s="33">
        <f t="shared" si="34"/>
        <v>496.48411799999997</v>
      </c>
      <c r="G283" s="133" t="str">
        <f t="shared" si="36"/>
        <v>1st to 8th Floor</v>
      </c>
      <c r="H283" s="133"/>
    </row>
    <row r="284" spans="1:10" s="2" customFormat="1" ht="15.75" customHeight="1" x14ac:dyDescent="0.25">
      <c r="A284" s="133">
        <v>6</v>
      </c>
      <c r="B284" s="133"/>
      <c r="C284" s="33" t="s">
        <v>175</v>
      </c>
      <c r="D284" s="33">
        <f>31.81*10.764</f>
        <v>342.40283999999997</v>
      </c>
      <c r="E284" s="33">
        <v>0</v>
      </c>
      <c r="F284" s="33">
        <f t="shared" si="34"/>
        <v>496.48411799999997</v>
      </c>
      <c r="G284" s="133" t="str">
        <f t="shared" si="36"/>
        <v>1st to 8th Floor</v>
      </c>
      <c r="H284" s="133"/>
    </row>
    <row r="285" spans="1:10" s="2" customFormat="1" ht="15.75" customHeight="1" x14ac:dyDescent="0.25">
      <c r="A285" s="54"/>
      <c r="B285" s="55"/>
      <c r="C285" s="55"/>
      <c r="D285" s="55"/>
      <c r="E285" s="55"/>
      <c r="F285" s="55"/>
      <c r="G285" s="55"/>
      <c r="H285" s="56"/>
    </row>
    <row r="286" spans="1:10" s="2" customFormat="1" x14ac:dyDescent="0.25">
      <c r="A286" s="135" t="s">
        <v>184</v>
      </c>
      <c r="B286" s="136"/>
      <c r="C286" s="136"/>
      <c r="D286" s="136"/>
      <c r="E286" s="136"/>
      <c r="F286" s="137" t="s">
        <v>239</v>
      </c>
      <c r="G286" s="137"/>
      <c r="H286" s="138"/>
    </row>
    <row r="287" spans="1:10" s="2" customFormat="1" x14ac:dyDescent="0.25">
      <c r="A287" s="134" t="s">
        <v>174</v>
      </c>
      <c r="B287" s="134"/>
      <c r="C287" s="134"/>
      <c r="D287" s="134"/>
      <c r="E287" s="134"/>
      <c r="F287" s="134"/>
      <c r="G287" s="134"/>
      <c r="H287" s="134"/>
    </row>
    <row r="288" spans="1:10" s="2" customFormat="1" ht="15.75" customHeight="1" x14ac:dyDescent="0.25">
      <c r="A288" s="133">
        <v>1</v>
      </c>
      <c r="B288" s="133"/>
      <c r="C288" s="33" t="s">
        <v>175</v>
      </c>
      <c r="D288" s="33">
        <f>29.87*10.764</f>
        <v>321.52067999999997</v>
      </c>
      <c r="E288" s="33">
        <v>0</v>
      </c>
      <c r="F288" s="33">
        <f>D288*1.45</f>
        <v>466.20498599999996</v>
      </c>
      <c r="G288" s="133" t="s">
        <v>173</v>
      </c>
      <c r="H288" s="133"/>
    </row>
    <row r="289" spans="1:10" s="2" customFormat="1" ht="15.75" customHeight="1" x14ac:dyDescent="0.25">
      <c r="A289" s="133">
        <v>2</v>
      </c>
      <c r="B289" s="133"/>
      <c r="C289" s="33" t="s">
        <v>175</v>
      </c>
      <c r="D289" s="33">
        <f>29.87*10.764</f>
        <v>321.52067999999997</v>
      </c>
      <c r="E289" s="33">
        <v>0</v>
      </c>
      <c r="F289" s="33">
        <f t="shared" ref="F289:F292" si="37">D289*1.45</f>
        <v>466.20498599999996</v>
      </c>
      <c r="G289" s="133" t="s">
        <v>173</v>
      </c>
      <c r="H289" s="133"/>
      <c r="J289" s="2">
        <v>6</v>
      </c>
    </row>
    <row r="290" spans="1:10" s="2" customFormat="1" ht="15.75" customHeight="1" x14ac:dyDescent="0.25">
      <c r="A290" s="133">
        <v>3</v>
      </c>
      <c r="B290" s="133"/>
      <c r="C290" s="33" t="s">
        <v>175</v>
      </c>
      <c r="D290" s="33">
        <f>33.51*10.764</f>
        <v>360.70163999999994</v>
      </c>
      <c r="E290" s="33">
        <v>0</v>
      </c>
      <c r="F290" s="33">
        <f t="shared" si="37"/>
        <v>523.01737799999989</v>
      </c>
      <c r="G290" s="133" t="s">
        <v>173</v>
      </c>
      <c r="H290" s="133"/>
    </row>
    <row r="291" spans="1:10" s="2" customFormat="1" ht="15.75" customHeight="1" x14ac:dyDescent="0.25">
      <c r="A291" s="133">
        <v>4</v>
      </c>
      <c r="B291" s="133"/>
      <c r="C291" s="33" t="s">
        <v>177</v>
      </c>
      <c r="D291" s="33">
        <f>21.04*10.764</f>
        <v>226.47455999999997</v>
      </c>
      <c r="E291" s="33">
        <v>0</v>
      </c>
      <c r="F291" s="33">
        <f t="shared" si="37"/>
        <v>328.38811199999992</v>
      </c>
      <c r="G291" s="133" t="s">
        <v>173</v>
      </c>
      <c r="H291" s="133"/>
    </row>
    <row r="292" spans="1:10" s="2" customFormat="1" ht="15.75" customHeight="1" x14ac:dyDescent="0.25">
      <c r="A292" s="133">
        <v>5</v>
      </c>
      <c r="B292" s="133"/>
      <c r="C292" s="33" t="s">
        <v>177</v>
      </c>
      <c r="D292" s="33">
        <f>21.04*10.764</f>
        <v>226.47455999999997</v>
      </c>
      <c r="E292" s="33">
        <v>0</v>
      </c>
      <c r="F292" s="33">
        <f t="shared" si="37"/>
        <v>328.38811199999992</v>
      </c>
      <c r="G292" s="133" t="s">
        <v>173</v>
      </c>
      <c r="H292" s="133"/>
    </row>
    <row r="293" spans="1:10" s="2" customFormat="1" x14ac:dyDescent="0.25">
      <c r="A293" s="133">
        <v>6</v>
      </c>
      <c r="B293" s="133"/>
      <c r="C293" s="33" t="s">
        <v>175</v>
      </c>
      <c r="D293" s="33">
        <f>31.81*10.764</f>
        <v>342.40283999999997</v>
      </c>
      <c r="E293" s="33">
        <v>0</v>
      </c>
      <c r="F293" s="33">
        <f t="shared" ref="F293" si="38">D293*1.45</f>
        <v>496.48411799999997</v>
      </c>
      <c r="G293" s="133" t="s">
        <v>173</v>
      </c>
      <c r="H293" s="133"/>
    </row>
    <row r="294" spans="1:10" s="2" customFormat="1" x14ac:dyDescent="0.25">
      <c r="A294" s="134" t="s">
        <v>176</v>
      </c>
      <c r="B294" s="134"/>
      <c r="C294" s="134"/>
      <c r="D294" s="134"/>
      <c r="E294" s="134"/>
      <c r="F294" s="134"/>
      <c r="G294" s="134"/>
      <c r="H294" s="134"/>
    </row>
    <row r="295" spans="1:10" s="2" customFormat="1" x14ac:dyDescent="0.25">
      <c r="A295" s="133">
        <v>1</v>
      </c>
      <c r="B295" s="133"/>
      <c r="C295" s="33" t="s">
        <v>175</v>
      </c>
      <c r="D295" s="33">
        <f>29.87*10.764</f>
        <v>321.52067999999997</v>
      </c>
      <c r="E295" s="33">
        <v>0</v>
      </c>
      <c r="F295" s="33">
        <f>D295*1.45</f>
        <v>466.20498599999996</v>
      </c>
      <c r="G295" s="133" t="str">
        <f>A294</f>
        <v>1st to 8th Floor</v>
      </c>
      <c r="H295" s="133"/>
    </row>
    <row r="296" spans="1:10" s="2" customFormat="1" x14ac:dyDescent="0.25">
      <c r="A296" s="133">
        <v>2</v>
      </c>
      <c r="B296" s="133"/>
      <c r="C296" s="33" t="s">
        <v>175</v>
      </c>
      <c r="D296" s="33">
        <f>29.87*10.764</f>
        <v>321.52067999999997</v>
      </c>
      <c r="E296" s="33">
        <v>0</v>
      </c>
      <c r="F296" s="33">
        <f t="shared" ref="F296:F300" si="39">D296*1.45</f>
        <v>466.20498599999996</v>
      </c>
      <c r="G296" s="133" t="str">
        <f>G295</f>
        <v>1st to 8th Floor</v>
      </c>
      <c r="H296" s="133"/>
    </row>
    <row r="297" spans="1:10" s="2" customFormat="1" x14ac:dyDescent="0.25">
      <c r="A297" s="133">
        <v>3</v>
      </c>
      <c r="B297" s="133"/>
      <c r="C297" s="33" t="s">
        <v>175</v>
      </c>
      <c r="D297" s="33">
        <f>33.51*10.764</f>
        <v>360.70163999999994</v>
      </c>
      <c r="E297" s="33">
        <v>0</v>
      </c>
      <c r="F297" s="33">
        <f t="shared" si="39"/>
        <v>523.01737799999989</v>
      </c>
      <c r="G297" s="133" t="str">
        <f>G296</f>
        <v>1st to 8th Floor</v>
      </c>
      <c r="H297" s="133"/>
      <c r="J297" s="2">
        <f>8*7</f>
        <v>56</v>
      </c>
    </row>
    <row r="298" spans="1:10" s="2" customFormat="1" x14ac:dyDescent="0.25">
      <c r="A298" s="133">
        <v>4</v>
      </c>
      <c r="B298" s="133"/>
      <c r="C298" s="33" t="s">
        <v>177</v>
      </c>
      <c r="D298" s="33">
        <f>21.04*10.764</f>
        <v>226.47455999999997</v>
      </c>
      <c r="E298" s="33">
        <v>0</v>
      </c>
      <c r="F298" s="33">
        <f t="shared" si="39"/>
        <v>328.38811199999992</v>
      </c>
      <c r="G298" s="133" t="str">
        <f t="shared" ref="G298:G300" si="40">G297</f>
        <v>1st to 8th Floor</v>
      </c>
      <c r="H298" s="133"/>
    </row>
    <row r="299" spans="1:10" s="2" customFormat="1" x14ac:dyDescent="0.25">
      <c r="A299" s="133">
        <v>5</v>
      </c>
      <c r="B299" s="133"/>
      <c r="C299" s="33" t="s">
        <v>177</v>
      </c>
      <c r="D299" s="33">
        <f>21.04*10.764</f>
        <v>226.47455999999997</v>
      </c>
      <c r="E299" s="33">
        <v>0</v>
      </c>
      <c r="F299" s="33">
        <f t="shared" si="39"/>
        <v>328.38811199999992</v>
      </c>
      <c r="G299" s="133" t="str">
        <f t="shared" si="40"/>
        <v>1st to 8th Floor</v>
      </c>
      <c r="H299" s="133"/>
    </row>
    <row r="300" spans="1:10" s="2" customFormat="1" x14ac:dyDescent="0.25">
      <c r="A300" s="133">
        <v>6</v>
      </c>
      <c r="B300" s="133"/>
      <c r="C300" s="33" t="s">
        <v>175</v>
      </c>
      <c r="D300" s="33">
        <f>31.81*10.764</f>
        <v>342.40283999999997</v>
      </c>
      <c r="E300" s="33">
        <v>0</v>
      </c>
      <c r="F300" s="33">
        <f t="shared" si="39"/>
        <v>496.48411799999997</v>
      </c>
      <c r="G300" s="133" t="str">
        <f t="shared" si="40"/>
        <v>1st to 8th Floor</v>
      </c>
      <c r="H300" s="133"/>
    </row>
    <row r="301" spans="1:10" s="2" customFormat="1" x14ac:dyDescent="0.25">
      <c r="A301" s="133">
        <v>7</v>
      </c>
      <c r="B301" s="133"/>
      <c r="C301" s="33" t="s">
        <v>175</v>
      </c>
      <c r="D301" s="33">
        <f>31.81*10.764</f>
        <v>342.40283999999997</v>
      </c>
      <c r="E301" s="33">
        <v>0</v>
      </c>
      <c r="F301" s="33">
        <f t="shared" ref="F301" si="41">D301*1.45</f>
        <v>496.48411799999997</v>
      </c>
      <c r="G301" s="133" t="str">
        <f t="shared" ref="G301" si="42">G300</f>
        <v>1st to 8th Floor</v>
      </c>
      <c r="H301" s="133"/>
    </row>
    <row r="302" spans="1:10" s="2" customFormat="1" ht="15.75" customHeight="1" x14ac:dyDescent="0.25">
      <c r="A302" s="54"/>
      <c r="B302" s="55"/>
      <c r="C302" s="55"/>
      <c r="D302" s="55"/>
      <c r="E302" s="55"/>
      <c r="F302" s="55"/>
      <c r="G302" s="55"/>
      <c r="H302" s="56"/>
    </row>
    <row r="303" spans="1:10" s="2" customFormat="1" x14ac:dyDescent="0.25">
      <c r="A303" s="135" t="s">
        <v>185</v>
      </c>
      <c r="B303" s="136"/>
      <c r="C303" s="136"/>
      <c r="D303" s="136"/>
      <c r="E303" s="136"/>
      <c r="F303" s="137" t="s">
        <v>231</v>
      </c>
      <c r="G303" s="137"/>
      <c r="H303" s="138"/>
    </row>
    <row r="304" spans="1:10" s="2" customFormat="1" x14ac:dyDescent="0.25">
      <c r="A304" s="134" t="s">
        <v>174</v>
      </c>
      <c r="B304" s="134"/>
      <c r="C304" s="134"/>
      <c r="D304" s="134"/>
      <c r="E304" s="134"/>
      <c r="F304" s="134"/>
      <c r="G304" s="134"/>
      <c r="H304" s="134"/>
    </row>
    <row r="305" spans="1:10" s="2" customFormat="1" x14ac:dyDescent="0.25">
      <c r="A305" s="133">
        <v>1</v>
      </c>
      <c r="B305" s="133"/>
      <c r="C305" s="33" t="s">
        <v>172</v>
      </c>
      <c r="D305" s="33">
        <f>12.13*10.764</f>
        <v>130.56732</v>
      </c>
      <c r="E305" s="33">
        <v>0</v>
      </c>
      <c r="F305" s="33">
        <f t="shared" ref="F305:F311" si="43">D305*1.5</f>
        <v>195.85097999999999</v>
      </c>
      <c r="G305" s="133" t="s">
        <v>173</v>
      </c>
      <c r="H305" s="133"/>
      <c r="I305" s="2">
        <v>7</v>
      </c>
    </row>
    <row r="306" spans="1:10" s="2" customFormat="1" x14ac:dyDescent="0.25">
      <c r="A306" s="133">
        <v>2</v>
      </c>
      <c r="B306" s="133"/>
      <c r="C306" s="33" t="s">
        <v>172</v>
      </c>
      <c r="D306" s="33">
        <f>12.36*10.764</f>
        <v>133.04303999999999</v>
      </c>
      <c r="E306" s="33">
        <v>0</v>
      </c>
      <c r="F306" s="33">
        <f t="shared" si="43"/>
        <v>199.56455999999997</v>
      </c>
      <c r="G306" s="133" t="s">
        <v>173</v>
      </c>
      <c r="H306" s="133"/>
    </row>
    <row r="307" spans="1:10" s="2" customFormat="1" x14ac:dyDescent="0.25">
      <c r="A307" s="133">
        <v>3</v>
      </c>
      <c r="B307" s="133"/>
      <c r="C307" s="33" t="s">
        <v>172</v>
      </c>
      <c r="D307" s="33">
        <f>13.61*10.764</f>
        <v>146.49803999999997</v>
      </c>
      <c r="E307" s="33">
        <v>0</v>
      </c>
      <c r="F307" s="33">
        <f t="shared" si="43"/>
        <v>219.74705999999998</v>
      </c>
      <c r="G307" s="133" t="s">
        <v>173</v>
      </c>
      <c r="H307" s="133"/>
    </row>
    <row r="308" spans="1:10" s="2" customFormat="1" x14ac:dyDescent="0.25">
      <c r="A308" s="133">
        <v>4</v>
      </c>
      <c r="B308" s="133"/>
      <c r="C308" s="33" t="s">
        <v>172</v>
      </c>
      <c r="D308" s="33">
        <f>16.58*10.764</f>
        <v>178.46711999999997</v>
      </c>
      <c r="E308" s="33">
        <v>0</v>
      </c>
      <c r="F308" s="33">
        <f t="shared" si="43"/>
        <v>267.70067999999992</v>
      </c>
      <c r="G308" s="133" t="s">
        <v>173</v>
      </c>
      <c r="H308" s="133"/>
    </row>
    <row r="309" spans="1:10" s="2" customFormat="1" x14ac:dyDescent="0.25">
      <c r="A309" s="133">
        <v>5</v>
      </c>
      <c r="B309" s="133"/>
      <c r="C309" s="33" t="s">
        <v>172</v>
      </c>
      <c r="D309" s="33">
        <f>15.07*10.764</f>
        <v>162.21348</v>
      </c>
      <c r="E309" s="33">
        <v>0</v>
      </c>
      <c r="F309" s="33">
        <f t="shared" si="43"/>
        <v>243.32022000000001</v>
      </c>
      <c r="G309" s="133" t="s">
        <v>173</v>
      </c>
      <c r="H309" s="133"/>
    </row>
    <row r="310" spans="1:10" s="2" customFormat="1" x14ac:dyDescent="0.25">
      <c r="A310" s="133">
        <v>6</v>
      </c>
      <c r="B310" s="133"/>
      <c r="C310" s="33" t="s">
        <v>172</v>
      </c>
      <c r="D310" s="33">
        <f>16.63*10.764</f>
        <v>179.00531999999998</v>
      </c>
      <c r="E310" s="33">
        <v>0</v>
      </c>
      <c r="F310" s="33">
        <f t="shared" si="43"/>
        <v>268.50797999999998</v>
      </c>
      <c r="G310" s="133" t="s">
        <v>173</v>
      </c>
      <c r="H310" s="133"/>
      <c r="J310" s="2">
        <v>3</v>
      </c>
    </row>
    <row r="311" spans="1:10" s="2" customFormat="1" x14ac:dyDescent="0.25">
      <c r="A311" s="133">
        <v>7</v>
      </c>
      <c r="B311" s="133"/>
      <c r="C311" s="33" t="s">
        <v>172</v>
      </c>
      <c r="D311" s="33">
        <f>14.76*10.764</f>
        <v>158.87663999999998</v>
      </c>
      <c r="E311" s="33">
        <v>0</v>
      </c>
      <c r="F311" s="33">
        <f t="shared" si="43"/>
        <v>238.31495999999999</v>
      </c>
      <c r="G311" s="133" t="s">
        <v>173</v>
      </c>
      <c r="H311" s="133"/>
    </row>
    <row r="312" spans="1:10" s="2" customFormat="1" ht="15.75" customHeight="1" x14ac:dyDescent="0.25">
      <c r="A312" s="133">
        <v>1</v>
      </c>
      <c r="B312" s="133"/>
      <c r="C312" s="33" t="s">
        <v>177</v>
      </c>
      <c r="D312" s="33">
        <f>21.04*10.764</f>
        <v>226.47455999999997</v>
      </c>
      <c r="E312" s="33">
        <v>0</v>
      </c>
      <c r="F312" s="33">
        <f>D312*1.45</f>
        <v>328.38811199999992</v>
      </c>
      <c r="G312" s="133" t="s">
        <v>173</v>
      </c>
      <c r="H312" s="133"/>
    </row>
    <row r="313" spans="1:10" s="2" customFormat="1" ht="15.75" customHeight="1" x14ac:dyDescent="0.25">
      <c r="A313" s="133">
        <v>2</v>
      </c>
      <c r="B313" s="133"/>
      <c r="C313" s="33" t="s">
        <v>175</v>
      </c>
      <c r="D313" s="33">
        <f>31.81*10.764</f>
        <v>342.40283999999997</v>
      </c>
      <c r="E313" s="33">
        <v>0</v>
      </c>
      <c r="F313" s="33">
        <f t="shared" ref="F313:F314" si="44">D313*1.45</f>
        <v>496.48411799999997</v>
      </c>
      <c r="G313" s="133" t="s">
        <v>173</v>
      </c>
      <c r="H313" s="133"/>
    </row>
    <row r="314" spans="1:10" s="2" customFormat="1" x14ac:dyDescent="0.25">
      <c r="A314" s="133">
        <v>3</v>
      </c>
      <c r="B314" s="133"/>
      <c r="C314" s="33" t="s">
        <v>175</v>
      </c>
      <c r="D314" s="33">
        <f>31.81*10.764</f>
        <v>342.40283999999997</v>
      </c>
      <c r="E314" s="33">
        <v>0</v>
      </c>
      <c r="F314" s="33">
        <f t="shared" si="44"/>
        <v>496.48411799999997</v>
      </c>
      <c r="G314" s="133" t="s">
        <v>173</v>
      </c>
      <c r="H314" s="133"/>
    </row>
    <row r="315" spans="1:10" s="2" customFormat="1" x14ac:dyDescent="0.25">
      <c r="A315" s="134" t="s">
        <v>176</v>
      </c>
      <c r="B315" s="134"/>
      <c r="C315" s="134"/>
      <c r="D315" s="134"/>
      <c r="E315" s="134"/>
      <c r="F315" s="134"/>
      <c r="G315" s="134"/>
      <c r="H315" s="134"/>
    </row>
    <row r="316" spans="1:10" s="2" customFormat="1" x14ac:dyDescent="0.25">
      <c r="A316" s="133">
        <v>1</v>
      </c>
      <c r="B316" s="133"/>
      <c r="C316" s="33" t="s">
        <v>175</v>
      </c>
      <c r="D316" s="33">
        <f>29.87*10.764</f>
        <v>321.52067999999997</v>
      </c>
      <c r="E316" s="33">
        <v>0</v>
      </c>
      <c r="F316" s="33">
        <f>D316*1.45</f>
        <v>466.20498599999996</v>
      </c>
      <c r="G316" s="133" t="str">
        <f>A315</f>
        <v>1st to 8th Floor</v>
      </c>
      <c r="H316" s="133"/>
    </row>
    <row r="317" spans="1:10" s="2" customFormat="1" x14ac:dyDescent="0.25">
      <c r="A317" s="133">
        <v>2</v>
      </c>
      <c r="B317" s="133"/>
      <c r="C317" s="33" t="s">
        <v>175</v>
      </c>
      <c r="D317" s="33">
        <f>29.87*10.764</f>
        <v>321.52067999999997</v>
      </c>
      <c r="E317" s="33">
        <v>0</v>
      </c>
      <c r="F317" s="33">
        <f t="shared" ref="F317:F322" si="45">D317*1.45</f>
        <v>466.20498599999996</v>
      </c>
      <c r="G317" s="133" t="str">
        <f>G316</f>
        <v>1st to 8th Floor</v>
      </c>
      <c r="H317" s="133"/>
      <c r="J317" s="2">
        <f>8*7</f>
        <v>56</v>
      </c>
    </row>
    <row r="318" spans="1:10" s="2" customFormat="1" x14ac:dyDescent="0.25">
      <c r="A318" s="133">
        <v>3</v>
      </c>
      <c r="B318" s="133"/>
      <c r="C318" s="33" t="s">
        <v>175</v>
      </c>
      <c r="D318" s="33">
        <f>33.51*10.764</f>
        <v>360.70163999999994</v>
      </c>
      <c r="E318" s="33">
        <v>0</v>
      </c>
      <c r="F318" s="33">
        <f t="shared" si="45"/>
        <v>523.01737799999989</v>
      </c>
      <c r="G318" s="133" t="str">
        <f>G317</f>
        <v>1st to 8th Floor</v>
      </c>
      <c r="H318" s="133"/>
    </row>
    <row r="319" spans="1:10" s="2" customFormat="1" x14ac:dyDescent="0.25">
      <c r="A319" s="133">
        <v>4</v>
      </c>
      <c r="B319" s="133"/>
      <c r="C319" s="33" t="s">
        <v>177</v>
      </c>
      <c r="D319" s="33">
        <f>21.04*10.764</f>
        <v>226.47455999999997</v>
      </c>
      <c r="E319" s="33">
        <v>0</v>
      </c>
      <c r="F319" s="33">
        <f t="shared" si="45"/>
        <v>328.38811199999992</v>
      </c>
      <c r="G319" s="133" t="str">
        <f t="shared" ref="G319:G322" si="46">G318</f>
        <v>1st to 8th Floor</v>
      </c>
      <c r="H319" s="133"/>
    </row>
    <row r="320" spans="1:10" s="2" customFormat="1" x14ac:dyDescent="0.25">
      <c r="A320" s="133">
        <v>5</v>
      </c>
      <c r="B320" s="133"/>
      <c r="C320" s="33" t="s">
        <v>177</v>
      </c>
      <c r="D320" s="33">
        <f>21.04*10.764</f>
        <v>226.47455999999997</v>
      </c>
      <c r="E320" s="33">
        <v>0</v>
      </c>
      <c r="F320" s="33">
        <f t="shared" si="45"/>
        <v>328.38811199999992</v>
      </c>
      <c r="G320" s="133" t="str">
        <f t="shared" si="46"/>
        <v>1st to 8th Floor</v>
      </c>
      <c r="H320" s="133"/>
    </row>
    <row r="321" spans="1:10" s="2" customFormat="1" x14ac:dyDescent="0.25">
      <c r="A321" s="133">
        <v>6</v>
      </c>
      <c r="B321" s="133"/>
      <c r="C321" s="33" t="s">
        <v>175</v>
      </c>
      <c r="D321" s="33">
        <f>31.81*10.764</f>
        <v>342.40283999999997</v>
      </c>
      <c r="E321" s="33">
        <v>0</v>
      </c>
      <c r="F321" s="33">
        <f t="shared" si="45"/>
        <v>496.48411799999997</v>
      </c>
      <c r="G321" s="133" t="str">
        <f t="shared" si="46"/>
        <v>1st to 8th Floor</v>
      </c>
      <c r="H321" s="133"/>
    </row>
    <row r="322" spans="1:10" s="1" customFormat="1" x14ac:dyDescent="0.25">
      <c r="A322" s="133">
        <v>7</v>
      </c>
      <c r="B322" s="133"/>
      <c r="C322" s="33" t="s">
        <v>175</v>
      </c>
      <c r="D322" s="33">
        <f>31.81*10.764</f>
        <v>342.40283999999997</v>
      </c>
      <c r="E322" s="33">
        <v>0</v>
      </c>
      <c r="F322" s="33">
        <f t="shared" si="45"/>
        <v>496.48411799999997</v>
      </c>
      <c r="G322" s="133" t="str">
        <f t="shared" si="46"/>
        <v>1st to 8th Floor</v>
      </c>
      <c r="H322" s="133"/>
      <c r="I322" s="1">
        <f>SUM(I129:I321)</f>
        <v>250622.98540799995</v>
      </c>
      <c r="J322" s="1">
        <f>SUM(J125:J321)</f>
        <v>76242.413423999984</v>
      </c>
    </row>
    <row r="323" spans="1:10" s="10" customFormat="1" x14ac:dyDescent="0.25">
      <c r="A323" s="219" t="s">
        <v>83</v>
      </c>
      <c r="B323" s="219"/>
      <c r="C323" s="219"/>
      <c r="D323" s="219"/>
      <c r="E323" s="219"/>
      <c r="F323" s="219"/>
      <c r="G323" s="219"/>
      <c r="H323" s="219"/>
      <c r="I323" s="10" t="s">
        <v>316</v>
      </c>
    </row>
    <row r="324" spans="1:10" ht="191.25" customHeight="1" x14ac:dyDescent="0.25">
      <c r="A324" s="220" t="s">
        <v>317</v>
      </c>
      <c r="B324" s="220"/>
      <c r="C324" s="220"/>
      <c r="D324" s="220"/>
      <c r="E324" s="220"/>
      <c r="F324" s="220"/>
      <c r="G324" s="220"/>
      <c r="H324" s="220"/>
    </row>
    <row r="325" spans="1:10" x14ac:dyDescent="0.25">
      <c r="A325" s="221" t="s">
        <v>74</v>
      </c>
      <c r="B325" s="221"/>
      <c r="C325" s="221"/>
      <c r="D325" s="221"/>
      <c r="E325" s="221"/>
      <c r="F325" s="221"/>
      <c r="G325" s="221"/>
      <c r="H325" s="221"/>
    </row>
    <row r="326" spans="1:10" ht="15.75" customHeight="1" x14ac:dyDescent="0.25">
      <c r="A326" s="211" t="s">
        <v>75</v>
      </c>
      <c r="B326" s="211"/>
      <c r="C326" s="211"/>
      <c r="D326" s="211"/>
      <c r="E326" s="211"/>
      <c r="F326" s="211"/>
      <c r="G326" s="211"/>
      <c r="H326" s="211"/>
    </row>
    <row r="327" spans="1:10" x14ac:dyDescent="0.25">
      <c r="A327" s="221" t="s">
        <v>76</v>
      </c>
      <c r="B327" s="221"/>
      <c r="C327" s="221"/>
      <c r="D327" s="221"/>
      <c r="E327" s="221"/>
      <c r="F327" s="221"/>
      <c r="G327" s="221"/>
      <c r="H327" s="221"/>
    </row>
    <row r="328" spans="1:10" x14ac:dyDescent="0.25">
      <c r="A328" s="211" t="s">
        <v>77</v>
      </c>
      <c r="B328" s="211"/>
      <c r="C328" s="211"/>
      <c r="D328" s="211"/>
      <c r="E328" s="211"/>
      <c r="F328" s="211"/>
      <c r="G328" s="211"/>
      <c r="H328" s="211"/>
    </row>
    <row r="329" spans="1:10" x14ac:dyDescent="0.25">
      <c r="A329" s="211" t="s">
        <v>78</v>
      </c>
      <c r="B329" s="211"/>
      <c r="C329" s="211"/>
      <c r="D329" s="211"/>
      <c r="E329" s="211"/>
      <c r="F329" s="211"/>
      <c r="G329" s="211"/>
      <c r="H329" s="211"/>
    </row>
    <row r="330" spans="1:10" x14ac:dyDescent="0.25">
      <c r="A330" s="211" t="s">
        <v>79</v>
      </c>
      <c r="B330" s="211"/>
      <c r="C330" s="211"/>
      <c r="D330" s="211"/>
      <c r="E330" s="211"/>
      <c r="F330" s="211"/>
      <c r="G330" s="211"/>
      <c r="H330" s="211"/>
    </row>
    <row r="331" spans="1:10" x14ac:dyDescent="0.25">
      <c r="A331" s="207" t="s">
        <v>80</v>
      </c>
      <c r="B331" s="207"/>
      <c r="C331" s="207"/>
      <c r="D331" s="207"/>
      <c r="E331" s="207"/>
      <c r="F331" s="207"/>
      <c r="G331" s="207"/>
      <c r="H331" s="207"/>
    </row>
    <row r="332" spans="1:10" x14ac:dyDescent="0.25">
      <c r="A332" s="202" t="s">
        <v>118</v>
      </c>
      <c r="B332" s="202"/>
      <c r="C332" s="202" t="s">
        <v>314</v>
      </c>
      <c r="D332" s="202"/>
      <c r="E332" s="202" t="s">
        <v>154</v>
      </c>
      <c r="F332" s="202"/>
      <c r="G332" s="202" t="s">
        <v>313</v>
      </c>
      <c r="H332" s="202"/>
    </row>
    <row r="333" spans="1:10" x14ac:dyDescent="0.25">
      <c r="A333" s="201" t="s">
        <v>120</v>
      </c>
      <c r="B333" s="201"/>
      <c r="C333" s="201"/>
      <c r="D333" s="201"/>
      <c r="E333" s="201"/>
      <c r="F333" s="201"/>
      <c r="G333" s="201"/>
      <c r="H333" s="201"/>
    </row>
    <row r="334" spans="1:10" x14ac:dyDescent="0.25">
      <c r="A334" s="201"/>
      <c r="B334" s="201"/>
      <c r="C334" s="201"/>
      <c r="D334" s="201"/>
      <c r="E334" s="201"/>
      <c r="F334" s="201"/>
      <c r="G334" s="201"/>
      <c r="H334" s="201"/>
    </row>
    <row r="335" spans="1:10" x14ac:dyDescent="0.25">
      <c r="A335" s="201"/>
      <c r="B335" s="201"/>
      <c r="C335" s="201"/>
      <c r="D335" s="201"/>
      <c r="E335" s="201"/>
      <c r="F335" s="201"/>
      <c r="G335" s="201"/>
      <c r="H335" s="201"/>
    </row>
    <row r="336" spans="1:10" x14ac:dyDescent="0.25">
      <c r="A336" s="201"/>
      <c r="B336" s="201"/>
      <c r="C336" s="201"/>
      <c r="D336" s="201"/>
      <c r="E336" s="201"/>
      <c r="F336" s="201"/>
      <c r="G336" s="201"/>
      <c r="H336" s="201"/>
    </row>
    <row r="337" spans="1:8" x14ac:dyDescent="0.25">
      <c r="A337" s="22" t="s">
        <v>81</v>
      </c>
      <c r="B337" s="23"/>
      <c r="C337" s="23"/>
      <c r="D337" s="22" t="str">
        <f>E8</f>
        <v>Veena Samrajya</v>
      </c>
      <c r="F337" s="23"/>
      <c r="G337" s="23"/>
      <c r="H337" s="23"/>
    </row>
    <row r="338" spans="1:8" x14ac:dyDescent="0.25">
      <c r="A338" s="23"/>
      <c r="B338" s="23"/>
      <c r="C338" s="23"/>
      <c r="D338" s="23"/>
      <c r="E338" s="23"/>
      <c r="F338" s="23"/>
      <c r="G338" s="23"/>
      <c r="H338" s="23"/>
    </row>
    <row r="339" spans="1:8" ht="15" customHeight="1" x14ac:dyDescent="0.25">
      <c r="A339" s="23"/>
      <c r="B339" s="23"/>
      <c r="C339" s="23"/>
      <c r="D339" s="23"/>
      <c r="E339" s="23"/>
      <c r="F339" s="23"/>
      <c r="G339" s="23"/>
      <c r="H339" s="23"/>
    </row>
    <row r="382" spans="1:1" x14ac:dyDescent="0.25">
      <c r="A382" s="25" t="s">
        <v>82</v>
      </c>
    </row>
  </sheetData>
  <mergeCells count="583">
    <mergeCell ref="A152:B152"/>
    <mergeCell ref="A173:B173"/>
    <mergeCell ref="A111:E111"/>
    <mergeCell ref="F111:H111"/>
    <mergeCell ref="A113:E113"/>
    <mergeCell ref="F113:H113"/>
    <mergeCell ref="G157:H157"/>
    <mergeCell ref="G161:H161"/>
    <mergeCell ref="G162:H162"/>
    <mergeCell ref="G144:H144"/>
    <mergeCell ref="G145:H145"/>
    <mergeCell ref="G146:H146"/>
    <mergeCell ref="G147:H147"/>
    <mergeCell ref="G148:H148"/>
    <mergeCell ref="G150:H150"/>
    <mergeCell ref="G151:H151"/>
    <mergeCell ref="G152:H152"/>
    <mergeCell ref="A149:H149"/>
    <mergeCell ref="A158:H158"/>
    <mergeCell ref="A160:H160"/>
    <mergeCell ref="G153:H153"/>
    <mergeCell ref="G128:H128"/>
    <mergeCell ref="A327:H327"/>
    <mergeCell ref="A328:H328"/>
    <mergeCell ref="F118:H118"/>
    <mergeCell ref="A119:H119"/>
    <mergeCell ref="A122:H122"/>
    <mergeCell ref="A120:B120"/>
    <mergeCell ref="D120:E120"/>
    <mergeCell ref="G124:H124"/>
    <mergeCell ref="G133:H133"/>
    <mergeCell ref="A126:H126"/>
    <mergeCell ref="A127:H127"/>
    <mergeCell ref="A134:H134"/>
    <mergeCell ref="A130:B130"/>
    <mergeCell ref="A131:B131"/>
    <mergeCell ref="A132:B132"/>
    <mergeCell ref="A133:B133"/>
    <mergeCell ref="A269:B269"/>
    <mergeCell ref="A147:B147"/>
    <mergeCell ref="A148:B148"/>
    <mergeCell ref="A161:B161"/>
    <mergeCell ref="A163:B163"/>
    <mergeCell ref="A164:B164"/>
    <mergeCell ref="A329:H329"/>
    <mergeCell ref="A330:H330"/>
    <mergeCell ref="A331:H331"/>
    <mergeCell ref="A58:C58"/>
    <mergeCell ref="D58:H58"/>
    <mergeCell ref="A323:H323"/>
    <mergeCell ref="A324:H324"/>
    <mergeCell ref="A325:H325"/>
    <mergeCell ref="A326:H326"/>
    <mergeCell ref="A165:B165"/>
    <mergeCell ref="A166:B166"/>
    <mergeCell ref="A123:H123"/>
    <mergeCell ref="A217:B217"/>
    <mergeCell ref="A219:B219"/>
    <mergeCell ref="A220:B220"/>
    <mergeCell ref="A176:B176"/>
    <mergeCell ref="A177:B177"/>
    <mergeCell ref="G269:H269"/>
    <mergeCell ref="A128:B128"/>
    <mergeCell ref="A129:B129"/>
    <mergeCell ref="D117:E117"/>
    <mergeCell ref="F117:H117"/>
    <mergeCell ref="G129:H129"/>
    <mergeCell ref="G130:H130"/>
    <mergeCell ref="D118:E118"/>
    <mergeCell ref="A16:B16"/>
    <mergeCell ref="C16:D16"/>
    <mergeCell ref="E16:F16"/>
    <mergeCell ref="G16:H16"/>
    <mergeCell ref="A24:D24"/>
    <mergeCell ref="A25:D25"/>
    <mergeCell ref="E25:H25"/>
    <mergeCell ref="E24:H24"/>
    <mergeCell ref="A26:D26"/>
    <mergeCell ref="E26:H26"/>
    <mergeCell ref="A23:D23"/>
    <mergeCell ref="E23:H23"/>
    <mergeCell ref="A18:B18"/>
    <mergeCell ref="C18:D18"/>
    <mergeCell ref="E18:F18"/>
    <mergeCell ref="G18:H18"/>
    <mergeCell ref="A19:B19"/>
    <mergeCell ref="C19:D19"/>
    <mergeCell ref="E19:F19"/>
    <mergeCell ref="G19:H19"/>
    <mergeCell ref="A20:D21"/>
    <mergeCell ref="E20:H21"/>
    <mergeCell ref="A22:D22"/>
    <mergeCell ref="E22:H22"/>
    <mergeCell ref="A12:D12"/>
    <mergeCell ref="E12:H12"/>
    <mergeCell ref="A13:D13"/>
    <mergeCell ref="E13:H13"/>
    <mergeCell ref="A14:B14"/>
    <mergeCell ref="C14:H14"/>
    <mergeCell ref="C15:H15"/>
    <mergeCell ref="A10:D10"/>
    <mergeCell ref="E10:H10"/>
    <mergeCell ref="C30:E30"/>
    <mergeCell ref="F33:H33"/>
    <mergeCell ref="F34:H34"/>
    <mergeCell ref="F30:H30"/>
    <mergeCell ref="A31:B31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G131:H131"/>
    <mergeCell ref="G132:H132"/>
    <mergeCell ref="A17:B17"/>
    <mergeCell ref="C17:D17"/>
    <mergeCell ref="E17:F17"/>
    <mergeCell ref="G17:H17"/>
    <mergeCell ref="A27:D27"/>
    <mergeCell ref="E27:H27"/>
    <mergeCell ref="A40:D40"/>
    <mergeCell ref="E40:H40"/>
    <mergeCell ref="A28:D28"/>
    <mergeCell ref="E28:H28"/>
    <mergeCell ref="A35:H35"/>
    <mergeCell ref="A34:B34"/>
    <mergeCell ref="A29:D29"/>
    <mergeCell ref="E29:H29"/>
    <mergeCell ref="A38:H38"/>
    <mergeCell ref="A39:D39"/>
    <mergeCell ref="E39:H39"/>
    <mergeCell ref="F31:H31"/>
    <mergeCell ref="F32:H32"/>
    <mergeCell ref="A56:C56"/>
    <mergeCell ref="A57:C57"/>
    <mergeCell ref="D56:H56"/>
    <mergeCell ref="D57:H57"/>
    <mergeCell ref="A59:C59"/>
    <mergeCell ref="D59:H59"/>
    <mergeCell ref="A333:H336"/>
    <mergeCell ref="A332:B332"/>
    <mergeCell ref="E332:F332"/>
    <mergeCell ref="C332:D332"/>
    <mergeCell ref="G332:H332"/>
    <mergeCell ref="A116:H116"/>
    <mergeCell ref="A114:E114"/>
    <mergeCell ref="F114:H114"/>
    <mergeCell ref="A115:E115"/>
    <mergeCell ref="F115:H115"/>
    <mergeCell ref="D121:E121"/>
    <mergeCell ref="F121:H121"/>
    <mergeCell ref="A124:B124"/>
    <mergeCell ref="A125:H125"/>
    <mergeCell ref="A121:B121"/>
    <mergeCell ref="A137:B137"/>
    <mergeCell ref="A138:B138"/>
    <mergeCell ref="A141:B141"/>
    <mergeCell ref="D90:F90"/>
    <mergeCell ref="G65:H71"/>
    <mergeCell ref="A61:H61"/>
    <mergeCell ref="C31:E31"/>
    <mergeCell ref="A32:B32"/>
    <mergeCell ref="C32:E32"/>
    <mergeCell ref="A33:B33"/>
    <mergeCell ref="C33:E33"/>
    <mergeCell ref="C34:E34"/>
    <mergeCell ref="A65:B65"/>
    <mergeCell ref="A36:B36"/>
    <mergeCell ref="C36:H36"/>
    <mergeCell ref="A37:B37"/>
    <mergeCell ref="C37:H37"/>
    <mergeCell ref="A45:H45"/>
    <mergeCell ref="G46:H46"/>
    <mergeCell ref="A48:B49"/>
    <mergeCell ref="G48:H48"/>
    <mergeCell ref="D54:H54"/>
    <mergeCell ref="A54:C54"/>
    <mergeCell ref="A55:C55"/>
    <mergeCell ref="D55:H55"/>
    <mergeCell ref="A53:C53"/>
    <mergeCell ref="D53:H53"/>
    <mergeCell ref="D52:H52"/>
    <mergeCell ref="A30:B30"/>
    <mergeCell ref="C63:H63"/>
    <mergeCell ref="A64:B64"/>
    <mergeCell ref="E64:F64"/>
    <mergeCell ref="C47:E47"/>
    <mergeCell ref="C48:E48"/>
    <mergeCell ref="A46:B46"/>
    <mergeCell ref="C46:E46"/>
    <mergeCell ref="A41:D41"/>
    <mergeCell ref="E41:H41"/>
    <mergeCell ref="E42:H42"/>
    <mergeCell ref="E43:H43"/>
    <mergeCell ref="E44:H44"/>
    <mergeCell ref="A42:D42"/>
    <mergeCell ref="A43:D43"/>
    <mergeCell ref="A44:D44"/>
    <mergeCell ref="G47:H47"/>
    <mergeCell ref="A47:B47"/>
    <mergeCell ref="C49:H49"/>
    <mergeCell ref="A51:H51"/>
    <mergeCell ref="A52:C52"/>
    <mergeCell ref="G50:H50"/>
    <mergeCell ref="A50:B50"/>
    <mergeCell ref="C50:E50"/>
    <mergeCell ref="D75:F75"/>
    <mergeCell ref="A63:B63"/>
    <mergeCell ref="G64:H64"/>
    <mergeCell ref="A68:B68"/>
    <mergeCell ref="A69:B69"/>
    <mergeCell ref="A70:B70"/>
    <mergeCell ref="A66:B66"/>
    <mergeCell ref="A67:B67"/>
    <mergeCell ref="D95:F95"/>
    <mergeCell ref="A71:B71"/>
    <mergeCell ref="E65:F71"/>
    <mergeCell ref="D81:F81"/>
    <mergeCell ref="D82:F82"/>
    <mergeCell ref="D83:F83"/>
    <mergeCell ref="D84:F84"/>
    <mergeCell ref="D85:F85"/>
    <mergeCell ref="D86:F86"/>
    <mergeCell ref="A72:H72"/>
    <mergeCell ref="A73:H73"/>
    <mergeCell ref="D74:F74"/>
    <mergeCell ref="D76:F76"/>
    <mergeCell ref="D77:F77"/>
    <mergeCell ref="D78:F78"/>
    <mergeCell ref="D79:F79"/>
    <mergeCell ref="D80:F80"/>
    <mergeCell ref="D91:F91"/>
    <mergeCell ref="D92:F92"/>
    <mergeCell ref="D93:F93"/>
    <mergeCell ref="D94:F94"/>
    <mergeCell ref="D87:F87"/>
    <mergeCell ref="D88:F88"/>
    <mergeCell ref="D89:F89"/>
    <mergeCell ref="A103:H103"/>
    <mergeCell ref="D96:F96"/>
    <mergeCell ref="D97:F97"/>
    <mergeCell ref="D98:F98"/>
    <mergeCell ref="D99:F99"/>
    <mergeCell ref="D100:F100"/>
    <mergeCell ref="D101:F101"/>
    <mergeCell ref="D102:F102"/>
    <mergeCell ref="A110:E110"/>
    <mergeCell ref="F110:H110"/>
    <mergeCell ref="A108:E108"/>
    <mergeCell ref="A109:E109"/>
    <mergeCell ref="F109:H109"/>
    <mergeCell ref="A106:H106"/>
    <mergeCell ref="A107:E107"/>
    <mergeCell ref="F107:H107"/>
    <mergeCell ref="A104:H104"/>
    <mergeCell ref="A105:B105"/>
    <mergeCell ref="C105:H105"/>
    <mergeCell ref="F108:H108"/>
    <mergeCell ref="A182:B182"/>
    <mergeCell ref="A179:E179"/>
    <mergeCell ref="A172:B172"/>
    <mergeCell ref="G172:H172"/>
    <mergeCell ref="A112:E112"/>
    <mergeCell ref="F112:H112"/>
    <mergeCell ref="A170:B170"/>
    <mergeCell ref="A162:B162"/>
    <mergeCell ref="A171:H171"/>
    <mergeCell ref="A159:E159"/>
    <mergeCell ref="F159:H159"/>
    <mergeCell ref="F120:H120"/>
    <mergeCell ref="A117:B117"/>
    <mergeCell ref="A156:B156"/>
    <mergeCell ref="A157:B157"/>
    <mergeCell ref="A153:B153"/>
    <mergeCell ref="A145:B145"/>
    <mergeCell ref="A146:B146"/>
    <mergeCell ref="G155:H155"/>
    <mergeCell ref="G156:H156"/>
    <mergeCell ref="A135:E135"/>
    <mergeCell ref="F135:H135"/>
    <mergeCell ref="G154:H154"/>
    <mergeCell ref="A118:B118"/>
    <mergeCell ref="G140:H140"/>
    <mergeCell ref="G141:H141"/>
    <mergeCell ref="A142:B142"/>
    <mergeCell ref="G142:H142"/>
    <mergeCell ref="G143:H143"/>
    <mergeCell ref="A139:B139"/>
    <mergeCell ref="A140:B140"/>
    <mergeCell ref="A143:B143"/>
    <mergeCell ref="G181:H181"/>
    <mergeCell ref="A154:B154"/>
    <mergeCell ref="A155:B155"/>
    <mergeCell ref="A136:H136"/>
    <mergeCell ref="A144:B144"/>
    <mergeCell ref="A150:B150"/>
    <mergeCell ref="A151:B151"/>
    <mergeCell ref="A175:B175"/>
    <mergeCell ref="G175:H175"/>
    <mergeCell ref="G176:H176"/>
    <mergeCell ref="G170:H170"/>
    <mergeCell ref="G163:H163"/>
    <mergeCell ref="G164:H164"/>
    <mergeCell ref="G165:H165"/>
    <mergeCell ref="G166:H166"/>
    <mergeCell ref="A167:B167"/>
    <mergeCell ref="G167:H167"/>
    <mergeCell ref="A168:B168"/>
    <mergeCell ref="G168:H168"/>
    <mergeCell ref="A169:B169"/>
    <mergeCell ref="G169:H169"/>
    <mergeCell ref="A174:B174"/>
    <mergeCell ref="G173:H173"/>
    <mergeCell ref="G174:H174"/>
    <mergeCell ref="G137:H137"/>
    <mergeCell ref="G138:H138"/>
    <mergeCell ref="G139:H139"/>
    <mergeCell ref="G177:H177"/>
    <mergeCell ref="F179:H179"/>
    <mergeCell ref="A200:E200"/>
    <mergeCell ref="F200:H200"/>
    <mergeCell ref="A215:E215"/>
    <mergeCell ref="F215:H215"/>
    <mergeCell ref="A187:B187"/>
    <mergeCell ref="G187:H187"/>
    <mergeCell ref="A188:B188"/>
    <mergeCell ref="G188:H188"/>
    <mergeCell ref="A189:B189"/>
    <mergeCell ref="G189:H189"/>
    <mergeCell ref="G182:H182"/>
    <mergeCell ref="A183:B183"/>
    <mergeCell ref="G183:H183"/>
    <mergeCell ref="A184:B184"/>
    <mergeCell ref="G184:H184"/>
    <mergeCell ref="A185:B185"/>
    <mergeCell ref="G185:H185"/>
    <mergeCell ref="A186:B186"/>
    <mergeCell ref="G186:H186"/>
    <mergeCell ref="A190:B190"/>
    <mergeCell ref="A180:H180"/>
    <mergeCell ref="A181:B181"/>
    <mergeCell ref="G190:H190"/>
    <mergeCell ref="A191:H191"/>
    <mergeCell ref="A192:B192"/>
    <mergeCell ref="G192:H192"/>
    <mergeCell ref="A193:B193"/>
    <mergeCell ref="G193:H193"/>
    <mergeCell ref="A194:B194"/>
    <mergeCell ref="G194:H194"/>
    <mergeCell ref="A202:B202"/>
    <mergeCell ref="G202:H202"/>
    <mergeCell ref="A203:B203"/>
    <mergeCell ref="G203:H203"/>
    <mergeCell ref="A201:H201"/>
    <mergeCell ref="A195:B195"/>
    <mergeCell ref="G195:H195"/>
    <mergeCell ref="A196:B196"/>
    <mergeCell ref="G196:H196"/>
    <mergeCell ref="A197:B197"/>
    <mergeCell ref="G197:H197"/>
    <mergeCell ref="A198:B198"/>
    <mergeCell ref="G198:H198"/>
    <mergeCell ref="A204:B204"/>
    <mergeCell ref="G204:H204"/>
    <mergeCell ref="A207:H207"/>
    <mergeCell ref="A208:B208"/>
    <mergeCell ref="G208:H208"/>
    <mergeCell ref="A209:B209"/>
    <mergeCell ref="G209:H209"/>
    <mergeCell ref="A210:B210"/>
    <mergeCell ref="G210:H210"/>
    <mergeCell ref="A206:B206"/>
    <mergeCell ref="G206:H206"/>
    <mergeCell ref="A211:B211"/>
    <mergeCell ref="G211:H211"/>
    <mergeCell ref="A212:B212"/>
    <mergeCell ref="G212:H212"/>
    <mergeCell ref="A213:B213"/>
    <mergeCell ref="G213:H213"/>
    <mergeCell ref="A205:B205"/>
    <mergeCell ref="G205:H205"/>
    <mergeCell ref="A216:H216"/>
    <mergeCell ref="C217:F217"/>
    <mergeCell ref="A224:H224"/>
    <mergeCell ref="A225:B225"/>
    <mergeCell ref="G225:H225"/>
    <mergeCell ref="A226:B226"/>
    <mergeCell ref="G226:H226"/>
    <mergeCell ref="A227:B227"/>
    <mergeCell ref="G227:H227"/>
    <mergeCell ref="A221:B221"/>
    <mergeCell ref="G219:H219"/>
    <mergeCell ref="G220:H220"/>
    <mergeCell ref="G221:H221"/>
    <mergeCell ref="A222:B222"/>
    <mergeCell ref="G222:H222"/>
    <mergeCell ref="A223:B223"/>
    <mergeCell ref="G223:H223"/>
    <mergeCell ref="G217:H217"/>
    <mergeCell ref="A218:B218"/>
    <mergeCell ref="G218:H218"/>
    <mergeCell ref="A234:H234"/>
    <mergeCell ref="A239:B239"/>
    <mergeCell ref="G239:H239"/>
    <mergeCell ref="A240:B240"/>
    <mergeCell ref="G240:H240"/>
    <mergeCell ref="A241:B241"/>
    <mergeCell ref="G241:H241"/>
    <mergeCell ref="A228:B228"/>
    <mergeCell ref="G228:H228"/>
    <mergeCell ref="A229:B229"/>
    <mergeCell ref="G229:H229"/>
    <mergeCell ref="A230:B230"/>
    <mergeCell ref="G230:H230"/>
    <mergeCell ref="A231:B231"/>
    <mergeCell ref="G231:H231"/>
    <mergeCell ref="A233:E233"/>
    <mergeCell ref="F233:H233"/>
    <mergeCell ref="A235:B235"/>
    <mergeCell ref="G235:H235"/>
    <mergeCell ref="A236:B236"/>
    <mergeCell ref="G236:H236"/>
    <mergeCell ref="A237:B237"/>
    <mergeCell ref="G237:H237"/>
    <mergeCell ref="A238:B238"/>
    <mergeCell ref="G238:H238"/>
    <mergeCell ref="A244:B244"/>
    <mergeCell ref="G244:H244"/>
    <mergeCell ref="A245:B245"/>
    <mergeCell ref="G245:H245"/>
    <mergeCell ref="A246:B246"/>
    <mergeCell ref="G246:H246"/>
    <mergeCell ref="A247:B247"/>
    <mergeCell ref="G247:H247"/>
    <mergeCell ref="A248:B248"/>
    <mergeCell ref="G248:H248"/>
    <mergeCell ref="A242:H242"/>
    <mergeCell ref="A243:B243"/>
    <mergeCell ref="G243:H243"/>
    <mergeCell ref="A250:E250"/>
    <mergeCell ref="F250:H250"/>
    <mergeCell ref="A262:H262"/>
    <mergeCell ref="A263:B263"/>
    <mergeCell ref="G263:H263"/>
    <mergeCell ref="A251:H251"/>
    <mergeCell ref="A252:B252"/>
    <mergeCell ref="G252:H252"/>
    <mergeCell ref="A253:B253"/>
    <mergeCell ref="G253:H253"/>
    <mergeCell ref="A254:B254"/>
    <mergeCell ref="G254:H254"/>
    <mergeCell ref="A255:B255"/>
    <mergeCell ref="G255:H255"/>
    <mergeCell ref="A256:B256"/>
    <mergeCell ref="G256:H256"/>
    <mergeCell ref="A257:B257"/>
    <mergeCell ref="G257:H257"/>
    <mergeCell ref="A258:B258"/>
    <mergeCell ref="G258:H258"/>
    <mergeCell ref="A272:H272"/>
    <mergeCell ref="A264:B264"/>
    <mergeCell ref="G264:H264"/>
    <mergeCell ref="A265:B265"/>
    <mergeCell ref="G265:H265"/>
    <mergeCell ref="A266:B266"/>
    <mergeCell ref="G266:H266"/>
    <mergeCell ref="A267:B267"/>
    <mergeCell ref="G267:H267"/>
    <mergeCell ref="A268:B268"/>
    <mergeCell ref="G268:H268"/>
    <mergeCell ref="A259:B259"/>
    <mergeCell ref="G259:H259"/>
    <mergeCell ref="A260:B260"/>
    <mergeCell ref="G260:H260"/>
    <mergeCell ref="A261:B261"/>
    <mergeCell ref="G261:H261"/>
    <mergeCell ref="A271:E271"/>
    <mergeCell ref="F271:H271"/>
    <mergeCell ref="A273:B273"/>
    <mergeCell ref="G273:H273"/>
    <mergeCell ref="A274:B274"/>
    <mergeCell ref="G274:H274"/>
    <mergeCell ref="A275:B275"/>
    <mergeCell ref="G275:H275"/>
    <mergeCell ref="A278:H278"/>
    <mergeCell ref="A276:B276"/>
    <mergeCell ref="G276:H276"/>
    <mergeCell ref="A277:B277"/>
    <mergeCell ref="G277:H277"/>
    <mergeCell ref="A284:B284"/>
    <mergeCell ref="G284:H284"/>
    <mergeCell ref="A287:H287"/>
    <mergeCell ref="A288:B288"/>
    <mergeCell ref="G288:H288"/>
    <mergeCell ref="A289:B289"/>
    <mergeCell ref="G289:H289"/>
    <mergeCell ref="A279:B279"/>
    <mergeCell ref="G279:H279"/>
    <mergeCell ref="A280:B280"/>
    <mergeCell ref="G280:H280"/>
    <mergeCell ref="A281:B281"/>
    <mergeCell ref="G281:H281"/>
    <mergeCell ref="A282:B282"/>
    <mergeCell ref="G282:H282"/>
    <mergeCell ref="A283:B283"/>
    <mergeCell ref="G283:H283"/>
    <mergeCell ref="A286:E286"/>
    <mergeCell ref="F286:H286"/>
    <mergeCell ref="A290:B290"/>
    <mergeCell ref="G290:H290"/>
    <mergeCell ref="A291:B291"/>
    <mergeCell ref="G291:H291"/>
    <mergeCell ref="A292:B292"/>
    <mergeCell ref="G292:H292"/>
    <mergeCell ref="A294:H294"/>
    <mergeCell ref="A295:B295"/>
    <mergeCell ref="G295:H295"/>
    <mergeCell ref="A293:B293"/>
    <mergeCell ref="G293:H293"/>
    <mergeCell ref="A296:B296"/>
    <mergeCell ref="G296:H296"/>
    <mergeCell ref="A297:B297"/>
    <mergeCell ref="G297:H297"/>
    <mergeCell ref="A298:B298"/>
    <mergeCell ref="G298:H298"/>
    <mergeCell ref="A299:B299"/>
    <mergeCell ref="G299:H299"/>
    <mergeCell ref="A300:B300"/>
    <mergeCell ref="G300:H300"/>
    <mergeCell ref="A310:B310"/>
    <mergeCell ref="G310:H310"/>
    <mergeCell ref="A315:H315"/>
    <mergeCell ref="A316:B316"/>
    <mergeCell ref="G316:H316"/>
    <mergeCell ref="A301:B301"/>
    <mergeCell ref="G301:H301"/>
    <mergeCell ref="A304:H304"/>
    <mergeCell ref="A312:B312"/>
    <mergeCell ref="G312:H312"/>
    <mergeCell ref="A313:B313"/>
    <mergeCell ref="G313:H313"/>
    <mergeCell ref="A314:B314"/>
    <mergeCell ref="G314:H314"/>
    <mergeCell ref="A303:E303"/>
    <mergeCell ref="F303:H303"/>
    <mergeCell ref="A322:B322"/>
    <mergeCell ref="G322:H322"/>
    <mergeCell ref="A305:B305"/>
    <mergeCell ref="G305:H305"/>
    <mergeCell ref="A306:B306"/>
    <mergeCell ref="G306:H306"/>
    <mergeCell ref="A307:B307"/>
    <mergeCell ref="G307:H307"/>
    <mergeCell ref="A311:B311"/>
    <mergeCell ref="G311:H311"/>
    <mergeCell ref="A317:B317"/>
    <mergeCell ref="G317:H317"/>
    <mergeCell ref="A318:B318"/>
    <mergeCell ref="G318:H318"/>
    <mergeCell ref="A319:B319"/>
    <mergeCell ref="G319:H319"/>
    <mergeCell ref="A320:B320"/>
    <mergeCell ref="G320:H320"/>
    <mergeCell ref="A321:B321"/>
    <mergeCell ref="G321:H321"/>
    <mergeCell ref="A308:B308"/>
    <mergeCell ref="G308:H308"/>
    <mergeCell ref="A309:B309"/>
    <mergeCell ref="G309:H309"/>
  </mergeCells>
  <hyperlinks>
    <hyperlink ref="C37" r:id="rId1"/>
  </hyperlinks>
  <printOptions horizontalCentered="1"/>
  <pageMargins left="0.39370078740157483" right="0.39370078740157483" top="0.78740157480314965" bottom="0.78740157480314965" header="0.19685039370078741" footer="0.19685039370078741"/>
  <pageSetup paperSize="9" scale="92"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        &amp;P</oddFooter>
  </headerFooter>
  <rowBreaks count="4" manualBreakCount="4">
    <brk id="102" max="7" man="1"/>
    <brk id="324" max="7" man="1"/>
    <brk id="336" max="7" man="1"/>
    <brk id="381" max="7" man="1"/>
  </rowBreaks>
  <ignoredErrors>
    <ignoredError sqref="E76:F76" unlockedFormula="1"/>
  </ignoredError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workbookViewId="0">
      <pane ySplit="1" topLeftCell="A20" activePane="bottomLeft" state="frozen"/>
      <selection pane="bottomLeft" activeCell="N25" sqref="N25"/>
    </sheetView>
  </sheetViews>
  <sheetFormatPr defaultColWidth="9.140625" defaultRowHeight="15.75" x14ac:dyDescent="0.25"/>
  <cols>
    <col min="1" max="17" width="9.140625" style="98"/>
    <col min="18" max="16384" width="9.140625" style="96"/>
  </cols>
  <sheetData>
    <row r="1" spans="1:18" ht="47.25" x14ac:dyDescent="0.25">
      <c r="A1" s="94" t="s">
        <v>305</v>
      </c>
      <c r="B1" s="95" t="s">
        <v>306</v>
      </c>
      <c r="C1" s="95" t="s">
        <v>308</v>
      </c>
      <c r="D1" s="223" t="s">
        <v>73</v>
      </c>
      <c r="E1" s="224"/>
      <c r="F1" s="94" t="s">
        <v>278</v>
      </c>
      <c r="G1" s="94" t="s">
        <v>52</v>
      </c>
      <c r="H1" s="94" t="s">
        <v>301</v>
      </c>
      <c r="I1" s="94" t="s">
        <v>302</v>
      </c>
      <c r="J1" s="94" t="s">
        <v>282</v>
      </c>
      <c r="K1" s="94" t="s">
        <v>303</v>
      </c>
      <c r="L1" s="94" t="s">
        <v>55</v>
      </c>
      <c r="M1" s="94" t="s">
        <v>304</v>
      </c>
      <c r="N1" s="94" t="s">
        <v>57</v>
      </c>
      <c r="O1" s="94" t="s">
        <v>292</v>
      </c>
      <c r="P1" s="94" t="s">
        <v>129</v>
      </c>
      <c r="Q1" s="94" t="s">
        <v>128</v>
      </c>
      <c r="R1" s="94" t="s">
        <v>135</v>
      </c>
    </row>
    <row r="2" spans="1:18" s="103" customFormat="1" x14ac:dyDescent="0.25">
      <c r="A2" s="99">
        <v>1</v>
      </c>
      <c r="B2" s="99" t="s">
        <v>65</v>
      </c>
      <c r="C2" s="100" t="s">
        <v>65</v>
      </c>
      <c r="D2" s="99" t="s">
        <v>307</v>
      </c>
      <c r="E2" s="99">
        <v>8</v>
      </c>
      <c r="F2" s="99">
        <v>8</v>
      </c>
      <c r="G2" s="99">
        <v>8</v>
      </c>
      <c r="H2" s="99"/>
      <c r="I2" s="99"/>
      <c r="J2" s="99"/>
      <c r="K2" s="99"/>
      <c r="L2" s="99"/>
      <c r="M2" s="99"/>
      <c r="N2" s="99"/>
      <c r="O2" s="99"/>
      <c r="P2" s="101">
        <f>(((G2/E2*10)+(40/(1+E2)*H2)+(7.5/(E2)*I2)+(7.5/(E2)*J2)+(10/E2*K2)+(10/E2*L2)+(5/E2*M2)+(5/E2*N2)+(5/E2*O2))/100)</f>
        <v>0.1</v>
      </c>
      <c r="Q2" s="101">
        <f>((((F2/E2)*20)+((G2/E2)*25)+(30/(E2+1)*H2)+(5/E2*I2)+(5/E2*J2)+(5/E2*K2)+(5/E2*L2)+(0/E2*M2)+(0/E2*N2)+(5/E2*O2))/100)</f>
        <v>0.45</v>
      </c>
      <c r="R2" s="102" t="str">
        <f>(IF(P2&gt;99%,"All work completed. Please provide OC.",IF(P2&gt;89.8%,"Plinth, RCC, Brick, Plaster, Flooring, Painting work Completed. Finishing work is in process.",(IF(F2=0,"Work not yet Started.",IF(F2=25%*E2,"Piling work in process",IF(F2=50%*E2,"Excavation work in process",IF(F2=E2,"Excavation work Completed. ","0")))&amp;(IF(G2=0%,"",IF(G2=25%*E2,"Footing work is process",IF(G2=50%*E2,"Footing work Completed",IF(G2=75%*E2,"Plinth work is process",IF(G2=E2,"Plinth work completed","0")))))))&amp;(IF(H2=(1+E2),", RCC Slab",IF(H2&gt;0,", RCC upto "&amp;H2&amp;" Slab",""))&amp;(IF(I2=E2,", Brickwork",IF(I2&gt;0,", Brickwork upto "&amp;I2&amp;" Floor",""))&amp;(IF(J2=E2,", Internal Plaster",IF(J2&gt;0,", Internal Plaster upto "&amp;J2&amp;" Floor",""))&amp;(IF(K2=E2,", External Plaster",IF(K2&gt;0,", External Plaster upto "&amp;K2&amp;" Floor",""))&amp;(IF(L2=E2,", Flooring",IF(L2&gt;0,", Flooring upto "&amp;L2&amp;" Floor",""))&amp;(IF(M2=E2,", Painting",IF(M2&gt;0,", Painting upto "&amp;M2&amp;" Floor",""))&amp;(IF(N2&gt;0,", Finishing upto "&amp;N2&amp;" Floor","")&amp;(IF(H2&gt;0.5," Completed","")))))))))))))</f>
        <v>Excavation work Completed. Plinth work completed</v>
      </c>
    </row>
    <row r="3" spans="1:18" x14ac:dyDescent="0.25">
      <c r="A3" s="97">
        <v>1</v>
      </c>
      <c r="B3" s="97" t="s">
        <v>211</v>
      </c>
      <c r="C3" s="89" t="s">
        <v>211</v>
      </c>
      <c r="D3" s="97" t="s">
        <v>307</v>
      </c>
      <c r="E3" s="97">
        <v>8</v>
      </c>
      <c r="F3" s="97">
        <v>8</v>
      </c>
      <c r="G3" s="97">
        <v>8</v>
      </c>
      <c r="H3" s="97"/>
      <c r="I3" s="97"/>
      <c r="J3" s="97"/>
      <c r="K3" s="97"/>
      <c r="L3" s="97"/>
      <c r="M3" s="97"/>
      <c r="N3" s="97"/>
      <c r="O3" s="97"/>
      <c r="P3" s="93">
        <f t="shared" ref="P3:P28" si="0">(((G3/E3*10)+(40/(1+E3)*H3)+(7.5/(E3)*I3)+(7.5/(E3)*J3)+(10/E3*K3)+(10/E3*L3)+(5/E3*M3)+(5/E3*N3)+(5/E3*O3))/100)</f>
        <v>0.1</v>
      </c>
      <c r="Q3" s="93">
        <f t="shared" ref="Q3:Q28" si="1">((((F3/E3)*20)+((G3/E3)*25)+(30/(E3+1)*H3)+(5/E3*I3)+(5/E3*J3)+(5/E3*K3)+(5/E3*L3)+(0/E3*M3)+(0/E3*N3)+(5/E3*O3))/100)</f>
        <v>0.45</v>
      </c>
      <c r="R3" s="92" t="str">
        <f t="shared" ref="R3:R28" si="2">(IF(P3&gt;99%,"All work completed. Please provide OC.",IF(P3&gt;89.8%,"Plinth, RCC, Brick, Plaster, Flooring, Painting work Completed. Finishing work is in process.",(IF(F3=0,"Work not yet Started.",IF(F3=25%*E3,"Piling work in process",IF(F3=50%*E3,"Excavation work in process",IF(F3=E3,"Excavation work Completed. ","0")))&amp;(IF(G3=0%,"",IF(G3=25%*E3,"Footing work is process",IF(G3=50%*E3,"Footing work Completed",IF(G3=75%*E3,"Plinth work is process",IF(G3=E3,"Plinth work completed","0")))))))&amp;(IF(H3=(1+E3),", RCC Slab",IF(H3&gt;0,", RCC upto "&amp;H3&amp;" Slab",""))&amp;(IF(I3=E3,", Brickwork",IF(I3&gt;0,", Brickwork upto "&amp;I3&amp;" Floor",""))&amp;(IF(J3=E3,", Internal Plaster",IF(J3&gt;0,", Internal Plaster upto "&amp;J3&amp;" Floor",""))&amp;(IF(K3=E3,", External Plaster",IF(K3&gt;0,", External Plaster upto "&amp;K3&amp;" Floor",""))&amp;(IF(L3=E3,", Flooring",IF(L3&gt;0,", Flooring upto "&amp;L3&amp;" Floor",""))&amp;(IF(M3=E3,", Painting",IF(M3&gt;0,", Painting upto "&amp;M3&amp;" Floor",""))&amp;(IF(N3&gt;0,", Finishing upto "&amp;N3&amp;" Floor","")&amp;(IF(H3&gt;0.5," Completed","")))))))))))))</f>
        <v>Excavation work Completed. Plinth work completed</v>
      </c>
    </row>
    <row r="4" spans="1:18" x14ac:dyDescent="0.25">
      <c r="A4" s="97">
        <v>1</v>
      </c>
      <c r="B4" s="97" t="s">
        <v>212</v>
      </c>
      <c r="C4" s="89" t="s">
        <v>212</v>
      </c>
      <c r="D4" s="97" t="s">
        <v>307</v>
      </c>
      <c r="E4" s="97">
        <v>8</v>
      </c>
      <c r="F4" s="97">
        <v>8</v>
      </c>
      <c r="G4" s="97">
        <v>8</v>
      </c>
      <c r="H4" s="97"/>
      <c r="I4" s="97"/>
      <c r="J4" s="97"/>
      <c r="K4" s="97"/>
      <c r="L4" s="97"/>
      <c r="M4" s="97"/>
      <c r="N4" s="97"/>
      <c r="O4" s="97"/>
      <c r="P4" s="93">
        <f t="shared" si="0"/>
        <v>0.1</v>
      </c>
      <c r="Q4" s="93">
        <f t="shared" si="1"/>
        <v>0.45</v>
      </c>
      <c r="R4" s="92" t="str">
        <f t="shared" si="2"/>
        <v>Excavation work Completed. Plinth work completed</v>
      </c>
    </row>
    <row r="5" spans="1:18" x14ac:dyDescent="0.25">
      <c r="A5" s="97">
        <v>1</v>
      </c>
      <c r="B5" s="97" t="s">
        <v>213</v>
      </c>
      <c r="C5" s="89" t="s">
        <v>213</v>
      </c>
      <c r="D5" s="97" t="s">
        <v>307</v>
      </c>
      <c r="E5" s="97">
        <v>8</v>
      </c>
      <c r="F5" s="97">
        <v>8</v>
      </c>
      <c r="G5" s="97">
        <v>8</v>
      </c>
      <c r="H5" s="97"/>
      <c r="I5" s="97"/>
      <c r="J5" s="97"/>
      <c r="K5" s="97"/>
      <c r="L5" s="97"/>
      <c r="M5" s="97"/>
      <c r="N5" s="97"/>
      <c r="O5" s="97"/>
      <c r="P5" s="93">
        <f t="shared" si="0"/>
        <v>0.1</v>
      </c>
      <c r="Q5" s="93">
        <f t="shared" si="1"/>
        <v>0.45</v>
      </c>
      <c r="R5" s="92" t="str">
        <f t="shared" si="2"/>
        <v>Excavation work Completed. Plinth work completed</v>
      </c>
    </row>
    <row r="6" spans="1:18" x14ac:dyDescent="0.25">
      <c r="A6" s="97">
        <v>1</v>
      </c>
      <c r="B6" s="97" t="s">
        <v>195</v>
      </c>
      <c r="C6" s="89" t="s">
        <v>195</v>
      </c>
      <c r="D6" s="97" t="s">
        <v>307</v>
      </c>
      <c r="E6" s="97">
        <v>8</v>
      </c>
      <c r="F6" s="97">
        <v>8</v>
      </c>
      <c r="G6" s="97">
        <v>8</v>
      </c>
      <c r="H6" s="97"/>
      <c r="I6" s="97"/>
      <c r="J6" s="97"/>
      <c r="K6" s="97"/>
      <c r="L6" s="97"/>
      <c r="M6" s="97"/>
      <c r="N6" s="97"/>
      <c r="O6" s="97"/>
      <c r="P6" s="93">
        <f t="shared" si="0"/>
        <v>0.1</v>
      </c>
      <c r="Q6" s="93">
        <f t="shared" si="1"/>
        <v>0.45</v>
      </c>
      <c r="R6" s="92" t="str">
        <f t="shared" si="2"/>
        <v>Excavation work Completed. Plinth work completed</v>
      </c>
    </row>
    <row r="7" spans="1:18" s="107" customFormat="1" x14ac:dyDescent="0.25">
      <c r="A7" s="104">
        <v>2</v>
      </c>
      <c r="B7" s="104" t="s">
        <v>65</v>
      </c>
      <c r="C7" s="112" t="s">
        <v>196</v>
      </c>
      <c r="D7" s="104" t="s">
        <v>307</v>
      </c>
      <c r="E7" s="104">
        <v>8</v>
      </c>
      <c r="F7" s="104">
        <v>8</v>
      </c>
      <c r="G7" s="104">
        <v>8</v>
      </c>
      <c r="H7" s="104"/>
      <c r="I7" s="104"/>
      <c r="J7" s="104"/>
      <c r="K7" s="104"/>
      <c r="L7" s="104"/>
      <c r="M7" s="104"/>
      <c r="N7" s="104"/>
      <c r="O7" s="104"/>
      <c r="P7" s="105">
        <f t="shared" si="0"/>
        <v>0.1</v>
      </c>
      <c r="Q7" s="105">
        <f t="shared" si="1"/>
        <v>0.45</v>
      </c>
      <c r="R7" s="106" t="str">
        <f t="shared" si="2"/>
        <v>Excavation work Completed. Plinth work completed</v>
      </c>
    </row>
    <row r="8" spans="1:18" x14ac:dyDescent="0.25">
      <c r="A8" s="97">
        <v>2</v>
      </c>
      <c r="B8" s="97" t="s">
        <v>211</v>
      </c>
      <c r="C8" s="67" t="s">
        <v>214</v>
      </c>
      <c r="D8" s="97" t="s">
        <v>307</v>
      </c>
      <c r="E8" s="97">
        <v>8</v>
      </c>
      <c r="F8" s="97">
        <v>8</v>
      </c>
      <c r="G8" s="97">
        <v>8</v>
      </c>
      <c r="H8" s="97"/>
      <c r="I8" s="97"/>
      <c r="J8" s="97"/>
      <c r="K8" s="97"/>
      <c r="L8" s="97"/>
      <c r="M8" s="97"/>
      <c r="N8" s="97"/>
      <c r="O8" s="97"/>
      <c r="P8" s="93">
        <f t="shared" si="0"/>
        <v>0.1</v>
      </c>
      <c r="Q8" s="93">
        <f t="shared" si="1"/>
        <v>0.45</v>
      </c>
      <c r="R8" s="92" t="str">
        <f t="shared" si="2"/>
        <v>Excavation work Completed. Plinth work completed</v>
      </c>
    </row>
    <row r="9" spans="1:18" x14ac:dyDescent="0.25">
      <c r="A9" s="97">
        <v>2</v>
      </c>
      <c r="B9" s="97" t="s">
        <v>212</v>
      </c>
      <c r="C9" s="67" t="s">
        <v>197</v>
      </c>
      <c r="D9" s="97" t="s">
        <v>307</v>
      </c>
      <c r="E9" s="97">
        <v>8</v>
      </c>
      <c r="F9" s="97">
        <v>8</v>
      </c>
      <c r="G9" s="97">
        <v>6</v>
      </c>
      <c r="H9" s="97"/>
      <c r="I9" s="97"/>
      <c r="J9" s="97"/>
      <c r="K9" s="97"/>
      <c r="L9" s="97"/>
      <c r="M9" s="97"/>
      <c r="N9" s="97"/>
      <c r="O9" s="97"/>
      <c r="P9" s="93">
        <f t="shared" si="0"/>
        <v>7.4999999999999997E-2</v>
      </c>
      <c r="Q9" s="93">
        <f t="shared" si="1"/>
        <v>0.38750000000000001</v>
      </c>
      <c r="R9" s="92" t="str">
        <f t="shared" si="2"/>
        <v>Excavation work Completed. Plinth work is process</v>
      </c>
    </row>
    <row r="10" spans="1:18" s="117" customFormat="1" x14ac:dyDescent="0.25">
      <c r="A10" s="113">
        <v>3</v>
      </c>
      <c r="B10" s="113" t="s">
        <v>65</v>
      </c>
      <c r="C10" s="114" t="s">
        <v>215</v>
      </c>
      <c r="D10" s="113" t="s">
        <v>307</v>
      </c>
      <c r="E10" s="113">
        <v>8</v>
      </c>
      <c r="F10" s="113">
        <v>8</v>
      </c>
      <c r="G10" s="113">
        <v>4</v>
      </c>
      <c r="H10" s="113"/>
      <c r="I10" s="113"/>
      <c r="J10" s="113"/>
      <c r="K10" s="113"/>
      <c r="L10" s="113"/>
      <c r="M10" s="113"/>
      <c r="N10" s="113"/>
      <c r="O10" s="113"/>
      <c r="P10" s="115">
        <f t="shared" si="0"/>
        <v>0.05</v>
      </c>
      <c r="Q10" s="115">
        <f t="shared" si="1"/>
        <v>0.32500000000000001</v>
      </c>
      <c r="R10" s="116" t="str">
        <f t="shared" si="2"/>
        <v>Excavation work Completed. Footing work Completed</v>
      </c>
    </row>
    <row r="11" spans="1:18" x14ac:dyDescent="0.25">
      <c r="A11" s="97">
        <v>3</v>
      </c>
      <c r="B11" s="97" t="s">
        <v>211</v>
      </c>
      <c r="C11" s="89" t="s">
        <v>216</v>
      </c>
      <c r="D11" s="97" t="s">
        <v>307</v>
      </c>
      <c r="E11" s="97">
        <v>8</v>
      </c>
      <c r="F11" s="97">
        <v>8</v>
      </c>
      <c r="G11" s="97">
        <v>4</v>
      </c>
      <c r="H11" s="97"/>
      <c r="I11" s="97"/>
      <c r="J11" s="97"/>
      <c r="K11" s="97"/>
      <c r="L11" s="97"/>
      <c r="M11" s="97"/>
      <c r="N11" s="97"/>
      <c r="O11" s="97"/>
      <c r="P11" s="93">
        <f t="shared" si="0"/>
        <v>0.05</v>
      </c>
      <c r="Q11" s="93">
        <f t="shared" si="1"/>
        <v>0.32500000000000001</v>
      </c>
      <c r="R11" s="92" t="str">
        <f t="shared" si="2"/>
        <v>Excavation work Completed. Footing work Completed</v>
      </c>
    </row>
    <row r="12" spans="1:18" x14ac:dyDescent="0.25">
      <c r="A12" s="97">
        <v>3</v>
      </c>
      <c r="B12" s="97" t="s">
        <v>212</v>
      </c>
      <c r="C12" s="89" t="s">
        <v>217</v>
      </c>
      <c r="D12" s="97" t="s">
        <v>307</v>
      </c>
      <c r="E12" s="97">
        <v>8</v>
      </c>
      <c r="F12" s="97">
        <v>8</v>
      </c>
      <c r="G12" s="97">
        <v>4</v>
      </c>
      <c r="H12" s="97"/>
      <c r="I12" s="97"/>
      <c r="J12" s="97"/>
      <c r="K12" s="97"/>
      <c r="L12" s="97"/>
      <c r="M12" s="97"/>
      <c r="N12" s="97"/>
      <c r="O12" s="97"/>
      <c r="P12" s="93">
        <f t="shared" si="0"/>
        <v>0.05</v>
      </c>
      <c r="Q12" s="93">
        <f t="shared" si="1"/>
        <v>0.32500000000000001</v>
      </c>
      <c r="R12" s="92" t="str">
        <f t="shared" si="2"/>
        <v>Excavation work Completed. Footing work Completed</v>
      </c>
    </row>
    <row r="13" spans="1:18" s="111" customFormat="1" x14ac:dyDescent="0.25">
      <c r="A13" s="108">
        <v>4</v>
      </c>
      <c r="B13" s="108" t="s">
        <v>65</v>
      </c>
      <c r="C13" s="118" t="s">
        <v>219</v>
      </c>
      <c r="D13" s="108" t="s">
        <v>307</v>
      </c>
      <c r="E13" s="108">
        <v>8</v>
      </c>
      <c r="F13" s="108">
        <v>8</v>
      </c>
      <c r="G13" s="108">
        <v>2</v>
      </c>
      <c r="H13" s="108"/>
      <c r="I13" s="108"/>
      <c r="J13" s="108"/>
      <c r="K13" s="108"/>
      <c r="L13" s="108"/>
      <c r="M13" s="108"/>
      <c r="N13" s="108"/>
      <c r="O13" s="108"/>
      <c r="P13" s="109">
        <f t="shared" si="0"/>
        <v>2.5000000000000001E-2</v>
      </c>
      <c r="Q13" s="109">
        <f t="shared" si="1"/>
        <v>0.26250000000000001</v>
      </c>
      <c r="R13" s="110" t="str">
        <f t="shared" si="2"/>
        <v>Excavation work Completed. Footing work is process</v>
      </c>
    </row>
    <row r="14" spans="1:18" x14ac:dyDescent="0.25">
      <c r="A14" s="97">
        <v>4</v>
      </c>
      <c r="B14" s="97" t="s">
        <v>211</v>
      </c>
      <c r="C14" s="67" t="s">
        <v>220</v>
      </c>
      <c r="D14" s="97" t="s">
        <v>307</v>
      </c>
      <c r="E14" s="97">
        <v>8</v>
      </c>
      <c r="F14" s="97">
        <v>8</v>
      </c>
      <c r="G14" s="97">
        <v>6</v>
      </c>
      <c r="H14" s="97"/>
      <c r="I14" s="97"/>
      <c r="J14" s="97"/>
      <c r="K14" s="97"/>
      <c r="L14" s="97"/>
      <c r="M14" s="97"/>
      <c r="N14" s="97"/>
      <c r="O14" s="97"/>
      <c r="P14" s="93">
        <f t="shared" si="0"/>
        <v>7.4999999999999997E-2</v>
      </c>
      <c r="Q14" s="93">
        <f t="shared" si="1"/>
        <v>0.38750000000000001</v>
      </c>
      <c r="R14" s="92" t="str">
        <f t="shared" si="2"/>
        <v>Excavation work Completed. Plinth work is process</v>
      </c>
    </row>
    <row r="15" spans="1:18" x14ac:dyDescent="0.25">
      <c r="A15" s="97">
        <v>4</v>
      </c>
      <c r="B15" s="97" t="s">
        <v>212</v>
      </c>
      <c r="C15" s="68" t="s">
        <v>221</v>
      </c>
      <c r="D15" s="97" t="s">
        <v>307</v>
      </c>
      <c r="E15" s="97">
        <v>8</v>
      </c>
      <c r="F15" s="97">
        <v>8</v>
      </c>
      <c r="G15" s="97">
        <v>8</v>
      </c>
      <c r="H15" s="97"/>
      <c r="I15" s="97"/>
      <c r="J15" s="97"/>
      <c r="K15" s="97"/>
      <c r="L15" s="97"/>
      <c r="M15" s="97"/>
      <c r="N15" s="97"/>
      <c r="O15" s="97"/>
      <c r="P15" s="93">
        <f t="shared" si="0"/>
        <v>0.1</v>
      </c>
      <c r="Q15" s="93">
        <f t="shared" si="1"/>
        <v>0.45</v>
      </c>
      <c r="R15" s="92" t="str">
        <f t="shared" si="2"/>
        <v>Excavation work Completed. Plinth work completed</v>
      </c>
    </row>
    <row r="16" spans="1:18" x14ac:dyDescent="0.25">
      <c r="A16" s="97">
        <v>4</v>
      </c>
      <c r="B16" s="97" t="s">
        <v>213</v>
      </c>
      <c r="C16" s="88" t="s">
        <v>222</v>
      </c>
      <c r="D16" s="97" t="s">
        <v>307</v>
      </c>
      <c r="E16" s="97">
        <v>8</v>
      </c>
      <c r="F16" s="97">
        <v>8</v>
      </c>
      <c r="G16" s="97">
        <v>8</v>
      </c>
      <c r="H16" s="97"/>
      <c r="I16" s="97"/>
      <c r="J16" s="97"/>
      <c r="K16" s="97"/>
      <c r="L16" s="97"/>
      <c r="M16" s="97"/>
      <c r="N16" s="97"/>
      <c r="O16" s="97"/>
      <c r="P16" s="93">
        <f t="shared" si="0"/>
        <v>0.1</v>
      </c>
      <c r="Q16" s="93">
        <f t="shared" si="1"/>
        <v>0.45</v>
      </c>
      <c r="R16" s="92" t="str">
        <f t="shared" si="2"/>
        <v>Excavation work Completed. Plinth work completed</v>
      </c>
    </row>
    <row r="17" spans="1:18" x14ac:dyDescent="0.25">
      <c r="A17" s="97">
        <v>4</v>
      </c>
      <c r="B17" s="97" t="s">
        <v>195</v>
      </c>
      <c r="C17" s="68" t="s">
        <v>90</v>
      </c>
      <c r="D17" s="97" t="s">
        <v>307</v>
      </c>
      <c r="E17" s="97">
        <v>8</v>
      </c>
      <c r="F17" s="97">
        <v>8</v>
      </c>
      <c r="G17" s="97">
        <v>6</v>
      </c>
      <c r="H17" s="97"/>
      <c r="I17" s="97"/>
      <c r="J17" s="97"/>
      <c r="K17" s="97"/>
      <c r="L17" s="97"/>
      <c r="M17" s="97"/>
      <c r="N17" s="97"/>
      <c r="O17" s="97"/>
      <c r="P17" s="93">
        <f t="shared" si="0"/>
        <v>7.4999999999999997E-2</v>
      </c>
      <c r="Q17" s="93">
        <f t="shared" si="1"/>
        <v>0.38750000000000001</v>
      </c>
      <c r="R17" s="92" t="str">
        <f t="shared" si="2"/>
        <v>Excavation work Completed. Plinth work is process</v>
      </c>
    </row>
    <row r="18" spans="1:18" x14ac:dyDescent="0.25">
      <c r="A18" s="97">
        <v>4</v>
      </c>
      <c r="B18" s="97" t="s">
        <v>196</v>
      </c>
      <c r="C18" s="68" t="s">
        <v>218</v>
      </c>
      <c r="D18" s="97" t="s">
        <v>307</v>
      </c>
      <c r="E18" s="97">
        <v>8</v>
      </c>
      <c r="F18" s="97">
        <v>8</v>
      </c>
      <c r="G18" s="97">
        <v>4</v>
      </c>
      <c r="H18" s="97"/>
      <c r="I18" s="97"/>
      <c r="J18" s="97"/>
      <c r="K18" s="97"/>
      <c r="L18" s="97"/>
      <c r="M18" s="97"/>
      <c r="N18" s="97"/>
      <c r="O18" s="97"/>
      <c r="P18" s="93">
        <f t="shared" si="0"/>
        <v>0.05</v>
      </c>
      <c r="Q18" s="93">
        <f t="shared" si="1"/>
        <v>0.32500000000000001</v>
      </c>
      <c r="R18" s="92" t="str">
        <f t="shared" si="2"/>
        <v>Excavation work Completed. Footing work Completed</v>
      </c>
    </row>
    <row r="19" spans="1:18" s="131" customFormat="1" x14ac:dyDescent="0.25">
      <c r="A19" s="128">
        <v>5</v>
      </c>
      <c r="B19" s="128" t="s">
        <v>65</v>
      </c>
      <c r="C19" s="128" t="s">
        <v>199</v>
      </c>
      <c r="D19" s="128" t="s">
        <v>307</v>
      </c>
      <c r="E19" s="128">
        <v>8</v>
      </c>
      <c r="F19" s="128">
        <v>8</v>
      </c>
      <c r="G19" s="128">
        <v>8</v>
      </c>
      <c r="H19" s="128">
        <v>9</v>
      </c>
      <c r="I19" s="128">
        <v>8</v>
      </c>
      <c r="J19" s="128">
        <v>8</v>
      </c>
      <c r="K19" s="128">
        <v>8</v>
      </c>
      <c r="L19" s="128">
        <v>8</v>
      </c>
      <c r="M19" s="128">
        <v>8</v>
      </c>
      <c r="N19" s="128">
        <v>8</v>
      </c>
      <c r="O19" s="128">
        <v>8</v>
      </c>
      <c r="P19" s="129">
        <f t="shared" si="0"/>
        <v>1</v>
      </c>
      <c r="Q19" s="129">
        <f t="shared" si="1"/>
        <v>1</v>
      </c>
      <c r="R19" s="130" t="str">
        <f t="shared" si="2"/>
        <v>All work completed. Please provide OC.</v>
      </c>
    </row>
    <row r="20" spans="1:18" s="131" customFormat="1" x14ac:dyDescent="0.25">
      <c r="A20" s="128">
        <v>5</v>
      </c>
      <c r="B20" s="128" t="s">
        <v>211</v>
      </c>
      <c r="C20" s="132" t="s">
        <v>200</v>
      </c>
      <c r="D20" s="128" t="s">
        <v>307</v>
      </c>
      <c r="E20" s="128">
        <v>8</v>
      </c>
      <c r="F20" s="128">
        <v>8</v>
      </c>
      <c r="G20" s="128">
        <v>8</v>
      </c>
      <c r="H20" s="128">
        <v>9</v>
      </c>
      <c r="I20" s="128">
        <v>8</v>
      </c>
      <c r="J20" s="128">
        <v>8</v>
      </c>
      <c r="K20" s="128">
        <v>8</v>
      </c>
      <c r="L20" s="128">
        <v>8</v>
      </c>
      <c r="M20" s="128">
        <v>8</v>
      </c>
      <c r="N20" s="128">
        <v>8</v>
      </c>
      <c r="O20" s="128">
        <v>8</v>
      </c>
      <c r="P20" s="129">
        <f t="shared" si="0"/>
        <v>1</v>
      </c>
      <c r="Q20" s="129">
        <f t="shared" si="1"/>
        <v>1</v>
      </c>
      <c r="R20" s="130" t="str">
        <f t="shared" si="2"/>
        <v>All work completed. Please provide OC.</v>
      </c>
    </row>
    <row r="21" spans="1:18" s="131" customFormat="1" x14ac:dyDescent="0.25">
      <c r="A21" s="128">
        <v>5</v>
      </c>
      <c r="B21" s="128" t="s">
        <v>212</v>
      </c>
      <c r="C21" s="132" t="s">
        <v>201</v>
      </c>
      <c r="D21" s="128" t="s">
        <v>307</v>
      </c>
      <c r="E21" s="128">
        <v>8</v>
      </c>
      <c r="F21" s="128">
        <v>8</v>
      </c>
      <c r="G21" s="128">
        <v>8</v>
      </c>
      <c r="H21" s="128">
        <v>9</v>
      </c>
      <c r="I21" s="128">
        <v>8</v>
      </c>
      <c r="J21" s="128">
        <v>8</v>
      </c>
      <c r="K21" s="128">
        <v>8</v>
      </c>
      <c r="L21" s="128">
        <v>8</v>
      </c>
      <c r="M21" s="128">
        <v>8</v>
      </c>
      <c r="N21" s="128">
        <v>8</v>
      </c>
      <c r="O21" s="128">
        <v>8</v>
      </c>
      <c r="P21" s="129">
        <f t="shared" si="0"/>
        <v>1</v>
      </c>
      <c r="Q21" s="129">
        <f t="shared" si="1"/>
        <v>1</v>
      </c>
      <c r="R21" s="130" t="str">
        <f t="shared" si="2"/>
        <v>All work completed. Please provide OC.</v>
      </c>
    </row>
    <row r="22" spans="1:18" s="131" customFormat="1" x14ac:dyDescent="0.25">
      <c r="A22" s="128">
        <v>5</v>
      </c>
      <c r="B22" s="128" t="s">
        <v>213</v>
      </c>
      <c r="C22" s="132" t="s">
        <v>202</v>
      </c>
      <c r="D22" s="128" t="s">
        <v>307</v>
      </c>
      <c r="E22" s="128">
        <v>8</v>
      </c>
      <c r="F22" s="128">
        <v>8</v>
      </c>
      <c r="G22" s="128">
        <v>8</v>
      </c>
      <c r="H22" s="128">
        <v>9</v>
      </c>
      <c r="I22" s="128">
        <v>8</v>
      </c>
      <c r="J22" s="128">
        <v>8</v>
      </c>
      <c r="K22" s="128">
        <v>8</v>
      </c>
      <c r="L22" s="128">
        <v>8</v>
      </c>
      <c r="M22" s="128">
        <v>8</v>
      </c>
      <c r="N22" s="128">
        <v>8</v>
      </c>
      <c r="O22" s="128">
        <v>8</v>
      </c>
      <c r="P22" s="129">
        <f t="shared" si="0"/>
        <v>1</v>
      </c>
      <c r="Q22" s="129">
        <f t="shared" si="1"/>
        <v>1</v>
      </c>
      <c r="R22" s="130" t="str">
        <f t="shared" si="2"/>
        <v>All work completed. Please provide OC.</v>
      </c>
    </row>
    <row r="23" spans="1:18" s="131" customFormat="1" x14ac:dyDescent="0.25">
      <c r="A23" s="128">
        <v>5</v>
      </c>
      <c r="B23" s="128" t="s">
        <v>195</v>
      </c>
      <c r="C23" s="132" t="s">
        <v>91</v>
      </c>
      <c r="D23" s="128" t="s">
        <v>307</v>
      </c>
      <c r="E23" s="128">
        <v>8</v>
      </c>
      <c r="F23" s="128">
        <v>8</v>
      </c>
      <c r="G23" s="128">
        <v>8</v>
      </c>
      <c r="H23" s="128">
        <v>9</v>
      </c>
      <c r="I23" s="128">
        <v>8</v>
      </c>
      <c r="J23" s="128">
        <v>8</v>
      </c>
      <c r="K23" s="128">
        <v>8</v>
      </c>
      <c r="L23" s="128">
        <v>8</v>
      </c>
      <c r="M23" s="128">
        <v>8</v>
      </c>
      <c r="N23" s="128">
        <v>8</v>
      </c>
      <c r="O23" s="128">
        <v>8</v>
      </c>
      <c r="P23" s="129">
        <f t="shared" si="0"/>
        <v>1</v>
      </c>
      <c r="Q23" s="129">
        <f t="shared" si="1"/>
        <v>1</v>
      </c>
      <c r="R23" s="130" t="str">
        <f t="shared" si="2"/>
        <v>All work completed. Please provide OC.</v>
      </c>
    </row>
    <row r="24" spans="1:18" s="131" customFormat="1" x14ac:dyDescent="0.25">
      <c r="A24" s="128">
        <v>5</v>
      </c>
      <c r="B24" s="128" t="s">
        <v>196</v>
      </c>
      <c r="C24" s="132" t="s">
        <v>198</v>
      </c>
      <c r="D24" s="128" t="s">
        <v>307</v>
      </c>
      <c r="E24" s="128">
        <v>8</v>
      </c>
      <c r="F24" s="128">
        <v>8</v>
      </c>
      <c r="G24" s="128">
        <v>8</v>
      </c>
      <c r="H24" s="128">
        <v>9</v>
      </c>
      <c r="I24" s="128">
        <v>8</v>
      </c>
      <c r="J24" s="128">
        <v>8</v>
      </c>
      <c r="K24" s="128">
        <v>8</v>
      </c>
      <c r="L24" s="128">
        <v>8</v>
      </c>
      <c r="M24" s="128">
        <v>8</v>
      </c>
      <c r="N24" s="128">
        <v>8</v>
      </c>
      <c r="O24" s="128">
        <v>8</v>
      </c>
      <c r="P24" s="129">
        <f t="shared" si="0"/>
        <v>1</v>
      </c>
      <c r="Q24" s="129">
        <f t="shared" si="1"/>
        <v>1</v>
      </c>
      <c r="R24" s="130" t="str">
        <f t="shared" si="2"/>
        <v>All work completed. Please provide OC.</v>
      </c>
    </row>
    <row r="25" spans="1:18" s="127" customFormat="1" x14ac:dyDescent="0.25">
      <c r="A25" s="123">
        <v>6</v>
      </c>
      <c r="B25" s="123" t="s">
        <v>65</v>
      </c>
      <c r="C25" s="124" t="s">
        <v>203</v>
      </c>
      <c r="D25" s="123" t="s">
        <v>307</v>
      </c>
      <c r="E25" s="123">
        <v>8</v>
      </c>
      <c r="F25" s="123">
        <v>8</v>
      </c>
      <c r="G25" s="123">
        <v>8</v>
      </c>
      <c r="H25" s="123">
        <v>9</v>
      </c>
      <c r="I25" s="123">
        <v>8</v>
      </c>
      <c r="J25" s="123">
        <v>8</v>
      </c>
      <c r="K25" s="123">
        <v>8</v>
      </c>
      <c r="L25" s="123">
        <v>7</v>
      </c>
      <c r="M25" s="123">
        <v>7</v>
      </c>
      <c r="N25" s="123">
        <v>3</v>
      </c>
      <c r="O25" s="123"/>
      <c r="P25" s="125">
        <f t="shared" si="0"/>
        <v>0.9</v>
      </c>
      <c r="Q25" s="125">
        <f t="shared" si="1"/>
        <v>0.94374999999999998</v>
      </c>
      <c r="R25" s="126" t="str">
        <f t="shared" si="2"/>
        <v>Plinth, RCC, Brick, Plaster, Flooring, Painting work Completed. Finishing work is in process.</v>
      </c>
    </row>
    <row r="26" spans="1:18" s="127" customFormat="1" x14ac:dyDescent="0.25">
      <c r="A26" s="123">
        <v>6</v>
      </c>
      <c r="B26" s="123" t="s">
        <v>211</v>
      </c>
      <c r="C26" s="124" t="s">
        <v>205</v>
      </c>
      <c r="D26" s="123" t="s">
        <v>307</v>
      </c>
      <c r="E26" s="123">
        <v>8</v>
      </c>
      <c r="F26" s="123">
        <v>8</v>
      </c>
      <c r="G26" s="123">
        <v>8</v>
      </c>
      <c r="H26" s="123">
        <v>9</v>
      </c>
      <c r="I26" s="123">
        <v>8</v>
      </c>
      <c r="J26" s="123">
        <v>8</v>
      </c>
      <c r="K26" s="123">
        <v>8</v>
      </c>
      <c r="L26" s="123">
        <v>7</v>
      </c>
      <c r="M26" s="123">
        <v>7</v>
      </c>
      <c r="N26" s="123">
        <v>3</v>
      </c>
      <c r="O26" s="123"/>
      <c r="P26" s="125">
        <f t="shared" si="0"/>
        <v>0.9</v>
      </c>
      <c r="Q26" s="125">
        <f t="shared" si="1"/>
        <v>0.94374999999999998</v>
      </c>
      <c r="R26" s="126" t="str">
        <f t="shared" si="2"/>
        <v>Plinth, RCC, Brick, Plaster, Flooring, Painting work Completed. Finishing work is in process.</v>
      </c>
    </row>
    <row r="27" spans="1:18" s="127" customFormat="1" x14ac:dyDescent="0.25">
      <c r="A27" s="123">
        <v>6</v>
      </c>
      <c r="B27" s="123" t="s">
        <v>212</v>
      </c>
      <c r="C27" s="124" t="s">
        <v>206</v>
      </c>
      <c r="D27" s="123" t="s">
        <v>307</v>
      </c>
      <c r="E27" s="123">
        <v>8</v>
      </c>
      <c r="F27" s="123">
        <v>8</v>
      </c>
      <c r="G27" s="123">
        <v>8</v>
      </c>
      <c r="H27" s="123">
        <v>9</v>
      </c>
      <c r="I27" s="123">
        <v>8</v>
      </c>
      <c r="J27" s="123">
        <v>8</v>
      </c>
      <c r="K27" s="123">
        <v>8</v>
      </c>
      <c r="L27" s="123">
        <v>7</v>
      </c>
      <c r="M27" s="123">
        <v>7</v>
      </c>
      <c r="N27" s="123">
        <v>3</v>
      </c>
      <c r="O27" s="123"/>
      <c r="P27" s="125">
        <f t="shared" si="0"/>
        <v>0.9</v>
      </c>
      <c r="Q27" s="125">
        <f t="shared" si="1"/>
        <v>0.94374999999999998</v>
      </c>
      <c r="R27" s="126" t="str">
        <f t="shared" si="2"/>
        <v>Plinth, RCC, Brick, Plaster, Flooring, Painting work Completed. Finishing work is in process.</v>
      </c>
    </row>
    <row r="28" spans="1:18" s="127" customFormat="1" x14ac:dyDescent="0.25">
      <c r="A28" s="123">
        <v>6</v>
      </c>
      <c r="B28" s="123" t="s">
        <v>213</v>
      </c>
      <c r="C28" s="124" t="s">
        <v>204</v>
      </c>
      <c r="D28" s="123" t="s">
        <v>307</v>
      </c>
      <c r="E28" s="123">
        <v>8</v>
      </c>
      <c r="F28" s="123">
        <v>8</v>
      </c>
      <c r="G28" s="123">
        <v>8</v>
      </c>
      <c r="H28" s="123">
        <v>9</v>
      </c>
      <c r="I28" s="123">
        <v>8</v>
      </c>
      <c r="J28" s="123">
        <v>8</v>
      </c>
      <c r="K28" s="123">
        <v>8</v>
      </c>
      <c r="L28" s="123">
        <v>7</v>
      </c>
      <c r="M28" s="123">
        <v>7</v>
      </c>
      <c r="N28" s="123">
        <v>3</v>
      </c>
      <c r="O28" s="123"/>
      <c r="P28" s="125">
        <f t="shared" si="0"/>
        <v>0.9</v>
      </c>
      <c r="Q28" s="125">
        <f t="shared" si="1"/>
        <v>0.94374999999999998</v>
      </c>
      <c r="R28" s="126" t="str">
        <f t="shared" si="2"/>
        <v>Plinth, RCC, Brick, Plaster, Flooring, Painting work Completed. Finishing work is in process.</v>
      </c>
    </row>
  </sheetData>
  <mergeCells count="1">
    <mergeCell ref="D1:E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"/>
  <sheetViews>
    <sheetView zoomScale="85" zoomScaleNormal="85" workbookViewId="0">
      <selection activeCell="D9" sqref="D9"/>
    </sheetView>
  </sheetViews>
  <sheetFormatPr defaultRowHeight="15" x14ac:dyDescent="0.25"/>
  <cols>
    <col min="1" max="1" width="16.28515625" customWidth="1"/>
    <col min="2" max="2" width="11.42578125" customWidth="1"/>
    <col min="3" max="3" width="11.140625" customWidth="1"/>
    <col min="4" max="5" width="12.85546875" customWidth="1"/>
  </cols>
  <sheetData>
    <row r="1" spans="2:11" ht="15.75" x14ac:dyDescent="0.25">
      <c r="B1" s="238" t="s">
        <v>275</v>
      </c>
      <c r="C1" s="239"/>
      <c r="D1" s="240" t="s">
        <v>294</v>
      </c>
      <c r="E1" s="241"/>
      <c r="F1" s="241"/>
      <c r="G1" s="241"/>
      <c r="H1" s="241"/>
      <c r="I1" s="242"/>
      <c r="J1" s="72" t="str">
        <f ca="1">IF(E14=100%,"All work Completed. Possession granted to the Building.",IF(E13=100%,"All work Completed, Waiting for OC",J2&amp;""&amp;J3&amp;""&amp;K2&amp;""&amp;K1&amp;" "&amp;K3))</f>
        <v>Excavation, Plinth, RCC Slab Completed, Brickwork upto 7 Floor Completed</v>
      </c>
      <c r="K1" s="73" t="str">
        <f ca="1">(IF(D7=(E2+G2+I2),"",IF(D7&gt;0,", RCC upto "&amp;D7&amp;" Slab","")))&amp;(IF(D8=I2,"",IF(D8&gt;0,", Brickwork upto "&amp;D8&amp;" Floor","")))&amp;(IF(D9=I2,"",IF(D9&gt;0,", Internal Plaster upto "&amp;D9&amp;" Floor","")))&amp;(IF(D10=I2,"",IF(D10&gt;0,", External Plaster upto "&amp;D10&amp;" Floor","")))&amp;(IF(D11=I2,"",IF(D11&gt;0,", Flooring upto "&amp;D11&amp;" Floor","")))&amp;(IF(D12=I2,"",IF(D12&gt;0,", Painting upto "&amp;D12&amp;" Floor","")))&amp;(IF(D13=I2,"",IF(D13&gt;0,", Finishing upto "&amp;D13&amp;" Floor","")))&amp;(IF(D14=I2,"",IF(D14&gt;0,", Possession upto "&amp;D14&amp;" Floor","")))</f>
        <v>, Brickwork upto 7 Floor</v>
      </c>
    </row>
    <row r="2" spans="2:11" ht="15.75" x14ac:dyDescent="0.25">
      <c r="B2" s="74" t="s">
        <v>107</v>
      </c>
      <c r="C2" s="75">
        <v>0</v>
      </c>
      <c r="D2" s="76" t="s">
        <v>109</v>
      </c>
      <c r="E2" s="76">
        <v>1</v>
      </c>
      <c r="F2" s="76" t="s">
        <v>108</v>
      </c>
      <c r="G2" s="75">
        <v>0</v>
      </c>
      <c r="H2" s="77" t="s">
        <v>123</v>
      </c>
      <c r="I2" s="76">
        <f ca="1">--TRIM(RIGHT(SUBSTITUTE(LEFT(D1,_xlfn.AGGREGATE(16,6,FIND({0,1,2,3,4,5,6,7,8,9},D1,ROW(INDIRECT("1:"&amp;LEN(D1)))),1))," ",REPT(" ",LEN(D1))),LEN(D1)))</f>
        <v>8</v>
      </c>
      <c r="J2" s="78" t="str">
        <f ca="1">IF(E5=100%,"Excavation","")&amp;IF(E6=100%,", Plinth","")&amp;IF(E7=100%,", RCC Slab","")&amp;IF(E8=100%,", Brickwork","")&amp;IF(E9=100%,", Internal Plaster","")&amp;IF(E10=100%,", External Plaster","")&amp;IF(E11=100%,", Flooring","")&amp;IF(E12=100%,", Painting","")&amp;IF(E13=100%,", Building common Amenities","")</f>
        <v>Excavation, Plinth, RCC Slab</v>
      </c>
      <c r="K2" s="79" t="str">
        <f ca="1">(IF(D5=0,"Work not yet Started.",IF(E5=25%,"Piling work in process",IF(E5=50%,"Excavation work in process",IF(E5=100%,"","0")))))&amp;(IF(D6=0%,"",IF(D6=K7,", Footing work is process",IF(D6=K8,", Footing work Completed",IF(D6=K9,", 1st Basement Completed",IF(D6=K10,", 1st &amp; 2nd Basement Completed",IF(D6=K11,", 1st to 3rd Basement Completed",IF(D6=K12,", 1st to 4th Basement Completed",IF(D6=K13,", Plinth work is process",IF(D6=K14,"","0"))))))))))</f>
        <v/>
      </c>
    </row>
    <row r="3" spans="2:11" ht="51.75" customHeight="1" x14ac:dyDescent="0.25">
      <c r="B3" s="243" t="s">
        <v>135</v>
      </c>
      <c r="C3" s="244"/>
      <c r="D3" s="245" t="str">
        <f ca="1">J1</f>
        <v>Excavation, Plinth, RCC Slab Completed, Brickwork upto 7 Floor Completed</v>
      </c>
      <c r="E3" s="246"/>
      <c r="F3" s="246"/>
      <c r="G3" s="246"/>
      <c r="H3" s="246"/>
      <c r="I3" s="247"/>
      <c r="J3" s="78" t="str">
        <f ca="1">IF(J2&lt;&gt;""," Completed","")</f>
        <v xml:space="preserve"> Completed</v>
      </c>
      <c r="K3" s="79" t="str">
        <f ca="1">IF(K1&lt;&gt;"","Completed","")</f>
        <v>Completed</v>
      </c>
    </row>
    <row r="4" spans="2:11" ht="31.5" x14ac:dyDescent="0.25">
      <c r="B4" s="225" t="s">
        <v>51</v>
      </c>
      <c r="C4" s="226"/>
      <c r="D4" s="16" t="s">
        <v>276</v>
      </c>
      <c r="E4" s="16" t="s">
        <v>127</v>
      </c>
      <c r="F4" s="248" t="s">
        <v>129</v>
      </c>
      <c r="G4" s="249"/>
      <c r="H4" s="248" t="s">
        <v>128</v>
      </c>
      <c r="I4" s="250"/>
      <c r="J4" s="80" t="s">
        <v>277</v>
      </c>
      <c r="K4" s="45">
        <f ca="1">I2*25%</f>
        <v>2</v>
      </c>
    </row>
    <row r="5" spans="2:11" ht="15.75" x14ac:dyDescent="0.25">
      <c r="B5" s="225" t="s">
        <v>278</v>
      </c>
      <c r="C5" s="226"/>
      <c r="D5" s="17">
        <f ca="1">K6</f>
        <v>8</v>
      </c>
      <c r="E5" s="69">
        <f ca="1">((100/I2)*D5)/100</f>
        <v>1</v>
      </c>
      <c r="F5" s="227">
        <f ca="1">(((D6/I2*10)+(40/(E2+G2+I2)*D7)+(7.5/(I2)*D8)+(7.5/(I2)*D9)+(10/I2*D10)+(10/I2*D11)+(5/I2*D12)+(5/I2*D13)+(5/I2*D14))/100)</f>
        <v>0.56562500000000004</v>
      </c>
      <c r="G5" s="228"/>
      <c r="H5" s="227">
        <f ca="1">((((D5/I2)*20)+((D6/I2)*25)+(30/(I2+G2+E2)*D7)+(5/I2*D8)+(5/I2*D9)+(5/I2*D10)+(5/I2*D11)+(0/I2*D12)+(0/I2*D13)+(5/I2*D14))/100)</f>
        <v>0.79374999999999996</v>
      </c>
      <c r="I5" s="233"/>
      <c r="J5" s="80" t="s">
        <v>143</v>
      </c>
      <c r="K5" s="81">
        <f ca="1">I2*50%</f>
        <v>4</v>
      </c>
    </row>
    <row r="6" spans="2:11" ht="15.75" x14ac:dyDescent="0.25">
      <c r="B6" s="225" t="s">
        <v>52</v>
      </c>
      <c r="C6" s="226"/>
      <c r="D6" s="18">
        <f ca="1">K14</f>
        <v>8</v>
      </c>
      <c r="E6" s="69">
        <f ca="1">((100/I2)*D6)/100</f>
        <v>1</v>
      </c>
      <c r="F6" s="229"/>
      <c r="G6" s="230"/>
      <c r="H6" s="229"/>
      <c r="I6" s="234"/>
      <c r="J6" s="80" t="s">
        <v>144</v>
      </c>
      <c r="K6" s="81">
        <f ca="1">I2</f>
        <v>8</v>
      </c>
    </row>
    <row r="7" spans="2:11" ht="15.75" x14ac:dyDescent="0.25">
      <c r="B7" s="225" t="s">
        <v>279</v>
      </c>
      <c r="C7" s="226"/>
      <c r="D7" s="18">
        <v>9</v>
      </c>
      <c r="E7" s="69">
        <f ca="1">((100/(E2+G2+I2))*D7)/100</f>
        <v>1</v>
      </c>
      <c r="F7" s="229"/>
      <c r="G7" s="230"/>
      <c r="H7" s="229"/>
      <c r="I7" s="234"/>
      <c r="J7" s="80" t="s">
        <v>145</v>
      </c>
      <c r="K7" s="82">
        <f ca="1">(IF(C2&gt;1,(I2/(C2+2)),I2/4))</f>
        <v>2</v>
      </c>
    </row>
    <row r="8" spans="2:11" ht="15.75" x14ac:dyDescent="0.25">
      <c r="B8" s="225" t="s">
        <v>280</v>
      </c>
      <c r="C8" s="226" t="s">
        <v>281</v>
      </c>
      <c r="D8" s="17">
        <v>7</v>
      </c>
      <c r="E8" s="69">
        <f ca="1">((100/I2)*D8)/100</f>
        <v>0.875</v>
      </c>
      <c r="F8" s="229"/>
      <c r="G8" s="230"/>
      <c r="H8" s="229"/>
      <c r="I8" s="234"/>
      <c r="J8" s="80" t="s">
        <v>146</v>
      </c>
      <c r="K8" s="82">
        <f ca="1">(IF(C2&gt;1,(I2/(C2+2)+K7),I2/4+K7))</f>
        <v>4</v>
      </c>
    </row>
    <row r="9" spans="2:11" ht="15.75" x14ac:dyDescent="0.25">
      <c r="B9" s="225" t="s">
        <v>282</v>
      </c>
      <c r="C9" s="226" t="s">
        <v>281</v>
      </c>
      <c r="D9" s="17">
        <v>0</v>
      </c>
      <c r="E9" s="69">
        <f ca="1">((100/I2)*D9)/100</f>
        <v>0</v>
      </c>
      <c r="F9" s="229"/>
      <c r="G9" s="230"/>
      <c r="H9" s="229"/>
      <c r="I9" s="234"/>
      <c r="J9" s="80" t="s">
        <v>283</v>
      </c>
      <c r="K9" s="82">
        <f>(IF(C2&gt;1,(I2/(C2+2)+K8),0))</f>
        <v>0</v>
      </c>
    </row>
    <row r="10" spans="2:11" ht="15.75" x14ac:dyDescent="0.25">
      <c r="B10" s="225" t="s">
        <v>284</v>
      </c>
      <c r="C10" s="226" t="s">
        <v>285</v>
      </c>
      <c r="D10" s="17">
        <v>0</v>
      </c>
      <c r="E10" s="69">
        <f ca="1">((100/(I2))*D10)/100</f>
        <v>0</v>
      </c>
      <c r="F10" s="229"/>
      <c r="G10" s="230"/>
      <c r="H10" s="229"/>
      <c r="I10" s="234"/>
      <c r="J10" s="80" t="s">
        <v>286</v>
      </c>
      <c r="K10" s="82">
        <f>(IF(C2&gt;2,(I2/(C2+2)+K9),0))</f>
        <v>0</v>
      </c>
    </row>
    <row r="11" spans="2:11" ht="15.75" x14ac:dyDescent="0.25">
      <c r="B11" s="225" t="s">
        <v>287</v>
      </c>
      <c r="C11" s="226" t="s">
        <v>287</v>
      </c>
      <c r="D11" s="17">
        <v>0</v>
      </c>
      <c r="E11" s="69">
        <f ca="1">((100/I2)*D11)/100</f>
        <v>0</v>
      </c>
      <c r="F11" s="229"/>
      <c r="G11" s="230"/>
      <c r="H11" s="229"/>
      <c r="I11" s="234"/>
      <c r="J11" s="80" t="s">
        <v>288</v>
      </c>
      <c r="K11" s="83">
        <f>(IF(C2&gt;3,(I2/(C2+2)+K10),0))</f>
        <v>0</v>
      </c>
    </row>
    <row r="12" spans="2:11" ht="15.75" x14ac:dyDescent="0.25">
      <c r="B12" s="225" t="s">
        <v>289</v>
      </c>
      <c r="C12" s="226"/>
      <c r="D12" s="17">
        <v>0</v>
      </c>
      <c r="E12" s="69">
        <f ca="1">((100/I2)*D12)/100</f>
        <v>0</v>
      </c>
      <c r="F12" s="229"/>
      <c r="G12" s="230"/>
      <c r="H12" s="229"/>
      <c r="I12" s="234"/>
      <c r="J12" s="80" t="s">
        <v>290</v>
      </c>
      <c r="K12" s="82">
        <f>(IF(C2&gt;4,(I2/(C2+2)+K11),0))</f>
        <v>0</v>
      </c>
    </row>
    <row r="13" spans="2:11" ht="15.75" x14ac:dyDescent="0.25">
      <c r="B13" s="225" t="s">
        <v>291</v>
      </c>
      <c r="C13" s="226" t="s">
        <v>291</v>
      </c>
      <c r="D13" s="17">
        <v>0</v>
      </c>
      <c r="E13" s="69">
        <f ca="1">((100/(I2))*D13)/100</f>
        <v>0</v>
      </c>
      <c r="F13" s="229"/>
      <c r="G13" s="230"/>
      <c r="H13" s="229"/>
      <c r="I13" s="234"/>
      <c r="J13" s="80" t="s">
        <v>147</v>
      </c>
      <c r="K13" s="82">
        <f ca="1">(IF(C2=1,(I2/(C2+3)+K8),IF(C2=0,(I2/4+K8),IF(C2&gt;1,0))))</f>
        <v>6</v>
      </c>
    </row>
    <row r="14" spans="2:11" ht="16.5" thickBot="1" x14ac:dyDescent="0.3">
      <c r="B14" s="236" t="s">
        <v>292</v>
      </c>
      <c r="C14" s="237"/>
      <c r="D14" s="36">
        <v>0</v>
      </c>
      <c r="E14" s="70">
        <f ca="1">((100/(I2))*D14)/100</f>
        <v>0</v>
      </c>
      <c r="F14" s="231"/>
      <c r="G14" s="232"/>
      <c r="H14" s="231"/>
      <c r="I14" s="235"/>
      <c r="J14" s="84" t="s">
        <v>148</v>
      </c>
      <c r="K14" s="85">
        <f ca="1">(IF(C2&gt;1.5,(I2/(C2+2)+K8+MAX(0,K9-K8)+MAX(0,K10-K9)+MAX(0,K11-K10)+MAX(0,K12-K11)+MAX(0,K13-K12)),IF(C2=1,(I2/(C2+3)+K13),IF(C2=0,I2/4+K13))))</f>
        <v>8</v>
      </c>
    </row>
  </sheetData>
  <mergeCells count="19">
    <mergeCell ref="B1:C1"/>
    <mergeCell ref="D1:I1"/>
    <mergeCell ref="B3:C3"/>
    <mergeCell ref="D3:I3"/>
    <mergeCell ref="B4:C4"/>
    <mergeCell ref="F4:G4"/>
    <mergeCell ref="H4:I4"/>
    <mergeCell ref="B5:C5"/>
    <mergeCell ref="F5:G14"/>
    <mergeCell ref="H5:I14"/>
    <mergeCell ref="B6:C6"/>
    <mergeCell ref="B7:C7"/>
    <mergeCell ref="B8:C8"/>
    <mergeCell ref="B9:C9"/>
    <mergeCell ref="B10:C10"/>
    <mergeCell ref="B11:C11"/>
    <mergeCell ref="B12:C12"/>
    <mergeCell ref="B13:C13"/>
    <mergeCell ref="B14:C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6"/>
  <sheetViews>
    <sheetView workbookViewId="0">
      <selection activeCell="F14" sqref="F14"/>
    </sheetView>
  </sheetViews>
  <sheetFormatPr defaultRowHeight="15" x14ac:dyDescent="0.25"/>
  <cols>
    <col min="2" max="2" width="12.28515625" customWidth="1"/>
  </cols>
  <sheetData>
    <row r="2" spans="1:12" x14ac:dyDescent="0.25">
      <c r="B2" s="3" t="s">
        <v>84</v>
      </c>
      <c r="C2" s="251"/>
      <c r="D2" s="251"/>
    </row>
    <row r="3" spans="1:12" x14ac:dyDescent="0.25">
      <c r="D3" s="4"/>
      <c r="E3" s="4"/>
      <c r="F3" s="4"/>
      <c r="G3" s="4"/>
      <c r="H3" s="4"/>
      <c r="I3" s="4"/>
    </row>
    <row r="4" spans="1:12" x14ac:dyDescent="0.25">
      <c r="A4" s="3" t="s">
        <v>85</v>
      </c>
      <c r="B4" s="5" t="s">
        <v>86</v>
      </c>
      <c r="C4" s="252" t="s">
        <v>87</v>
      </c>
      <c r="D4" s="252"/>
      <c r="E4" s="252"/>
      <c r="F4" s="6"/>
      <c r="G4" s="252" t="s">
        <v>88</v>
      </c>
      <c r="H4" s="252"/>
      <c r="I4" s="252"/>
      <c r="J4" s="252" t="s">
        <v>89</v>
      </c>
      <c r="K4" s="252"/>
      <c r="L4" s="252"/>
    </row>
    <row r="5" spans="1:12" x14ac:dyDescent="0.25">
      <c r="A5" s="3">
        <v>202</v>
      </c>
      <c r="B5" s="5"/>
      <c r="C5" s="5" t="s">
        <v>90</v>
      </c>
      <c r="D5" s="5" t="s">
        <v>91</v>
      </c>
      <c r="E5" s="5" t="s">
        <v>65</v>
      </c>
      <c r="F5" s="5"/>
      <c r="G5" s="5" t="s">
        <v>90</v>
      </c>
      <c r="H5" s="5" t="s">
        <v>91</v>
      </c>
      <c r="I5" s="5" t="s">
        <v>65</v>
      </c>
      <c r="J5" s="5" t="s">
        <v>90</v>
      </c>
      <c r="K5" s="5" t="s">
        <v>91</v>
      </c>
      <c r="L5" s="5" t="s">
        <v>65</v>
      </c>
    </row>
    <row r="6" spans="1:12" x14ac:dyDescent="0.25">
      <c r="B6" s="7" t="s">
        <v>92</v>
      </c>
      <c r="C6" s="7">
        <v>4.5</v>
      </c>
      <c r="D6" s="7">
        <v>2.9</v>
      </c>
      <c r="E6" s="7">
        <f>C6*D6</f>
        <v>13.049999999999999</v>
      </c>
      <c r="F6" s="7" t="s">
        <v>93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25">
      <c r="B7" s="7"/>
      <c r="C7" s="7"/>
      <c r="D7" s="7"/>
      <c r="E7" s="7">
        <f t="shared" ref="E7:E33" si="0">C7*D7</f>
        <v>0</v>
      </c>
      <c r="F7" s="7" t="s">
        <v>94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25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25">
      <c r="B9" s="7" t="s">
        <v>95</v>
      </c>
      <c r="C9" s="7">
        <v>1.88</v>
      </c>
      <c r="D9" s="7">
        <v>2.13</v>
      </c>
      <c r="E9" s="7">
        <f t="shared" si="0"/>
        <v>4.0043999999999995</v>
      </c>
      <c r="F9" s="7" t="s">
        <v>93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25">
      <c r="B10" s="7"/>
      <c r="C10" s="7"/>
      <c r="D10" s="7"/>
      <c r="E10" s="7">
        <f t="shared" si="0"/>
        <v>0</v>
      </c>
      <c r="F10" s="7" t="s">
        <v>94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25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25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25">
      <c r="B13" s="7" t="s">
        <v>96</v>
      </c>
      <c r="C13" s="7"/>
      <c r="D13" s="7"/>
      <c r="E13" s="7">
        <f t="shared" si="0"/>
        <v>0</v>
      </c>
      <c r="F13" s="7" t="s">
        <v>93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25">
      <c r="B14" s="7"/>
      <c r="C14" s="7"/>
      <c r="D14" s="7"/>
      <c r="E14" s="7">
        <f t="shared" si="0"/>
        <v>0</v>
      </c>
      <c r="F14" s="7" t="s">
        <v>94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25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25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25">
      <c r="B17" s="7" t="s">
        <v>97</v>
      </c>
      <c r="C17" s="7"/>
      <c r="D17" s="7"/>
      <c r="E17" s="7">
        <f t="shared" si="0"/>
        <v>0</v>
      </c>
      <c r="F17" s="7" t="s">
        <v>93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25">
      <c r="B18" s="7"/>
      <c r="C18" s="7"/>
      <c r="D18" s="7"/>
      <c r="E18" s="7">
        <f t="shared" si="0"/>
        <v>0</v>
      </c>
      <c r="F18" s="7" t="s">
        <v>94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25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25">
      <c r="B20" s="7" t="s">
        <v>97</v>
      </c>
      <c r="C20" s="7"/>
      <c r="D20" s="7"/>
      <c r="E20" s="7">
        <f t="shared" si="0"/>
        <v>0</v>
      </c>
      <c r="F20" s="7" t="s">
        <v>93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25">
      <c r="B21" s="7"/>
      <c r="C21" s="7"/>
      <c r="D21" s="7"/>
      <c r="E21" s="7">
        <f t="shared" si="0"/>
        <v>0</v>
      </c>
      <c r="F21" s="7" t="s">
        <v>94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25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25">
      <c r="B23" s="7" t="s">
        <v>98</v>
      </c>
      <c r="C23" s="7">
        <v>1.9</v>
      </c>
      <c r="D23" s="7">
        <v>1.07</v>
      </c>
      <c r="E23" s="7">
        <f t="shared" si="0"/>
        <v>2.0329999999999999</v>
      </c>
      <c r="F23" s="7" t="s">
        <v>99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25">
      <c r="B24" s="7" t="s">
        <v>100</v>
      </c>
      <c r="C24" s="7"/>
      <c r="D24" s="7"/>
      <c r="E24" s="7">
        <f t="shared" si="0"/>
        <v>0</v>
      </c>
      <c r="F24" s="7" t="s">
        <v>99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25">
      <c r="B25" s="7" t="s">
        <v>101</v>
      </c>
      <c r="C25" s="7"/>
      <c r="D25" s="7"/>
      <c r="E25" s="7">
        <f t="shared" si="0"/>
        <v>0</v>
      </c>
      <c r="F25" s="7" t="s">
        <v>99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25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25">
      <c r="B27" s="7" t="s">
        <v>102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25">
      <c r="B28" s="7" t="s">
        <v>103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25">
      <c r="B29" s="7" t="s">
        <v>104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25">
      <c r="B30" s="7" t="s">
        <v>105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25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25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25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25">
      <c r="B34" s="7" t="s">
        <v>66</v>
      </c>
      <c r="C34" s="7"/>
      <c r="D34" s="7">
        <f>E34*10.764</f>
        <v>205.45677359999996</v>
      </c>
      <c r="E34" s="7">
        <f>SUM(E6:E33)</f>
        <v>19.087399999999999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25">
      <c r="D36">
        <f>D34+H34</f>
        <v>205.45677359999996</v>
      </c>
      <c r="E36">
        <f>E34+I34</f>
        <v>19.087399999999999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"/>
  <sheetViews>
    <sheetView workbookViewId="0">
      <selection activeCell="B12" sqref="B12"/>
    </sheetView>
  </sheetViews>
  <sheetFormatPr defaultRowHeight="15" x14ac:dyDescent="0.25"/>
  <cols>
    <col min="1" max="1" width="10.7109375" bestFit="1" customWidth="1"/>
  </cols>
  <sheetData>
    <row r="2" spans="1:2" x14ac:dyDescent="0.25">
      <c r="A2" t="s">
        <v>233</v>
      </c>
      <c r="B2" t="s">
        <v>234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Report</vt:lpstr>
      <vt:lpstr>Cons</vt:lpstr>
      <vt:lpstr>C%</vt:lpstr>
      <vt:lpstr>Flat detail</vt:lpstr>
      <vt:lpstr>Note</vt:lpstr>
      <vt:lpstr>Report!Print_Area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2025-08-18T08:47:34Z</cp:lastPrinted>
  <dcterms:created xsi:type="dcterms:W3CDTF">2019-07-16T09:29:46Z</dcterms:created>
  <dcterms:modified xsi:type="dcterms:W3CDTF">2025-08-18T08:48:29Z</dcterms:modified>
</cp:coreProperties>
</file>