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20.08\"/>
    </mc:Choice>
  </mc:AlternateContent>
  <xr:revisionPtr revIDLastSave="0" documentId="13_ncr:1_{24C4BD71-44FC-4C44-AE51-459E526EC9D0}"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2" i="1" l="1"/>
  <c r="D150" i="1" l="1"/>
  <c r="D149" i="1"/>
  <c r="D148" i="1"/>
  <c r="D147" i="1"/>
  <c r="D146" i="1"/>
  <c r="D145" i="1"/>
  <c r="D143" i="1"/>
  <c r="D142" i="1"/>
  <c r="D141" i="1"/>
  <c r="D140" i="1"/>
  <c r="D139" i="1"/>
  <c r="D138" i="1"/>
  <c r="E204" i="1"/>
  <c r="D204" i="1"/>
  <c r="E203" i="1"/>
  <c r="D203" i="1"/>
  <c r="E202" i="1"/>
  <c r="D202" i="1"/>
  <c r="E201" i="1"/>
  <c r="D201" i="1"/>
  <c r="E199" i="1"/>
  <c r="D199" i="1"/>
  <c r="E198" i="1"/>
  <c r="D198" i="1"/>
  <c r="E196" i="1"/>
  <c r="D196" i="1"/>
  <c r="E195" i="1"/>
  <c r="D195" i="1"/>
  <c r="E194" i="1"/>
  <c r="D194" i="1"/>
  <c r="E193" i="1"/>
  <c r="D193" i="1"/>
  <c r="E192" i="1"/>
  <c r="D192" i="1"/>
  <c r="E191" i="1"/>
  <c r="D191" i="1"/>
  <c r="E190" i="1"/>
  <c r="D190" i="1"/>
  <c r="G185" i="1"/>
  <c r="G184" i="1"/>
  <c r="G183" i="1"/>
  <c r="E187" i="1"/>
  <c r="D187" i="1"/>
  <c r="E186" i="1"/>
  <c r="D186" i="1"/>
  <c r="E185" i="1"/>
  <c r="D185" i="1"/>
  <c r="E184" i="1"/>
  <c r="D184" i="1"/>
  <c r="E183" i="1"/>
  <c r="D183" i="1"/>
  <c r="E182" i="1"/>
  <c r="D182" i="1"/>
  <c r="C119" i="1" l="1"/>
  <c r="C124" i="1"/>
  <c r="I183" i="1"/>
  <c r="I186" i="1"/>
  <c r="F204" i="1" l="1"/>
  <c r="H204" i="1" s="1"/>
  <c r="F203" i="1"/>
  <c r="H203" i="1" s="1"/>
  <c r="F202" i="1"/>
  <c r="H202" i="1" s="1"/>
  <c r="F201" i="1"/>
  <c r="H201" i="1" s="1"/>
  <c r="F199" i="1"/>
  <c r="H199" i="1" s="1"/>
  <c r="F198" i="1"/>
  <c r="H198" i="1" s="1"/>
  <c r="F187" i="1"/>
  <c r="H187" i="1" s="1"/>
  <c r="F185" i="1"/>
  <c r="H185" i="1" s="1"/>
  <c r="F192" i="1"/>
  <c r="H192" i="1" s="1"/>
  <c r="F191" i="1"/>
  <c r="H191" i="1" s="1"/>
  <c r="F190" i="1"/>
  <c r="H190" i="1" s="1"/>
  <c r="F182" i="1"/>
  <c r="F196" i="1"/>
  <c r="H196" i="1" s="1"/>
  <c r="F195" i="1"/>
  <c r="H195" i="1" s="1"/>
  <c r="F194" i="1"/>
  <c r="H194" i="1" s="1"/>
  <c r="F193" i="1"/>
  <c r="H193" i="1" s="1"/>
  <c r="F186" i="1"/>
  <c r="H186" i="1" s="1"/>
  <c r="F184" i="1"/>
  <c r="H184" i="1" s="1"/>
  <c r="F183" i="1"/>
  <c r="H183" i="1" s="1"/>
  <c r="A183" i="1"/>
  <c r="A184" i="1" s="1"/>
  <c r="A185" i="1" s="1"/>
  <c r="A186" i="1" s="1"/>
  <c r="A187" i="1" s="1"/>
  <c r="A188" i="1" s="1"/>
  <c r="H182" i="1" l="1"/>
  <c r="G124" i="1" s="1"/>
  <c r="E124" i="1"/>
  <c r="F150" i="1"/>
  <c r="H150" i="1" s="1"/>
  <c r="F149" i="1"/>
  <c r="H149" i="1" s="1"/>
  <c r="F148" i="1"/>
  <c r="H148" i="1" s="1"/>
  <c r="F147" i="1"/>
  <c r="H147" i="1" s="1"/>
  <c r="F146" i="1"/>
  <c r="H146" i="1" s="1"/>
  <c r="A146" i="1"/>
  <c r="A147" i="1" s="1"/>
  <c r="A148" i="1" s="1"/>
  <c r="A149" i="1" s="1"/>
  <c r="A150" i="1" s="1"/>
  <c r="F145" i="1"/>
  <c r="H145" i="1" s="1"/>
  <c r="I143" i="1"/>
  <c r="I139" i="1"/>
  <c r="I140" i="1"/>
  <c r="F143" i="1"/>
  <c r="H143" i="1" s="1"/>
  <c r="F142" i="1"/>
  <c r="H142" i="1" s="1"/>
  <c r="F139" i="1"/>
  <c r="H139" i="1" s="1"/>
  <c r="F138" i="1"/>
  <c r="A139" i="1"/>
  <c r="A140" i="1" s="1"/>
  <c r="A141" i="1" s="1"/>
  <c r="A142" i="1" s="1"/>
  <c r="A143" i="1" s="1"/>
  <c r="F141" i="1"/>
  <c r="H141" i="1" s="1"/>
  <c r="F140" i="1"/>
  <c r="H140" i="1" s="1"/>
  <c r="C89" i="1"/>
  <c r="H138" i="1" l="1"/>
  <c r="G119" i="1" s="1"/>
  <c r="E119" i="1"/>
  <c r="C75" i="1"/>
  <c r="D134" i="1" l="1"/>
  <c r="C118" i="1" s="1"/>
  <c r="C120" i="1" s="1"/>
  <c r="E134" i="1"/>
  <c r="D176" i="1"/>
  <c r="D168" i="1"/>
  <c r="G159" i="1"/>
  <c r="G158" i="1"/>
  <c r="G157" i="1"/>
  <c r="E179" i="1"/>
  <c r="D179" i="1"/>
  <c r="E178" i="1"/>
  <c r="D178" i="1"/>
  <c r="E177" i="1"/>
  <c r="D177" i="1"/>
  <c r="E176" i="1"/>
  <c r="E174" i="1"/>
  <c r="D174" i="1"/>
  <c r="E173" i="1"/>
  <c r="D173" i="1"/>
  <c r="E171" i="1"/>
  <c r="D171" i="1"/>
  <c r="E170" i="1"/>
  <c r="D170" i="1"/>
  <c r="E169" i="1"/>
  <c r="D169" i="1"/>
  <c r="E168" i="1"/>
  <c r="E167" i="1"/>
  <c r="D167" i="1"/>
  <c r="E166" i="1"/>
  <c r="D166" i="1"/>
  <c r="E165" i="1"/>
  <c r="D165" i="1"/>
  <c r="E162" i="1"/>
  <c r="D162" i="1"/>
  <c r="E161" i="1"/>
  <c r="D161" i="1"/>
  <c r="E160" i="1"/>
  <c r="D160" i="1"/>
  <c r="E159" i="1"/>
  <c r="D159" i="1"/>
  <c r="E158" i="1"/>
  <c r="D158" i="1"/>
  <c r="E157" i="1"/>
  <c r="D157" i="1"/>
  <c r="J153" i="1"/>
  <c r="J163" i="1"/>
  <c r="J157" i="1"/>
  <c r="C123" i="1" l="1"/>
  <c r="C125" i="1" s="1"/>
  <c r="C126" i="1" s="1"/>
  <c r="F179" i="1"/>
  <c r="H179" i="1" s="1"/>
  <c r="F178" i="1"/>
  <c r="H178" i="1" s="1"/>
  <c r="F177" i="1"/>
  <c r="H177" i="1" s="1"/>
  <c r="F176" i="1"/>
  <c r="H176" i="1" s="1"/>
  <c r="F174" i="1"/>
  <c r="H174" i="1" s="1"/>
  <c r="F173" i="1"/>
  <c r="H173" i="1" s="1"/>
  <c r="F167" i="1"/>
  <c r="H167" i="1" s="1"/>
  <c r="F166" i="1"/>
  <c r="H166" i="1" s="1"/>
  <c r="F170" i="1"/>
  <c r="H170" i="1" s="1"/>
  <c r="F169" i="1"/>
  <c r="H169" i="1" s="1"/>
  <c r="F168" i="1"/>
  <c r="H168" i="1" s="1"/>
  <c r="F165" i="1"/>
  <c r="H165" i="1" s="1"/>
  <c r="I168" i="1"/>
  <c r="F160" i="1"/>
  <c r="H160" i="1" s="1"/>
  <c r="F157" i="1"/>
  <c r="I158" i="1"/>
  <c r="I157" i="1"/>
  <c r="F159" i="1"/>
  <c r="H159" i="1" s="1"/>
  <c r="A158" i="1"/>
  <c r="A159" i="1" s="1"/>
  <c r="A160" i="1" s="1"/>
  <c r="A161" i="1" s="1"/>
  <c r="A162" i="1" s="1"/>
  <c r="A163" i="1" s="1"/>
  <c r="H157" i="1" l="1"/>
  <c r="F158" i="1"/>
  <c r="H158" i="1" s="1"/>
  <c r="F171" i="1"/>
  <c r="H171" i="1" s="1"/>
  <c r="F162" i="1"/>
  <c r="H162" i="1" s="1"/>
  <c r="F161" i="1"/>
  <c r="H161" i="1" s="1"/>
  <c r="I134" i="1"/>
  <c r="G123" i="1" l="1"/>
  <c r="G125" i="1" s="1"/>
  <c r="E123" i="1"/>
  <c r="E125"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L42" i="7"/>
  <c r="K42" i="7" s="1"/>
  <c r="E42" i="7"/>
  <c r="D42" i="7"/>
  <c r="D44" i="7" s="1"/>
  <c r="E44" i="7"/>
  <c r="E32" i="1" l="1"/>
  <c r="B236" i="1" l="1"/>
  <c r="F134" i="1" l="1"/>
  <c r="E118" i="1" s="1"/>
  <c r="E120" i="1" s="1"/>
  <c r="E126" i="1" s="1"/>
  <c r="H134" i="1" l="1"/>
  <c r="G118" i="1" s="1"/>
  <c r="G120" i="1" s="1"/>
  <c r="G126" i="1" s="1"/>
  <c r="G59" i="1"/>
  <c r="C59" i="1"/>
  <c r="G57" i="1"/>
  <c r="C57" i="1"/>
  <c r="C55" i="1"/>
  <c r="S34" i="1" l="1"/>
  <c r="F11" i="5" l="1"/>
  <c r="G11" i="5" s="1"/>
  <c r="F10" i="5"/>
  <c r="G10" i="5" s="1"/>
  <c r="F9" i="5"/>
  <c r="G9" i="5" s="1"/>
  <c r="F8" i="5"/>
  <c r="G8" i="5" s="1"/>
  <c r="F7" i="5"/>
  <c r="G7" i="5" s="1"/>
  <c r="F6" i="5"/>
  <c r="G6" i="5" s="1"/>
  <c r="F5" i="5"/>
  <c r="G5" i="5" s="1"/>
  <c r="G12" i="5" s="1"/>
  <c r="D260" i="1"/>
  <c r="B237" i="1"/>
  <c r="F233" i="1"/>
  <c r="H233" i="1" s="1"/>
  <c r="F232" i="1"/>
  <c r="H232" i="1" s="1"/>
  <c r="F231" i="1"/>
  <c r="H231" i="1" s="1"/>
  <c r="F230" i="1"/>
  <c r="H230" i="1" s="1"/>
  <c r="F229" i="1"/>
  <c r="H229" i="1" s="1"/>
  <c r="F227" i="1"/>
  <c r="H227" i="1" s="1"/>
  <c r="F226" i="1"/>
  <c r="H226" i="1" s="1"/>
  <c r="F225" i="1"/>
  <c r="H225" i="1" s="1"/>
  <c r="F224" i="1"/>
  <c r="H224" i="1" s="1"/>
  <c r="F223" i="1"/>
  <c r="H223" i="1" s="1"/>
  <c r="F221" i="1"/>
  <c r="H221" i="1" s="1"/>
  <c r="F220" i="1"/>
  <c r="H220" i="1" s="1"/>
  <c r="F219" i="1"/>
  <c r="H219" i="1" s="1"/>
  <c r="F218" i="1"/>
  <c r="H218" i="1" s="1"/>
  <c r="F217" i="1"/>
  <c r="H217" i="1" s="1"/>
  <c r="F215" i="1"/>
  <c r="H215" i="1" s="1"/>
  <c r="F214" i="1"/>
  <c r="H214" i="1" s="1"/>
  <c r="F213" i="1"/>
  <c r="H213" i="1" s="1"/>
  <c r="F212" i="1"/>
  <c r="H212" i="1" s="1"/>
  <c r="F211" i="1"/>
  <c r="H211" i="1" s="1"/>
  <c r="A211" i="1"/>
  <c r="A212" i="1" s="1"/>
  <c r="A213" i="1" s="1"/>
  <c r="A214" i="1" s="1"/>
  <c r="A215" i="1" s="1"/>
  <c r="F209" i="1"/>
  <c r="H209" i="1" s="1"/>
  <c r="F208" i="1"/>
  <c r="H208" i="1" s="1"/>
  <c r="F207" i="1"/>
  <c r="H207" i="1" s="1"/>
  <c r="A207" i="1"/>
  <c r="A208" i="1" s="1"/>
  <c r="A209" i="1" s="1"/>
  <c r="F206" i="1"/>
  <c r="H206" i="1" s="1"/>
  <c r="F115" i="1"/>
  <c r="D69" i="1"/>
  <c r="D63" i="1"/>
  <c r="G52" i="1"/>
  <c r="G53" i="1" s="1"/>
  <c r="C52" i="1"/>
  <c r="C53" i="1" s="1"/>
  <c r="E29" i="1"/>
  <c r="E27" i="1"/>
  <c r="C17" i="1"/>
  <c r="I16" i="1"/>
  <c r="Z14" i="1"/>
  <c r="E8" i="1"/>
  <c r="E3" i="1"/>
  <c r="A217" i="1"/>
  <c r="A229" i="1"/>
  <c r="H76" i="1"/>
  <c r="A223" i="1"/>
  <c r="H90" i="1"/>
  <c r="J75" i="1" l="1"/>
  <c r="J77" i="1" s="1"/>
  <c r="J78" i="1"/>
  <c r="J79" i="1"/>
  <c r="J80" i="1"/>
  <c r="C79" i="1" s="1"/>
  <c r="J94" i="1"/>
  <c r="D98" i="1"/>
  <c r="D100" i="1"/>
  <c r="J93" i="1"/>
  <c r="D99" i="1"/>
  <c r="J89" i="1"/>
  <c r="J91" i="1" s="1"/>
  <c r="D97" i="1"/>
  <c r="J92" i="1"/>
  <c r="D96" i="1"/>
  <c r="D102" i="1"/>
  <c r="D101" i="1"/>
  <c r="D95" i="1"/>
  <c r="D83" i="1"/>
  <c r="D85" i="1"/>
  <c r="D84" i="1"/>
  <c r="D88" i="1"/>
  <c r="D82" i="1"/>
  <c r="D87" i="1"/>
  <c r="D81" i="1"/>
  <c r="D86" i="1"/>
  <c r="B90" i="1"/>
  <c r="B76" i="1"/>
  <c r="J81" i="1" s="1"/>
  <c r="A230" i="1"/>
  <c r="A218" i="1"/>
  <c r="A224" i="1"/>
  <c r="C93" i="1" l="1"/>
  <c r="D93" i="1" s="1"/>
  <c r="D79" i="1"/>
  <c r="J100" i="1"/>
  <c r="J97" i="1"/>
  <c r="J99" i="1"/>
  <c r="J98" i="1"/>
  <c r="J95" i="1"/>
  <c r="J96" i="1" s="1"/>
  <c r="J85" i="1"/>
  <c r="J83" i="1"/>
  <c r="J84" i="1"/>
  <c r="J82" i="1"/>
  <c r="J87" i="1" s="1"/>
  <c r="J88" i="1" s="1"/>
  <c r="C80" i="1" s="1"/>
  <c r="J86" i="1"/>
  <c r="A231" i="1"/>
  <c r="A219" i="1"/>
  <c r="A225" i="1"/>
  <c r="J76" i="1" l="1"/>
  <c r="J101" i="1"/>
  <c r="J102" i="1" s="1"/>
  <c r="E79" i="1"/>
  <c r="D80" i="1"/>
  <c r="I76" i="1" s="1"/>
  <c r="G79" i="1"/>
  <c r="D73" i="1" s="1"/>
  <c r="A226" i="1"/>
  <c r="A220" i="1"/>
  <c r="A232" i="1"/>
  <c r="C94" i="1" l="1"/>
  <c r="F74" i="1"/>
  <c r="D74" i="1"/>
  <c r="I77" i="1"/>
  <c r="I75" i="1" s="1"/>
  <c r="C77" i="1" s="1"/>
  <c r="A227" i="1"/>
  <c r="A233" i="1"/>
  <c r="A221" i="1"/>
  <c r="E93" i="1" l="1"/>
  <c r="D94" i="1"/>
  <c r="I90" i="1" s="1"/>
  <c r="I91" i="1" s="1"/>
  <c r="G93" i="1"/>
  <c r="J90" i="1"/>
  <c r="I89" i="1" l="1"/>
  <c r="C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3"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<sst xmlns="http://schemas.openxmlformats.org/spreadsheetml/2006/main" count="695" uniqueCount="396">
  <si>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</si>
  <si>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</si>
  <si>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</si>
  <si>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</si>
  <si>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</si>
  <si>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</si>
  <si>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</si>
  <si>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</si>
  <si>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</si>
  <si>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</si>
  <si>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</si>
  <si>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</si>
  <si>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</si>
  <si>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</si>
  <si>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</si>
  <si>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</si>
  <si>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</si>
  <si>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</si>
  <si>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</si>
  <si>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</si>
  <si>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</si>
  <si>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</si>
  <si>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</si>
  <si>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</si>
  <si>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</si>
  <si>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</si>
  <si>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</si>
  <si>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</si>
  <si>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</si>
  <si>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</si>
  <si>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</si>
  <si>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</si>
  <si>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</si>
  <si>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</si>
  <si>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</si>
  <si>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</si>
  <si>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</si>
  <si>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</si>
  <si>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</si>
  <si>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</si>
  <si>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</si>
  <si>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</si>
  <si>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</si>
  <si>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</si>
  <si>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</si>
  <si>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</si>
  <si>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</si>
  <si>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</si>
  <si>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</si>
  <si>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</si>
  <si>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</si>
  <si>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</si>
  <si>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</si>
  <si>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</si>
  <si>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</si>
  <si>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</si>
  <si>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</si>
  <si>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</si>
  <si>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</si>
  <si>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</si>
  <si>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</si>
  <si>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</si>
  <si>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</si>
  <si>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</si>
  <si>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</si>
  <si>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</si>
  <si>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</si>
  <si>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</si>
  <si>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</si>
  <si>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</si>
  <si>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</si>
  <si>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</si>
  <si>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</si>
  <si>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</si>
  <si>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</si>
  <si>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</si>
  <si>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</si>
  <si>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</si>
  <si>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</si>
  <si>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</si>
  <si>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</si>
  <si>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</si>
  <si>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</si>
  <si>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</si>
  <si>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</si>
  <si>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</si>
  <si>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</si>
  <si>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</si>
  <si>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</si>
  <si>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</si>
  <si>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</si>
  <si>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</si>
  <si>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</si>
  <si>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</si>
  <si>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</si>
  <si>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</si>
  <si>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</si>
  <si>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</si>
  <si>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</si>
  <si>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</si>
  <si>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</si>
  <si>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</si>
  <si>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</si>
  <si>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</si>
  <si>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</si>
  <si>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</si>
  <si>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</si>
  <si>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</si>
  <si>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</si>
  <si>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</si>
  <si>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</si>
  <si>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</si>
  <si>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</si>
  <si>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</si>
  <si>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</si>
  <si>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</si>
  <si>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</si>
  <si>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</si>
  <si>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</si>
  <si>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</si>
  <si>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</si>
  <si>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</si>
  <si>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</si>
  <si>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</si>
  <si>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</si>
  <si>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</si>
  <si>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</si>
  <si>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</si>
  <si>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</si>
  <si>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</si>
  <si>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</si>
  <si>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</si>
  <si>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</si>
  <si>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</si>
  <si>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</si>
  <si>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</si>
  <si>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</si>
  <si>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</si>
  <si>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</si>
  <si>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</si>
  <si>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</si>
  <si>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</si>
  <si>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</si>
  <si>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</si>
  <si>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</si>
  <si>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</si>
  <si>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</si>
  <si>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</si>
  <si>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</si>
  <si>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</si>
  <si>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</si>
  <si>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</si>
  <si>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</si>
  <si>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</si>
  <si>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</si>
  <si>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</si>
  <si>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</si>
  <si>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</si>
  <si>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</si>
  <si>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</si>
  <si>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</si>
  <si>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</si>
  <si>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</si>
  <si>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</si>
  <si>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</si>
  <si>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</si>
  <si>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</si>
  <si>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</si>
  <si>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</si>
  <si>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</si>
  <si>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</si>
  <si>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</si>
  <si>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</si>
  <si>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</si>
  <si>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</si>
  <si>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</si>
  <si>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</si>
  <si>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</si>
  <si>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</si>
  <si>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</si>
  <si>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</si>
  <si>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</si>
  <si>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</si>
  <si>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</si>
  <si>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</si>
  <si>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</si>
  <si>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</si>
  <si>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</si>
  <si>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</si>
  <si>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</si>
  <si>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</si>
  <si>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</si>
  <si>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</si>
  <si>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</si>
  <si>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</si>
  <si>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</si>
  <si>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</si>
  <si>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</si>
  <si>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</si>
  <si>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</si>
  <si>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</si>
  <si>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</si>
  <si>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</si>
  <si>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</si>
  <si>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</si>
  <si>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</si>
  <si>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</si>
  <si>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</si>
  <si>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</si>
  <si>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</si>
  <si>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</si>
  <si>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</si>
  <si>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</si>
  <si>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</si>
  <si>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</si>
  <si>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</si>
  <si>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</si>
  <si>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</si>
  <si>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</si>
  <si>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</si>
  <si>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</si>
  <si>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</si>
  <si>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</si>
  <si>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</si>
  <si>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</si>
  <si>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</si>
  <si>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</si>
  <si>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</si>
  <si>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</si>
  <si>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</si>
  <si>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</si>
  <si>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</si>
  <si>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</si>
  <si>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</si>
  <si>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</si>
  <si>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</si>
  <si>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</si>
  <si>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</si>
  <si>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</si>
  <si>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</si>
  <si>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</si>
  <si>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</si>
  <si>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</si>
  <si>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</si>
  <si>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</si>
  <si>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</si>
  <si>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</si>
  <si>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</si>
  <si>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</si>
  <si>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</si>
  <si>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</si>
  <si>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</si>
  <si>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</si>
  <si>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</si>
  <si>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</si>
  <si>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</si>
  <si>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</si>
  <si>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</si>
  <si>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</si>
  <si>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</si>
  <si>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</si>
  <si>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</si>
  <si>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</si>
  <si>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</si>
  <si>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</si>
  <si>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</si>
  <si>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</si>
  <si>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</si>
  <si>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</si>
  <si>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</si>
  <si>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</si>
  <si>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</si>
  <si>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</si>
  <si>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</si>
  <si>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</si>
  <si>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</si>
  <si>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</si>
  <si>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</si>
  <si>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</si>
  <si>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</si>
  <si>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</si>
  <si>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</si>
  <si>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</si>
  <si>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</si>
  <si>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</si>
  <si>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</si>
  <si>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</si>
  <si>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</si>
  <si>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</si>
  <si>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</si>
  <si>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</si>
  <si>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</si>
  <si>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</si>
  <si>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</si>
  <si>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</si>
  <si>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</si>
  <si>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</si>
  <si>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</si>
  <si>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</si>
  <si>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</si>
  <si>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</si>
  <si>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</si>
  <si>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</si>
  <si>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</si>
  <si>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</si>
  <si>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</si>
  <si>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</si>
  <si>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</si>
  <si>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</si>
  <si>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</si>
  <si>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</si>
  <si>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</si>
  <si>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</si>
  <si>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</si>
  <si>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</si>
  <si>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</si>
  <si>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</si>
  <si>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</si>
  <si>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</si>
  <si>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</si>
  <si>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</si>
  <si>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</si>
  <si>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</si>
  <si>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</si>
  <si>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</si>
  <si>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</si>
  <si>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</si>
  <si>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</si>
  <si>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</si>
  <si>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</si>
  <si>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</si>
  <si>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</si>
  <si>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Techton Lifespaces LLP
</t>
  </si>
  <si>
    <t>Survey No</t>
  </si>
  <si>
    <t>Gohkiware</t>
  </si>
  <si>
    <t>Other Plot</t>
  </si>
  <si>
    <t>30 M W Road</t>
  </si>
  <si>
    <t>18 M W Road</t>
  </si>
  <si>
    <t>Veer Savarkar Road</t>
  </si>
  <si>
    <t>Imperial Splendora</t>
  </si>
  <si>
    <t>4.8 KM from Vasai Railway Station</t>
  </si>
  <si>
    <t>Vasai East</t>
  </si>
  <si>
    <t>Agarwal Exotica</t>
  </si>
  <si>
    <t>Under Construction Building</t>
  </si>
  <si>
    <t>https://maps.app.goo.gl/cKrHt49KdVaRfcaU9</t>
  </si>
  <si>
    <t>O Wing = G + 1st to 23rd Floor</t>
  </si>
  <si>
    <t>As per RERA - 31/12/2027</t>
  </si>
  <si>
    <t>Swimming Pool, Temple, Mini Theater, Fitness Center, Indoor Games, Turf Park, Jogging Track, etc.</t>
  </si>
  <si>
    <t>http://www.akhand-vasai-east.com/</t>
  </si>
  <si>
    <t>Vasai East Salt Plant</t>
  </si>
  <si>
    <t>Ground Floor For Commercial, Meter Room &amp; Lobby</t>
  </si>
  <si>
    <t>Shop Duplex With 1st Floor</t>
  </si>
  <si>
    <t>1st Podium Floor For Shop Duplex With Ground Floor</t>
  </si>
  <si>
    <t>1BHK</t>
  </si>
  <si>
    <t>2BHK</t>
  </si>
  <si>
    <t>2nd Floor For Residential &amp; Lobby</t>
  </si>
  <si>
    <t>Lobby</t>
  </si>
  <si>
    <t>RERA Carpet area</t>
  </si>
  <si>
    <t>3rd to 7th, 9th to 12th, 14th to 18th, 20th to 23rd Floor For Residential</t>
  </si>
  <si>
    <t>8th, 13th &amp; 19th Floor (Part Refuge Area)</t>
  </si>
  <si>
    <t>Refuge Area</t>
  </si>
  <si>
    <t>We considered Gross carpet area = Net carpet + Enclose balcony + AP Area + Balcony Area</t>
  </si>
  <si>
    <t xml:space="preserve">Please check for Fire Noc.
</t>
  </si>
  <si>
    <t xml:space="preserve">High Tension lines are passing near by project Akhanda Complex. </t>
  </si>
  <si>
    <t>Attached Otla area</t>
  </si>
  <si>
    <t>Wing O</t>
  </si>
  <si>
    <t>Building No. 8</t>
  </si>
  <si>
    <t>Approved Plans, CC.</t>
  </si>
  <si>
    <t xml:space="preserve">P Wing = G + 1st to 23rd Floor
</t>
  </si>
  <si>
    <t>Wing P</t>
  </si>
  <si>
    <t>Shop</t>
  </si>
  <si>
    <t>1st Floor For Commercial &amp; Lobby</t>
  </si>
  <si>
    <t>Commercial Area Details : Shops</t>
  </si>
  <si>
    <t>Residential Area Details : Flats</t>
  </si>
  <si>
    <t>19.3935304,72.8484209</t>
  </si>
  <si>
    <t>Wing O (Ira)</t>
  </si>
  <si>
    <t>Wing P (Ora)</t>
  </si>
  <si>
    <t>Name of the Project as per RERA</t>
  </si>
  <si>
    <t>Not Provided</t>
  </si>
  <si>
    <t>275/1, 276/1, 277/1 &amp; 277/2 &amp; Sector No. I</t>
  </si>
  <si>
    <r>
      <t xml:space="preserve">Proposed Amenities :                                                                                                                                                                                                                         </t>
    </r>
    <r>
      <rPr>
        <b/>
        <sz val="12"/>
        <rFont val="Times New Roman"/>
        <family val="1"/>
      </rPr>
      <t xml:space="preserve">                                               </t>
    </r>
  </si>
  <si>
    <r>
      <t xml:space="preserve">Shop No.
</t>
    </r>
    <r>
      <rPr>
        <b/>
        <sz val="11"/>
        <rFont val="Times New Roman"/>
        <family val="1"/>
      </rPr>
      <t>(Approved Plan)</t>
    </r>
  </si>
  <si>
    <t>VVCMC/TP/AMEND/VP/0329, 0815 &amp;
0509/678/2022-23</t>
  </si>
  <si>
    <t>Mrs. Ankita 8657524172</t>
  </si>
  <si>
    <t>Ira Forming Part Of The Complex Akhand
Ora Forming Part Of The Complex Akhand</t>
  </si>
  <si>
    <t>(Building No.8)  Ira = Wing O, Ora = Wing P</t>
  </si>
  <si>
    <t>02 Wings</t>
  </si>
  <si>
    <t>O &amp; P Wing = G + 1st to 23rd Floor</t>
  </si>
  <si>
    <t>Flats - 300, Shops - 13</t>
  </si>
  <si>
    <t>Akhand (Wing O &amp; P)</t>
  </si>
  <si>
    <t>Wing O &amp; P = G + 1st to 23rd Floor</t>
  </si>
  <si>
    <t>Please check full land parcel approved layout plan for Area Statement Details from your end.</t>
  </si>
  <si>
    <t>Construction work is in process at the time of Visit. Internal visit was not allowed.</t>
  </si>
  <si>
    <t>Wing O = P99000053393
Wing P = P99000054800</t>
  </si>
  <si>
    <t>Pranita Mhatre</t>
  </si>
  <si>
    <t>Navnath Bhatkar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</si>
</sst>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4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8"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8"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3"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1" applyNumberFormat="1" applyFont="1" applyBorder="1" applyAlignment="1" applyProtection="1">
      <alignment horizontal="center" vertical="center" wrapText="1"/>
      <protection locked="0"/>
    </xf>
    <xf numFmtId="1" fontId="17" fillId="0" borderId="21" xfId="1" applyNumberFormat="1" applyFont="1" applyBorder="1" applyAlignment="1" applyProtection="1">
      <alignment horizontal="center" vertical="center" wrapText="1"/>
      <protection locked="0"/>
    </xf>
    <xf numFmtId="1" fontId="17"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692119</xdr:colOff>
      <xdr:row>301</xdr:row>
      <xdr:rowOff>38100</xdr:rowOff>
    </xdr:from>
    <xdr:to>
      <xdr:col>6</xdr:col>
      <xdr:colOff>358744</xdr:colOff>
      <xdr:row>319</xdr:row>
      <xdr:rowOff>104775</xdr:rowOff>
    </xdr:to>
    <xdr:grpSp>
      <xdr:nvGrpSpPr>
        <xdr:cNvPr id="33" name="Group 32">
          <a:extLst>
            <a:ext uri="{FF2B5EF4-FFF2-40B4-BE49-F238E27FC236}">
              <a16:creationId xmlns:a16="http://schemas.microsoft.com/office/drawing/2014/main" id="{00000000-0008-0000-0000-000021000000}"/>
            </a:ext>
          </a:extLst>
        </xdr:cNvPr>
        <xdr:cNvGrpSpPr/>
      </xdr:nvGrpSpPr>
      <xdr:grpSpPr>
        <a:xfrm>
          <a:off x="1476979" y="55839360"/>
          <a:ext cx="3857625" cy="3632835"/>
          <a:chOff x="1454119" y="42795825"/>
          <a:chExt cx="3752850" cy="3667125"/>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1454119" y="42795825"/>
            <a:ext cx="3752850" cy="3667125"/>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rot="2257841">
            <a:off x="2276044" y="44505436"/>
            <a:ext cx="574424" cy="71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762250" y="449580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O</a:t>
            </a:r>
            <a:endParaRPr lang="en-IN" sz="1600" b="1">
              <a:solidFill>
                <a:srgbClr val="FF0000"/>
              </a:solidFill>
            </a:endParaRPr>
          </a:p>
        </xdr:txBody>
      </xdr:sp>
    </xdr:grpSp>
    <xdr:clientData/>
  </xdr:twoCellAnchor>
  <xdr:twoCellAnchor>
    <xdr:from>
      <xdr:col>1</xdr:col>
      <xdr:colOff>321945</xdr:colOff>
      <xdr:row>363</xdr:row>
      <xdr:rowOff>60960</xdr:rowOff>
    </xdr:from>
    <xdr:to>
      <xdr:col>6</xdr:col>
      <xdr:colOff>739140</xdr:colOff>
      <xdr:row>383</xdr:row>
      <xdr:rowOff>0</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1106805" y="68145660"/>
          <a:ext cx="4608195" cy="3901440"/>
          <a:chOff x="876300" y="55721250"/>
          <a:chExt cx="4724400" cy="422910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
          <a:stretch>
            <a:fillRect/>
          </a:stretch>
        </xdr:blipFill>
        <xdr:spPr>
          <a:xfrm>
            <a:off x="876300" y="55721250"/>
            <a:ext cx="4724400" cy="4229100"/>
          </a:xfrm>
          <a:prstGeom prst="rect">
            <a:avLst/>
          </a:prstGeom>
          <a:ln>
            <a:solidFill>
              <a:schemeClr val="tx1"/>
            </a:solidFill>
          </a:ln>
        </xdr:spPr>
      </xdr:pic>
      <xdr:sp macro="" textlink="">
        <xdr:nvSpPr>
          <xdr:cNvPr id="34" name="Rectangle 33">
            <a:extLst>
              <a:ext uri="{FF2B5EF4-FFF2-40B4-BE49-F238E27FC236}">
                <a16:creationId xmlns:a16="http://schemas.microsoft.com/office/drawing/2014/main" id="{00000000-0008-0000-0000-000022000000}"/>
              </a:ext>
            </a:extLst>
          </xdr:cNvPr>
          <xdr:cNvSpPr/>
        </xdr:nvSpPr>
        <xdr:spPr>
          <a:xfrm rot="2257841">
            <a:off x="2654770" y="57000791"/>
            <a:ext cx="653439" cy="176749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819400" y="58454925"/>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O</a:t>
            </a:r>
            <a:endParaRPr lang="en-IN" sz="1600" b="1">
              <a:solidFill>
                <a:srgbClr val="FFFF00"/>
              </a:solidFill>
            </a:endParaRPr>
          </a:p>
        </xdr:txBody>
      </xdr:sp>
    </xdr:grpSp>
    <xdr:clientData/>
  </xdr:twoCellAnchor>
  <xdr:twoCellAnchor editAs="oneCell">
    <xdr:from>
      <xdr:col>1</xdr:col>
      <xdr:colOff>400051</xdr:colOff>
      <xdr:row>343</xdr:row>
      <xdr:rowOff>0</xdr:rowOff>
    </xdr:from>
    <xdr:to>
      <xdr:col>6</xdr:col>
      <xdr:colOff>617855</xdr:colOff>
      <xdr:row>362</xdr:row>
      <xdr:rowOff>159524</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a:stretch>
          <a:fillRect/>
        </a:stretch>
      </xdr:blipFill>
      <xdr:spPr>
        <a:xfrm>
          <a:off x="1162051" y="51558825"/>
          <a:ext cx="4304029" cy="3960000"/>
        </a:xfrm>
        <a:prstGeom prst="rect">
          <a:avLst/>
        </a:prstGeom>
        <a:ln>
          <a:solidFill>
            <a:schemeClr val="tx1"/>
          </a:solidFill>
        </a:ln>
      </xdr:spPr>
    </xdr:pic>
    <xdr:clientData/>
  </xdr:twoCellAnchor>
  <xdr:twoCellAnchor>
    <xdr:from>
      <xdr:col>1</xdr:col>
      <xdr:colOff>704850</xdr:colOff>
      <xdr:row>301</xdr:row>
      <xdr:rowOff>57150</xdr:rowOff>
    </xdr:from>
    <xdr:to>
      <xdr:col>4</xdr:col>
      <xdr:colOff>200025</xdr:colOff>
      <xdr:row>314</xdr:row>
      <xdr:rowOff>104775</xdr:rowOff>
    </xdr:to>
    <xdr:cxnSp macro="">
      <xdr:nvCxnSpPr>
        <xdr:cNvPr id="43" name="Straight Connector 42">
          <a:extLst>
            <a:ext uri="{FF2B5EF4-FFF2-40B4-BE49-F238E27FC236}">
              <a16:creationId xmlns:a16="http://schemas.microsoft.com/office/drawing/2014/main" id="{00000000-0008-0000-0000-00002B000000}"/>
            </a:ext>
          </a:extLst>
        </xdr:cNvPr>
        <xdr:cNvCxnSpPr/>
      </xdr:nvCxnSpPr>
      <xdr:spPr>
        <a:xfrm flipH="1">
          <a:off x="1466850" y="43014900"/>
          <a:ext cx="2057400" cy="26479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301</xdr:row>
      <xdr:rowOff>57150</xdr:rowOff>
    </xdr:from>
    <xdr:to>
      <xdr:col>4</xdr:col>
      <xdr:colOff>158719</xdr:colOff>
      <xdr:row>313</xdr:row>
      <xdr:rowOff>142875</xdr:rowOff>
    </xdr:to>
    <xdr:cxnSp macro="">
      <xdr:nvCxnSpPr>
        <xdr:cNvPr id="46" name="Straight Connector 45">
          <a:extLst>
            <a:ext uri="{FF2B5EF4-FFF2-40B4-BE49-F238E27FC236}">
              <a16:creationId xmlns:a16="http://schemas.microsoft.com/office/drawing/2014/main" id="{00000000-0008-0000-0000-00002E000000}"/>
            </a:ext>
          </a:extLst>
        </xdr:cNvPr>
        <xdr:cNvCxnSpPr/>
      </xdr:nvCxnSpPr>
      <xdr:spPr>
        <a:xfrm flipH="1">
          <a:off x="1524000" y="43014900"/>
          <a:ext cx="1958944" cy="248602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663542</xdr:colOff>
      <xdr:row>300</xdr:row>
      <xdr:rowOff>47624</xdr:rowOff>
    </xdr:from>
    <xdr:to>
      <xdr:col>4</xdr:col>
      <xdr:colOff>111092</xdr:colOff>
      <xdr:row>307</xdr:row>
      <xdr:rowOff>190499</xdr:rowOff>
    </xdr:to>
    <xdr:sp macro="" textlink="">
      <xdr:nvSpPr>
        <xdr:cNvPr id="48" name="TextBox 47">
          <a:extLst>
            <a:ext uri="{FF2B5EF4-FFF2-40B4-BE49-F238E27FC236}">
              <a16:creationId xmlns:a16="http://schemas.microsoft.com/office/drawing/2014/main" id="{00000000-0008-0000-0000-000030000000}"/>
            </a:ext>
          </a:extLst>
        </xdr:cNvPr>
        <xdr:cNvSpPr txBox="1"/>
      </xdr:nvSpPr>
      <xdr:spPr>
        <a:xfrm rot="18590934">
          <a:off x="2482817" y="43395899"/>
          <a:ext cx="1543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High</a:t>
          </a:r>
          <a:r>
            <a:rPr lang="en-IN" sz="1400" b="0" baseline="0">
              <a:solidFill>
                <a:srgbClr val="FF0000"/>
              </a:solidFill>
            </a:rPr>
            <a:t> Tension line</a:t>
          </a:r>
          <a:endParaRPr lang="en-IN" sz="1400" b="0">
            <a:solidFill>
              <a:srgbClr val="FF0000"/>
            </a:solidFill>
          </a:endParaRPr>
        </a:p>
      </xdr:txBody>
    </xdr:sp>
    <xdr:clientData/>
  </xdr:twoCellAnchor>
  <xdr:twoCellAnchor>
    <xdr:from>
      <xdr:col>3</xdr:col>
      <xdr:colOff>733425</xdr:colOff>
      <xdr:row>304</xdr:row>
      <xdr:rowOff>28576</xdr:rowOff>
    </xdr:from>
    <xdr:to>
      <xdr:col>4</xdr:col>
      <xdr:colOff>393449</xdr:colOff>
      <xdr:row>307</xdr:row>
      <xdr:rowOff>159791</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rot="2257841">
          <a:off x="3143250" y="67113151"/>
          <a:ext cx="574424" cy="73129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279127</xdr:colOff>
      <xdr:row>307</xdr:row>
      <xdr:rowOff>18818</xdr:rowOff>
    </xdr:from>
    <xdr:to>
      <xdr:col>3</xdr:col>
      <xdr:colOff>853551</xdr:colOff>
      <xdr:row>310</xdr:row>
      <xdr:rowOff>97137</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rot="2257841">
          <a:off x="2688952" y="67703468"/>
          <a:ext cx="574424" cy="678394"/>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714375</xdr:colOff>
      <xdr:row>309</xdr:row>
      <xdr:rowOff>95250</xdr:rowOff>
    </xdr:from>
    <xdr:to>
      <xdr:col>4</xdr:col>
      <xdr:colOff>685800</xdr:colOff>
      <xdr:row>311</xdr:row>
      <xdr:rowOff>57150</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3124200" y="681799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2060"/>
              </a:solidFill>
            </a:rPr>
            <a:t>Wing</a:t>
          </a:r>
          <a:r>
            <a:rPr lang="en-IN" sz="1600" b="1" baseline="0">
              <a:solidFill>
                <a:srgbClr val="002060"/>
              </a:solidFill>
            </a:rPr>
            <a:t> P</a:t>
          </a:r>
          <a:endParaRPr lang="en-IN" sz="1600" b="1">
            <a:solidFill>
              <a:srgbClr val="002060"/>
            </a:solidFill>
          </a:endParaRPr>
        </a:p>
      </xdr:txBody>
    </xdr:sp>
    <xdr:clientData/>
  </xdr:twoCellAnchor>
  <xdr:twoCellAnchor>
    <xdr:from>
      <xdr:col>4</xdr:col>
      <xdr:colOff>238125</xdr:colOff>
      <xdr:row>306</xdr:row>
      <xdr:rowOff>161925</xdr:rowOff>
    </xdr:from>
    <xdr:to>
      <xdr:col>5</xdr:col>
      <xdr:colOff>342900</xdr:colOff>
      <xdr:row>308</xdr:row>
      <xdr:rowOff>123825</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3562350" y="676465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Q</a:t>
          </a:r>
          <a:endParaRPr lang="en-IN" sz="1600" b="1">
            <a:solidFill>
              <a:srgbClr val="FFFF00"/>
            </a:solidFill>
          </a:endParaRPr>
        </a:p>
      </xdr:txBody>
    </xdr:sp>
    <xdr:clientData/>
  </xdr:twoCellAnchor>
  <xdr:twoCellAnchor editAs="oneCell">
    <xdr:from>
      <xdr:col>0</xdr:col>
      <xdr:colOff>123825</xdr:colOff>
      <xdr:row>320</xdr:row>
      <xdr:rowOff>123825</xdr:rowOff>
    </xdr:from>
    <xdr:to>
      <xdr:col>7</xdr:col>
      <xdr:colOff>685800</xdr:colOff>
      <xdr:row>331</xdr:row>
      <xdr:rowOff>87090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
        <a:stretch>
          <a:fillRect/>
        </a:stretch>
      </xdr:blipFill>
      <xdr:spPr>
        <a:xfrm>
          <a:off x="123825" y="70408800"/>
          <a:ext cx="6143625" cy="2163540"/>
        </a:xfrm>
        <a:prstGeom prst="rect">
          <a:avLst/>
        </a:prstGeom>
        <a:ln>
          <a:solidFill>
            <a:schemeClr val="tx1"/>
          </a:solidFill>
        </a:ln>
      </xdr:spPr>
    </xdr:pic>
    <xdr:clientData/>
  </xdr:twoCellAnchor>
  <xdr:twoCellAnchor>
    <xdr:from>
      <xdr:col>1</xdr:col>
      <xdr:colOff>514350</xdr:colOff>
      <xdr:row>329</xdr:row>
      <xdr:rowOff>76200</xdr:rowOff>
    </xdr:from>
    <xdr:to>
      <xdr:col>2</xdr:col>
      <xdr:colOff>600075</xdr:colOff>
      <xdr:row>331</xdr:row>
      <xdr:rowOff>38100</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276350" y="721614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O</a:t>
          </a:r>
          <a:endParaRPr lang="en-IN" sz="1600" b="1">
            <a:solidFill>
              <a:srgbClr val="FF0000"/>
            </a:solidFill>
          </a:endParaRPr>
        </a:p>
      </xdr:txBody>
    </xdr:sp>
    <xdr:clientData/>
  </xdr:twoCellAnchor>
  <xdr:twoCellAnchor>
    <xdr:from>
      <xdr:col>6</xdr:col>
      <xdr:colOff>247650</xdr:colOff>
      <xdr:row>329</xdr:row>
      <xdr:rowOff>180975</xdr:rowOff>
    </xdr:from>
    <xdr:to>
      <xdr:col>7</xdr:col>
      <xdr:colOff>400050</xdr:colOff>
      <xdr:row>331</xdr:row>
      <xdr:rowOff>142875</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5095875" y="72266175"/>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Q</a:t>
          </a:r>
          <a:endParaRPr lang="en-IN" sz="1600" b="1">
            <a:solidFill>
              <a:srgbClr val="FF0000"/>
            </a:solidFill>
          </a:endParaRPr>
        </a:p>
      </xdr:txBody>
    </xdr:sp>
    <xdr:clientData/>
  </xdr:twoCellAnchor>
  <xdr:twoCellAnchor>
    <xdr:from>
      <xdr:col>3</xdr:col>
      <xdr:colOff>600075</xdr:colOff>
      <xdr:row>329</xdr:row>
      <xdr:rowOff>152400</xdr:rowOff>
    </xdr:from>
    <xdr:to>
      <xdr:col>4</xdr:col>
      <xdr:colOff>571500</xdr:colOff>
      <xdr:row>331</xdr:row>
      <xdr:rowOff>114300</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3009900" y="722376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P</a:t>
          </a:r>
          <a:endParaRPr lang="en-IN" sz="1600" b="1">
            <a:solidFill>
              <a:srgbClr val="FF0000"/>
            </a:solidFill>
          </a:endParaRPr>
        </a:p>
      </xdr:txBody>
    </xdr:sp>
    <xdr:clientData/>
  </xdr:twoCellAnchor>
  <xdr:twoCellAnchor>
    <xdr:from>
      <xdr:col>4</xdr:col>
      <xdr:colOff>314325</xdr:colOff>
      <xdr:row>372</xdr:row>
      <xdr:rowOff>180975</xdr:rowOff>
    </xdr:from>
    <xdr:to>
      <xdr:col>5</xdr:col>
      <xdr:colOff>419100</xdr:colOff>
      <xdr:row>374</xdr:row>
      <xdr:rowOff>142875</xdr:rowOff>
    </xdr:to>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3638550" y="812673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Q</a:t>
          </a:r>
          <a:endParaRPr lang="en-IN" sz="1600" b="1">
            <a:solidFill>
              <a:srgbClr val="FFFF00"/>
            </a:solidFill>
          </a:endParaRPr>
        </a:p>
      </xdr:txBody>
    </xdr:sp>
    <xdr:clientData/>
  </xdr:twoCellAnchor>
  <xdr:twoCellAnchor>
    <xdr:from>
      <xdr:col>4</xdr:col>
      <xdr:colOff>9525</xdr:colOff>
      <xdr:row>374</xdr:row>
      <xdr:rowOff>142875</xdr:rowOff>
    </xdr:from>
    <xdr:to>
      <xdr:col>5</xdr:col>
      <xdr:colOff>114300</xdr:colOff>
      <xdr:row>376</xdr:row>
      <xdr:rowOff>104775</xdr:rowOff>
    </xdr:to>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3333750" y="816292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P</a:t>
          </a:r>
          <a:endParaRPr lang="en-IN" sz="1600" b="1">
            <a:solidFill>
              <a:srgbClr val="FFFF00"/>
            </a:solidFill>
          </a:endParaRPr>
        </a:p>
      </xdr:txBody>
    </xdr:sp>
    <xdr:clientData/>
  </xdr:twoCellAnchor>
  <xdr:twoCellAnchor>
    <xdr:from>
      <xdr:col>8</xdr:col>
      <xdr:colOff>247650</xdr:colOff>
      <xdr:row>253</xdr:row>
      <xdr:rowOff>352425</xdr:rowOff>
    </xdr:from>
    <xdr:to>
      <xdr:col>9</xdr:col>
      <xdr:colOff>628650</xdr:colOff>
      <xdr:row>255</xdr:row>
      <xdr:rowOff>137732</xdr:rowOff>
    </xdr:to>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6705600" y="58597800"/>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Q</a:t>
          </a:r>
          <a:r>
            <a:rPr lang="en-IN" sz="1400" b="0" baseline="0">
              <a:solidFill>
                <a:srgbClr val="FF0000"/>
              </a:solidFill>
            </a:rPr>
            <a:t> Wing (Isa)</a:t>
          </a:r>
          <a:endParaRPr lang="en-IN" sz="1400" b="0">
            <a:solidFill>
              <a:srgbClr val="FF0000"/>
            </a:solidFill>
          </a:endParaRPr>
        </a:p>
      </xdr:txBody>
    </xdr:sp>
    <xdr:clientData/>
  </xdr:twoCellAnchor>
  <xdr:twoCellAnchor>
    <xdr:from>
      <xdr:col>8</xdr:col>
      <xdr:colOff>904876</xdr:colOff>
      <xdr:row>259</xdr:row>
      <xdr:rowOff>47625</xdr:rowOff>
    </xdr:from>
    <xdr:to>
      <xdr:col>15</xdr:col>
      <xdr:colOff>270511</xdr:colOff>
      <xdr:row>298</xdr:row>
      <xdr:rowOff>145338</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7534276" y="47535465"/>
          <a:ext cx="5530215" cy="7816773"/>
          <a:chOff x="342900" y="60512324"/>
          <a:chExt cx="5381625" cy="7889163"/>
        </a:xfrm>
      </xdr:grpSpPr>
      <xdr:grpSp>
        <xdr:nvGrpSpPr>
          <xdr:cNvPr id="64" name="Group 63">
            <a:extLst>
              <a:ext uri="{FF2B5EF4-FFF2-40B4-BE49-F238E27FC236}">
                <a16:creationId xmlns:a16="http://schemas.microsoft.com/office/drawing/2014/main" id="{00000000-0008-0000-0000-000040000000}"/>
              </a:ext>
            </a:extLst>
          </xdr:cNvPr>
          <xdr:cNvGrpSpPr/>
        </xdr:nvGrpSpPr>
        <xdr:grpSpPr>
          <a:xfrm>
            <a:off x="352425" y="60512324"/>
            <a:ext cx="5372100" cy="7889163"/>
            <a:chOff x="352425" y="60512324"/>
            <a:chExt cx="5372100" cy="7889163"/>
          </a:xfrm>
        </xdr:grpSpPr>
        <xdr:pic>
          <xdr:nvPicPr>
            <xdr:cNvPr id="68" name="Picture 67" descr="https://vsjcllp.vsjadon.com/upload/insp-235743-1525.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038475" y="66636899"/>
              <a:ext cx="1322063" cy="17645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5743-86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619250" y="66636899"/>
              <a:ext cx="1322063" cy="17645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35743-871.jpg">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829050" y="64027049"/>
              <a:ext cx="1895475" cy="25299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35743-883.jpg">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2425" y="64031812"/>
              <a:ext cx="3370122" cy="25299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72" name="Group 71">
              <a:extLst>
                <a:ext uri="{FF2B5EF4-FFF2-40B4-BE49-F238E27FC236}">
                  <a16:creationId xmlns:a16="http://schemas.microsoft.com/office/drawing/2014/main" id="{00000000-0008-0000-0000-000048000000}"/>
                </a:ext>
              </a:extLst>
            </xdr:cNvPr>
            <xdr:cNvGrpSpPr/>
          </xdr:nvGrpSpPr>
          <xdr:grpSpPr>
            <a:xfrm>
              <a:off x="438149" y="60512324"/>
              <a:ext cx="2576468" cy="3438872"/>
              <a:chOff x="438149" y="60512324"/>
              <a:chExt cx="2576468" cy="3438872"/>
            </a:xfrm>
          </xdr:grpSpPr>
          <xdr:pic>
            <xdr:nvPicPr>
              <xdr:cNvPr id="117" name="Picture 116" descr="https://vsjcllp.vsjadon.com/upload/insp-235743-851.jpg">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38149" y="60512324"/>
                <a:ext cx="2576468" cy="34388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657349" y="60709386"/>
                <a:ext cx="125730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O</a:t>
                </a:r>
                <a:r>
                  <a:rPr lang="en-IN" sz="1400" b="1" baseline="0">
                    <a:solidFill>
                      <a:sysClr val="windowText" lastClr="000000"/>
                    </a:solidFill>
                  </a:rPr>
                  <a:t> Wing (Ira)</a:t>
                </a:r>
                <a:endParaRPr lang="en-IN" sz="1400" b="1">
                  <a:solidFill>
                    <a:sysClr val="windowText" lastClr="000000"/>
                  </a:solidFill>
                </a:endParaRPr>
              </a:p>
            </xdr:txBody>
          </xdr:sp>
        </xdr:grpSp>
        <xdr:grpSp>
          <xdr:nvGrpSpPr>
            <xdr:cNvPr id="73" name="Group 72">
              <a:extLst>
                <a:ext uri="{FF2B5EF4-FFF2-40B4-BE49-F238E27FC236}">
                  <a16:creationId xmlns:a16="http://schemas.microsoft.com/office/drawing/2014/main" id="{00000000-0008-0000-0000-000049000000}"/>
                </a:ext>
              </a:extLst>
            </xdr:cNvPr>
            <xdr:cNvGrpSpPr/>
          </xdr:nvGrpSpPr>
          <xdr:grpSpPr>
            <a:xfrm>
              <a:off x="3105148" y="60512324"/>
              <a:ext cx="2576468" cy="3438872"/>
              <a:chOff x="3105148" y="60512324"/>
              <a:chExt cx="2576468" cy="3438872"/>
            </a:xfrm>
          </xdr:grpSpPr>
          <xdr:pic>
            <xdr:nvPicPr>
              <xdr:cNvPr id="115" name="Picture 114" descr="https://vsjcllp.vsjadon.com/upload/insp-235743-845.jpg">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105148" y="60512324"/>
                <a:ext cx="2576468" cy="34388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3264964" y="60822910"/>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P</a:t>
                </a:r>
                <a:r>
                  <a:rPr lang="en-IN" sz="1400" b="1" baseline="0">
                    <a:solidFill>
                      <a:sysClr val="windowText" lastClr="000000"/>
                    </a:solidFill>
                  </a:rPr>
                  <a:t> Wing (Ora)</a:t>
                </a:r>
                <a:endParaRPr lang="en-IN" sz="1400" b="1">
                  <a:solidFill>
                    <a:sysClr val="windowText" lastClr="000000"/>
                  </a:solidFill>
                </a:endParaRPr>
              </a:p>
            </xdr:txBody>
          </xdr:sp>
        </xdr:grpSp>
      </xdr:grpSp>
      <xdr:cxnSp macro="">
        <xdr:nvCxnSpPr>
          <xdr:cNvPr id="65" name="Straight Connector 64">
            <a:extLst>
              <a:ext uri="{FF2B5EF4-FFF2-40B4-BE49-F238E27FC236}">
                <a16:creationId xmlns:a16="http://schemas.microsoft.com/office/drawing/2014/main" id="{00000000-0008-0000-0000-000041000000}"/>
              </a:ext>
            </a:extLst>
          </xdr:cNvPr>
          <xdr:cNvCxnSpPr/>
        </xdr:nvCxnSpPr>
        <xdr:spPr>
          <a:xfrm flipH="1" flipV="1">
            <a:off x="342900" y="64427099"/>
            <a:ext cx="3362325" cy="28575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a:extLst>
              <a:ext uri="{FF2B5EF4-FFF2-40B4-BE49-F238E27FC236}">
                <a16:creationId xmlns:a16="http://schemas.microsoft.com/office/drawing/2014/main" id="{00000000-0008-0000-0000-000042000000}"/>
              </a:ext>
            </a:extLst>
          </xdr:cNvPr>
          <xdr:cNvCxnSpPr/>
        </xdr:nvCxnSpPr>
        <xdr:spPr>
          <a:xfrm flipH="1" flipV="1">
            <a:off x="371475" y="64208024"/>
            <a:ext cx="3343275" cy="21907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TextBox 66">
            <a:extLst>
              <a:ext uri="{FF2B5EF4-FFF2-40B4-BE49-F238E27FC236}">
                <a16:creationId xmlns:a16="http://schemas.microsoft.com/office/drawing/2014/main" id="{00000000-0008-0000-0000-000043000000}"/>
              </a:ext>
            </a:extLst>
          </xdr:cNvPr>
          <xdr:cNvSpPr txBox="1"/>
        </xdr:nvSpPr>
        <xdr:spPr>
          <a:xfrm rot="212021">
            <a:off x="971551" y="64255649"/>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High</a:t>
            </a:r>
            <a:r>
              <a:rPr lang="en-IN" sz="1400" b="0" baseline="0">
                <a:solidFill>
                  <a:srgbClr val="FF0000"/>
                </a:solidFill>
              </a:rPr>
              <a:t> Tension line</a:t>
            </a:r>
            <a:endParaRPr lang="en-IN" sz="1400" b="0">
              <a:solidFill>
                <a:srgbClr val="FF0000"/>
              </a:solidFill>
            </a:endParaRPr>
          </a:p>
        </xdr:txBody>
      </xdr:sp>
    </xdr:grpSp>
    <xdr:clientData/>
  </xdr:twoCellAnchor>
  <xdr:twoCellAnchor>
    <xdr:from>
      <xdr:col>0</xdr:col>
      <xdr:colOff>259081</xdr:colOff>
      <xdr:row>260</xdr:row>
      <xdr:rowOff>114301</xdr:rowOff>
    </xdr:from>
    <xdr:to>
      <xdr:col>7</xdr:col>
      <xdr:colOff>642732</xdr:colOff>
      <xdr:row>296</xdr:row>
      <xdr:rowOff>26505</xdr:rowOff>
    </xdr:to>
    <xdr:grpSp>
      <xdr:nvGrpSpPr>
        <xdr:cNvPr id="14" name="Group 13">
          <a:extLst>
            <a:ext uri="{FF2B5EF4-FFF2-40B4-BE49-F238E27FC236}">
              <a16:creationId xmlns:a16="http://schemas.microsoft.com/office/drawing/2014/main" id="{486E55AE-A321-8E61-A2CE-7954E68C345E}"/>
            </a:ext>
          </a:extLst>
        </xdr:cNvPr>
        <xdr:cNvGrpSpPr/>
      </xdr:nvGrpSpPr>
      <xdr:grpSpPr>
        <a:xfrm>
          <a:off x="259081" y="47800261"/>
          <a:ext cx="6113891" cy="7036904"/>
          <a:chOff x="259080" y="47987778"/>
          <a:chExt cx="6501847" cy="7394049"/>
        </a:xfrm>
      </xdr:grpSpPr>
      <xdr:grpSp>
        <xdr:nvGrpSpPr>
          <xdr:cNvPr id="12" name="Group 11">
            <a:extLst>
              <a:ext uri="{FF2B5EF4-FFF2-40B4-BE49-F238E27FC236}">
                <a16:creationId xmlns:a16="http://schemas.microsoft.com/office/drawing/2014/main" id="{4F6B81E0-A731-3603-61B5-C56EC0AA6FCF}"/>
              </a:ext>
            </a:extLst>
          </xdr:cNvPr>
          <xdr:cNvGrpSpPr/>
        </xdr:nvGrpSpPr>
        <xdr:grpSpPr>
          <a:xfrm>
            <a:off x="259080" y="47987778"/>
            <a:ext cx="6501847" cy="7394049"/>
            <a:chOff x="182880" y="47815500"/>
            <a:chExt cx="6505194" cy="7368538"/>
          </a:xfrm>
        </xdr:grpSpPr>
        <xdr:grpSp>
          <xdr:nvGrpSpPr>
            <xdr:cNvPr id="2" name="Group 1">
              <a:extLst>
                <a:ext uri="{FF2B5EF4-FFF2-40B4-BE49-F238E27FC236}">
                  <a16:creationId xmlns:a16="http://schemas.microsoft.com/office/drawing/2014/main" id="{C06B5585-E104-40AC-688C-F0F1599C7A2E}"/>
                </a:ext>
              </a:extLst>
            </xdr:cNvPr>
            <xdr:cNvGrpSpPr/>
          </xdr:nvGrpSpPr>
          <xdr:grpSpPr>
            <a:xfrm>
              <a:off x="182880" y="47823120"/>
              <a:ext cx="6505194" cy="7360918"/>
              <a:chOff x="592486" y="197833"/>
              <a:chExt cx="5870437" cy="5479433"/>
            </a:xfrm>
          </xdr:grpSpPr>
          <xdr:pic>
            <xdr:nvPicPr>
              <xdr:cNvPr id="3" name="Picture 2">
                <a:extLst>
                  <a:ext uri="{FF2B5EF4-FFF2-40B4-BE49-F238E27FC236}">
                    <a16:creationId xmlns:a16="http://schemas.microsoft.com/office/drawing/2014/main" id="{D040AF53-248E-2033-5DA4-4AAF770D1E6E}"/>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5769"/>
              <a:stretch>
                <a:fillRect/>
              </a:stretch>
            </xdr:blipFill>
            <xdr:spPr bwMode="auto">
              <a:xfrm>
                <a:off x="5127284" y="3894764"/>
                <a:ext cx="1335639"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1946BB74-CB85-0710-4930-6B39D3CC8B1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52378" y="197833"/>
                <a:ext cx="2653716" cy="3541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92B715F7-5214-6C68-8507-C224E0C4F4C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92486" y="3889093"/>
                <a:ext cx="1335639"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54EE2C39-8CB3-30D8-859E-A530DA8004D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570594" y="197833"/>
                <a:ext cx="2653716" cy="3541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744B7373-94A4-FFBA-5814-57EFABFBAAD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94700" y="3894764"/>
                <a:ext cx="1335639"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9" name="TextBox 8">
              <a:extLst>
                <a:ext uri="{FF2B5EF4-FFF2-40B4-BE49-F238E27FC236}">
                  <a16:creationId xmlns:a16="http://schemas.microsoft.com/office/drawing/2014/main" id="{722E6120-127C-4A46-A336-F7D8F302D125}"/>
                </a:ext>
              </a:extLst>
            </xdr:cNvPr>
            <xdr:cNvSpPr txBox="1"/>
          </xdr:nvSpPr>
          <xdr:spPr>
            <a:xfrm>
              <a:off x="1965960" y="47815500"/>
              <a:ext cx="1292015" cy="41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O</a:t>
              </a:r>
              <a:r>
                <a:rPr lang="en-IN" sz="1400" b="1" baseline="0">
                  <a:solidFill>
                    <a:sysClr val="windowText" lastClr="000000"/>
                  </a:solidFill>
                </a:rPr>
                <a:t> Wing (Ira)</a:t>
              </a:r>
              <a:endParaRPr lang="en-IN" sz="1400" b="1">
                <a:solidFill>
                  <a:sysClr val="windowText" lastClr="000000"/>
                </a:solidFill>
              </a:endParaRPr>
            </a:p>
          </xdr:txBody>
        </xdr:sp>
        <xdr:sp macro="" textlink="">
          <xdr:nvSpPr>
            <xdr:cNvPr id="10" name="TextBox 9">
              <a:extLst>
                <a:ext uri="{FF2B5EF4-FFF2-40B4-BE49-F238E27FC236}">
                  <a16:creationId xmlns:a16="http://schemas.microsoft.com/office/drawing/2014/main" id="{EE15E04A-9871-45AF-A239-D07A612EC7F8}"/>
                </a:ext>
              </a:extLst>
            </xdr:cNvPr>
            <xdr:cNvSpPr txBox="1"/>
          </xdr:nvSpPr>
          <xdr:spPr>
            <a:xfrm rot="3395098">
              <a:off x="4518660" y="48630839"/>
              <a:ext cx="1585655" cy="41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P</a:t>
              </a:r>
              <a:r>
                <a:rPr lang="en-IN" sz="1400" b="1" baseline="0">
                  <a:solidFill>
                    <a:sysClr val="windowText" lastClr="000000"/>
                  </a:solidFill>
                </a:rPr>
                <a:t> Wing (Ora)</a:t>
              </a:r>
              <a:endParaRPr lang="en-IN" sz="1400" b="1">
                <a:solidFill>
                  <a:sysClr val="windowText" lastClr="000000"/>
                </a:solidFill>
              </a:endParaRPr>
            </a:p>
          </xdr:txBody>
        </xdr:sp>
      </xdr:grpSp>
      <xdr:pic>
        <xdr:nvPicPr>
          <xdr:cNvPr id="13" name="Picture 12">
            <a:extLst>
              <a:ext uri="{FF2B5EF4-FFF2-40B4-BE49-F238E27FC236}">
                <a16:creationId xmlns:a16="http://schemas.microsoft.com/office/drawing/2014/main" id="{149A4275-E390-71AB-E33A-D3AFBFDF645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24493" y="52973577"/>
            <a:ext cx="1790360" cy="24019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KrHt49KdVaRfca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43"/>
  <sheetViews>
    <sheetView tabSelected="1" view="pageBreakPreview" topLeftCell="A204" zoomScaleNormal="100" zoomScaleSheetLayoutView="100" zoomScalePageLayoutView="85" workbookViewId="0">
      <selection activeCell="J243" sqref="J243"/>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7" width="11" style="39" customWidth="1"/>
    <col min="8" max="8" width="13.109375"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66" t="s">
        <v>163</v>
      </c>
      <c r="B1" s="166"/>
      <c r="C1" s="166"/>
      <c r="D1" s="166"/>
      <c r="E1" s="166"/>
      <c r="F1" s="166"/>
      <c r="G1" s="166"/>
      <c r="H1" s="166"/>
    </row>
    <row r="2" spans="1:26" ht="16.5" customHeight="1" x14ac:dyDescent="0.3">
      <c r="A2" s="167" t="s">
        <v>0</v>
      </c>
      <c r="B2" s="167"/>
      <c r="C2" s="167"/>
      <c r="D2" s="167"/>
      <c r="E2" s="167"/>
      <c r="F2" s="167"/>
      <c r="G2" s="167"/>
      <c r="H2" s="167"/>
    </row>
    <row r="3" spans="1:26" x14ac:dyDescent="0.3">
      <c r="A3" s="168" t="s">
        <v>1</v>
      </c>
      <c r="B3" s="168"/>
      <c r="C3" s="168"/>
      <c r="D3" s="168"/>
      <c r="E3" s="168" t="str">
        <f ca="1">TEXT(TODAY(),"DD/MM/YYYY")</f>
        <v>20/08/2025</v>
      </c>
      <c r="F3" s="168"/>
      <c r="G3" s="168"/>
      <c r="H3" s="168"/>
      <c r="K3" s="54" t="s">
        <v>236</v>
      </c>
      <c r="L3" s="53" t="s">
        <v>234</v>
      </c>
      <c r="M3" s="53" t="s">
        <v>239</v>
      </c>
      <c r="N3" s="53" t="s">
        <v>237</v>
      </c>
      <c r="O3" s="53" t="s">
        <v>238</v>
      </c>
      <c r="P3" s="53" t="s">
        <v>240</v>
      </c>
    </row>
    <row r="4" spans="1:26" ht="15" customHeight="1" x14ac:dyDescent="0.3">
      <c r="A4" s="168" t="s">
        <v>233</v>
      </c>
      <c r="B4" s="168"/>
      <c r="C4" s="168"/>
      <c r="D4" s="168"/>
      <c r="E4" s="168" t="s">
        <v>234</v>
      </c>
      <c r="F4" s="168"/>
      <c r="G4" s="168"/>
      <c r="H4" s="168"/>
      <c r="K4" s="52" t="s">
        <v>235</v>
      </c>
      <c r="L4" s="53" t="s">
        <v>169</v>
      </c>
      <c r="M4" s="53" t="s">
        <v>244</v>
      </c>
      <c r="N4" s="53" t="s">
        <v>246</v>
      </c>
      <c r="O4" s="53" t="s">
        <v>248</v>
      </c>
      <c r="P4" s="53"/>
    </row>
    <row r="5" spans="1:26" ht="15" customHeight="1" x14ac:dyDescent="0.3">
      <c r="A5" s="168" t="s">
        <v>2</v>
      </c>
      <c r="B5" s="168"/>
      <c r="C5" s="168"/>
      <c r="D5" s="168"/>
      <c r="E5" s="168" t="s">
        <v>169</v>
      </c>
      <c r="F5" s="168"/>
      <c r="G5" s="168"/>
      <c r="H5" s="168"/>
      <c r="K5" s="52"/>
      <c r="L5" s="53" t="s">
        <v>241</v>
      </c>
      <c r="M5" s="53" t="s">
        <v>245</v>
      </c>
      <c r="N5" s="53" t="s">
        <v>247</v>
      </c>
      <c r="O5" s="53" t="s">
        <v>249</v>
      </c>
      <c r="P5" s="53"/>
    </row>
    <row r="6" spans="1:26" x14ac:dyDescent="0.3">
      <c r="A6" s="168" t="s">
        <v>3</v>
      </c>
      <c r="B6" s="168"/>
      <c r="C6" s="168"/>
      <c r="D6" s="168"/>
      <c r="E6" s="170">
        <v>45880</v>
      </c>
      <c r="F6" s="168"/>
      <c r="G6" s="168"/>
      <c r="H6" s="168"/>
      <c r="K6" s="52"/>
      <c r="L6" s="53" t="s">
        <v>242</v>
      </c>
      <c r="M6" s="53"/>
      <c r="N6" s="53"/>
      <c r="O6" s="53" t="s">
        <v>250</v>
      </c>
      <c r="P6" s="53"/>
    </row>
    <row r="7" spans="1:26" ht="16.5" customHeight="1" x14ac:dyDescent="0.3">
      <c r="A7" s="168" t="s">
        <v>4</v>
      </c>
      <c r="B7" s="168"/>
      <c r="C7" s="168"/>
      <c r="D7" s="168"/>
      <c r="E7" s="171" t="s">
        <v>332</v>
      </c>
      <c r="F7" s="168"/>
      <c r="G7" s="168"/>
      <c r="H7" s="168"/>
      <c r="K7" s="52"/>
      <c r="L7" s="53" t="s">
        <v>243</v>
      </c>
      <c r="M7" s="53"/>
      <c r="N7" s="53"/>
      <c r="O7" s="53" t="s">
        <v>250</v>
      </c>
      <c r="P7" s="53"/>
    </row>
    <row r="8" spans="1:26" ht="15" customHeight="1" x14ac:dyDescent="0.3">
      <c r="A8" s="168" t="s">
        <v>5</v>
      </c>
      <c r="B8" s="168"/>
      <c r="C8" s="168"/>
      <c r="D8" s="168"/>
      <c r="E8" s="168" t="str">
        <f>E7</f>
        <v xml:space="preserve">Techton Lifespaces LLP
</v>
      </c>
      <c r="F8" s="168"/>
      <c r="G8" s="168"/>
      <c r="H8" s="168"/>
      <c r="K8" s="52"/>
      <c r="L8" s="53"/>
      <c r="M8" s="53"/>
      <c r="N8" s="53"/>
      <c r="O8" s="53" t="s">
        <v>251</v>
      </c>
      <c r="P8" s="53"/>
    </row>
    <row r="9" spans="1:26" x14ac:dyDescent="0.3">
      <c r="A9" s="168" t="s">
        <v>6</v>
      </c>
      <c r="B9" s="168"/>
      <c r="C9" s="168"/>
      <c r="D9" s="168"/>
      <c r="E9" s="169" t="s">
        <v>389</v>
      </c>
      <c r="F9" s="135"/>
      <c r="G9" s="135"/>
      <c r="H9" s="135"/>
      <c r="K9" s="52"/>
      <c r="L9" s="53"/>
      <c r="M9" s="53"/>
      <c r="N9" s="53"/>
      <c r="O9" s="53" t="s">
        <v>252</v>
      </c>
      <c r="P9" s="53"/>
    </row>
    <row r="10" spans="1:26" ht="34.950000000000003" customHeight="1" x14ac:dyDescent="0.3">
      <c r="A10" s="168" t="s">
        <v>377</v>
      </c>
      <c r="B10" s="168"/>
      <c r="C10" s="168"/>
      <c r="D10" s="168"/>
      <c r="E10" s="169" t="s">
        <v>384</v>
      </c>
      <c r="F10" s="135"/>
      <c r="G10" s="135"/>
      <c r="H10" s="135"/>
      <c r="K10" s="52"/>
      <c r="L10" s="53"/>
      <c r="M10" s="53"/>
      <c r="N10" s="53"/>
      <c r="O10" s="53" t="s">
        <v>252</v>
      </c>
      <c r="P10" s="53"/>
    </row>
    <row r="11" spans="1:26" x14ac:dyDescent="0.3">
      <c r="A11" s="168" t="s">
        <v>166</v>
      </c>
      <c r="B11" s="168"/>
      <c r="C11" s="168"/>
      <c r="D11" s="168"/>
      <c r="E11" s="168">
        <v>9820085663</v>
      </c>
      <c r="F11" s="168"/>
      <c r="G11" s="168"/>
      <c r="H11" s="168"/>
      <c r="K11" s="52"/>
      <c r="L11" s="53"/>
      <c r="M11" s="53"/>
      <c r="N11" s="53"/>
      <c r="O11" s="53"/>
      <c r="P11" s="53"/>
    </row>
    <row r="12" spans="1:26" x14ac:dyDescent="0.3">
      <c r="A12" s="168" t="s">
        <v>167</v>
      </c>
      <c r="B12" s="168"/>
      <c r="C12" s="168"/>
      <c r="D12" s="168"/>
      <c r="E12" s="168" t="s">
        <v>383</v>
      </c>
      <c r="F12" s="168"/>
      <c r="G12" s="168"/>
      <c r="H12" s="168"/>
    </row>
    <row r="13" spans="1:26" x14ac:dyDescent="0.3">
      <c r="A13" s="168" t="s">
        <v>7</v>
      </c>
      <c r="B13" s="168"/>
      <c r="C13" s="168"/>
      <c r="D13" s="168"/>
      <c r="E13" s="171" t="s">
        <v>385</v>
      </c>
      <c r="F13" s="168"/>
      <c r="G13" s="168"/>
      <c r="H13" s="168"/>
    </row>
    <row r="14" spans="1:26" x14ac:dyDescent="0.3">
      <c r="A14" s="168" t="s">
        <v>170</v>
      </c>
      <c r="B14" s="168"/>
      <c r="C14" s="168"/>
      <c r="D14" s="168"/>
      <c r="E14" s="168" t="s">
        <v>28</v>
      </c>
      <c r="F14" s="168"/>
      <c r="G14" s="168"/>
      <c r="H14" s="168"/>
      <c r="S14" s="53" t="s">
        <v>178</v>
      </c>
      <c r="T14" s="53" t="s">
        <v>188</v>
      </c>
      <c r="U14" s="53" t="s">
        <v>171</v>
      </c>
      <c r="V14" s="53" t="s">
        <v>193</v>
      </c>
      <c r="W14" s="53" t="s">
        <v>211</v>
      </c>
      <c r="X14"/>
      <c r="Y14" t="s">
        <v>193</v>
      </c>
      <c r="Z14" t="e">
        <f ca="1">OFFSET($S$14,1,MATCH($G21,$S$14:$W$14,0)-1,15,1)</f>
        <v>#VALUE!</v>
      </c>
    </row>
    <row r="15" spans="1:26" x14ac:dyDescent="0.3">
      <c r="A15" s="108" t="s">
        <v>279</v>
      </c>
      <c r="B15" s="108"/>
      <c r="C15" s="108"/>
      <c r="D15" s="108"/>
      <c r="E15" s="171" t="s">
        <v>367</v>
      </c>
      <c r="F15" s="171"/>
      <c r="G15" s="171"/>
      <c r="H15" s="171"/>
      <c r="S15" s="53" t="s">
        <v>179</v>
      </c>
      <c r="T15" s="53" t="s">
        <v>186</v>
      </c>
      <c r="U15" s="53" t="s">
        <v>208</v>
      </c>
      <c r="V15" s="53" t="s">
        <v>194</v>
      </c>
      <c r="W15" s="53" t="s">
        <v>212</v>
      </c>
      <c r="X15"/>
      <c r="Y15"/>
      <c r="Z15"/>
    </row>
    <row r="16" spans="1:26" ht="33.6" customHeight="1" x14ac:dyDescent="0.3">
      <c r="A16" s="108" t="s">
        <v>8</v>
      </c>
      <c r="B16" s="108"/>
      <c r="C16" s="108"/>
      <c r="D16" s="108"/>
      <c r="E16" s="171" t="s">
        <v>393</v>
      </c>
      <c r="F16" s="168"/>
      <c r="G16" s="168"/>
      <c r="H16" s="168"/>
      <c r="I16" s="103" t="e">
        <f ca="1">OFFSET($D$5,1,MATCH($J14,$D$5:$H$5,0)-1,15,1)</f>
        <v>#N/A</v>
      </c>
      <c r="J16" s="104"/>
      <c r="K16" s="104"/>
      <c r="L16" s="104"/>
      <c r="M16" s="104"/>
      <c r="N16" s="104"/>
      <c r="O16" s="104"/>
      <c r="P16" s="104"/>
      <c r="S16" s="53" t="s">
        <v>180</v>
      </c>
      <c r="T16" s="53" t="s">
        <v>187</v>
      </c>
      <c r="U16" s="53" t="s">
        <v>209</v>
      </c>
      <c r="V16" s="53" t="s">
        <v>195</v>
      </c>
      <c r="W16" s="53" t="s">
        <v>225</v>
      </c>
      <c r="X16"/>
      <c r="Y16"/>
      <c r="Z16"/>
    </row>
    <row r="17" spans="1:26" ht="48.75" customHeight="1" x14ac:dyDescent="0.3">
      <c r="A17" s="114" t="s">
        <v>9</v>
      </c>
      <c r="B17" s="114"/>
      <c r="C17" s="114" t="str">
        <f>CONCATENATE((IF(OR(E9="",E9="NA"),"",E9)),", ",(IF(OR(A18="",A18="NA"),"",A18)),".",(IF(OR(C18="",C18="NA"),"",C18)),", near ",(IF(OR(C23="",C23="NA"),"",C23)),", ",(IF(OR(C20="",C20="NA"),"",C20)),", ",(IF(OR(C19="",C19="NA"),"",C19)),", ",(IF(OR(G20="",G20="NA"),"",G20)),", ",(IF(OR(C21="",C21="NA"),"",C21)),", ",(IF(OR(C22="",C22="NA"),"",C22)),", ",(IF(OR(G21="",G21="NA"),"",G21))," - ",(IF(OR(G22="",G22="NA"),"",G22)),".")</f>
        <v>Akhand (Wing O &amp; P), Survey No.275/1, 276/1, 277/1 &amp; 277/2 &amp; Sector No. I, near Imperial Splendora, Veer Savarkar Road, Vasai East Salt Plant, Gohkiware, Vasai East, Vasai, Palghar - 401208.</v>
      </c>
      <c r="D17" s="114"/>
      <c r="E17" s="114"/>
      <c r="F17" s="114"/>
      <c r="G17" s="114"/>
      <c r="H17" s="114"/>
      <c r="S17" s="53" t="s">
        <v>181</v>
      </c>
      <c r="T17" s="53" t="s">
        <v>189</v>
      </c>
      <c r="U17" s="53" t="s">
        <v>210</v>
      </c>
      <c r="V17" s="53" t="s">
        <v>196</v>
      </c>
      <c r="W17" s="53" t="s">
        <v>213</v>
      </c>
      <c r="X17"/>
      <c r="Y17"/>
      <c r="Z17"/>
    </row>
    <row r="18" spans="1:26" x14ac:dyDescent="0.3">
      <c r="A18" s="171" t="s">
        <v>333</v>
      </c>
      <c r="B18" s="171"/>
      <c r="C18" s="171" t="s">
        <v>379</v>
      </c>
      <c r="D18" s="171"/>
      <c r="E18" s="171"/>
      <c r="F18" s="171"/>
      <c r="G18" s="171"/>
      <c r="H18" s="171"/>
      <c r="S18" s="53" t="s">
        <v>182</v>
      </c>
      <c r="T18" s="53" t="s">
        <v>190</v>
      </c>
      <c r="U18" s="53" t="s">
        <v>171</v>
      </c>
      <c r="V18" s="53" t="s">
        <v>197</v>
      </c>
      <c r="W18" s="53" t="s">
        <v>214</v>
      </c>
      <c r="X18"/>
      <c r="Y18"/>
      <c r="Z18"/>
    </row>
    <row r="19" spans="1:26" ht="15.75" customHeight="1" x14ac:dyDescent="0.3">
      <c r="A19" s="171" t="s">
        <v>161</v>
      </c>
      <c r="B19" s="171"/>
      <c r="C19" s="171" t="s">
        <v>349</v>
      </c>
      <c r="D19" s="171"/>
      <c r="E19" s="171"/>
      <c r="F19" s="171"/>
      <c r="G19" s="171"/>
      <c r="H19" s="171"/>
      <c r="S19" s="53" t="s">
        <v>183</v>
      </c>
      <c r="T19" s="53" t="s">
        <v>188</v>
      </c>
      <c r="U19" s="53"/>
      <c r="V19" s="53" t="s">
        <v>198</v>
      </c>
      <c r="W19" s="53" t="s">
        <v>215</v>
      </c>
      <c r="X19"/>
      <c r="Y19"/>
      <c r="Z19"/>
    </row>
    <row r="20" spans="1:26" ht="15.75" customHeight="1" x14ac:dyDescent="0.3">
      <c r="A20" s="114" t="s">
        <v>10</v>
      </c>
      <c r="B20" s="114"/>
      <c r="C20" s="168" t="s">
        <v>338</v>
      </c>
      <c r="D20" s="168"/>
      <c r="E20" s="114" t="s">
        <v>69</v>
      </c>
      <c r="F20" s="114"/>
      <c r="G20" s="171" t="s">
        <v>334</v>
      </c>
      <c r="H20" s="171"/>
      <c r="S20" s="53" t="s">
        <v>184</v>
      </c>
      <c r="T20" s="53" t="s">
        <v>191</v>
      </c>
      <c r="U20" s="53"/>
      <c r="V20" s="53" t="s">
        <v>199</v>
      </c>
      <c r="W20" s="53" t="s">
        <v>216</v>
      </c>
      <c r="X20"/>
      <c r="Y20"/>
      <c r="Z20"/>
    </row>
    <row r="21" spans="1:26" x14ac:dyDescent="0.3">
      <c r="A21" s="108" t="s">
        <v>12</v>
      </c>
      <c r="B21" s="108"/>
      <c r="C21" s="171" t="s">
        <v>341</v>
      </c>
      <c r="D21" s="171"/>
      <c r="E21" s="114" t="s">
        <v>11</v>
      </c>
      <c r="F21" s="114"/>
      <c r="G21" s="175" t="s">
        <v>188</v>
      </c>
      <c r="H21" s="175"/>
      <c r="S21" s="53" t="s">
        <v>185</v>
      </c>
      <c r="T21" s="53" t="s">
        <v>192</v>
      </c>
      <c r="U21" s="53"/>
      <c r="V21" s="53" t="s">
        <v>200</v>
      </c>
      <c r="W21" s="53" t="s">
        <v>217</v>
      </c>
      <c r="X21"/>
      <c r="Y21"/>
      <c r="Z21"/>
    </row>
    <row r="22" spans="1:26" x14ac:dyDescent="0.3">
      <c r="A22" s="108" t="s">
        <v>70</v>
      </c>
      <c r="B22" s="108"/>
      <c r="C22" s="171" t="s">
        <v>189</v>
      </c>
      <c r="D22" s="171"/>
      <c r="E22" s="114" t="s">
        <v>13</v>
      </c>
      <c r="F22" s="114"/>
      <c r="G22" s="171">
        <v>401208</v>
      </c>
      <c r="H22" s="171"/>
      <c r="S22" s="53"/>
      <c r="T22" s="53"/>
      <c r="U22" s="53"/>
      <c r="V22" s="53" t="s">
        <v>201</v>
      </c>
      <c r="W22" s="53" t="s">
        <v>218</v>
      </c>
      <c r="X22"/>
      <c r="Y22"/>
      <c r="Z22"/>
    </row>
    <row r="23" spans="1:26" ht="32.25" customHeight="1" x14ac:dyDescent="0.3">
      <c r="A23" s="108" t="s">
        <v>118</v>
      </c>
      <c r="B23" s="108"/>
      <c r="C23" s="171" t="s">
        <v>339</v>
      </c>
      <c r="D23" s="171"/>
      <c r="E23" s="114" t="s">
        <v>14</v>
      </c>
      <c r="F23" s="114"/>
      <c r="G23" s="171" t="s">
        <v>340</v>
      </c>
      <c r="H23" s="171"/>
      <c r="S23" s="53"/>
      <c r="T23" s="53"/>
      <c r="U23" s="53"/>
      <c r="V23" s="53" t="s">
        <v>202</v>
      </c>
      <c r="W23" s="53" t="s">
        <v>219</v>
      </c>
      <c r="X23"/>
      <c r="Y23"/>
      <c r="Z23"/>
    </row>
    <row r="24" spans="1:26" ht="15" customHeight="1" x14ac:dyDescent="0.3">
      <c r="A24" s="114" t="s">
        <v>71</v>
      </c>
      <c r="B24" s="114"/>
      <c r="C24" s="114"/>
      <c r="D24" s="114"/>
      <c r="E24" s="168" t="s">
        <v>15</v>
      </c>
      <c r="F24" s="168"/>
      <c r="G24" s="168"/>
      <c r="H24" s="168"/>
      <c r="S24" s="53"/>
      <c r="T24" s="53"/>
      <c r="U24" s="53"/>
      <c r="V24" s="53" t="s">
        <v>203</v>
      </c>
      <c r="W24" s="53" t="s">
        <v>220</v>
      </c>
      <c r="X24"/>
      <c r="Y24"/>
      <c r="Z24"/>
    </row>
    <row r="25" spans="1:26" ht="18.75" customHeight="1" x14ac:dyDescent="0.3">
      <c r="A25" s="114"/>
      <c r="B25" s="114"/>
      <c r="C25" s="114"/>
      <c r="D25" s="114"/>
      <c r="E25" s="168"/>
      <c r="F25" s="168"/>
      <c r="G25" s="168"/>
      <c r="H25" s="168"/>
      <c r="S25" s="53"/>
      <c r="T25" s="53"/>
      <c r="U25" s="53"/>
      <c r="V25" s="53" t="s">
        <v>204</v>
      </c>
      <c r="W25" s="53" t="s">
        <v>221</v>
      </c>
      <c r="X25"/>
      <c r="Y25"/>
      <c r="Z25"/>
    </row>
    <row r="26" spans="1:26" ht="15" customHeight="1" x14ac:dyDescent="0.3">
      <c r="A26" s="114" t="s">
        <v>16</v>
      </c>
      <c r="B26" s="114"/>
      <c r="C26" s="114"/>
      <c r="D26" s="114"/>
      <c r="E26" s="171" t="s">
        <v>17</v>
      </c>
      <c r="F26" s="171"/>
      <c r="G26" s="171"/>
      <c r="H26" s="171"/>
      <c r="S26" s="53"/>
      <c r="T26" s="53"/>
      <c r="U26" s="53"/>
      <c r="V26" s="53" t="s">
        <v>205</v>
      </c>
      <c r="W26" s="53" t="s">
        <v>222</v>
      </c>
      <c r="X26"/>
      <c r="Y26"/>
      <c r="Z26"/>
    </row>
    <row r="27" spans="1:26" ht="15" customHeight="1" x14ac:dyDescent="0.3">
      <c r="A27" s="108" t="s">
        <v>18</v>
      </c>
      <c r="B27" s="108"/>
      <c r="C27" s="108"/>
      <c r="D27" s="108"/>
      <c r="E27" s="171" t="str">
        <f>IF(AND(G21="Mumbai"),"Upper Class","Middle Class")</f>
        <v>Middle Class</v>
      </c>
      <c r="F27" s="171"/>
      <c r="G27" s="171"/>
      <c r="H27" s="171"/>
      <c r="S27" s="53"/>
      <c r="T27" s="53"/>
      <c r="U27" s="53"/>
      <c r="V27" s="53" t="s">
        <v>206</v>
      </c>
      <c r="W27" s="53" t="s">
        <v>223</v>
      </c>
      <c r="X27"/>
      <c r="Y27"/>
      <c r="Z27"/>
    </row>
    <row r="28" spans="1:26" x14ac:dyDescent="0.3">
      <c r="A28" s="108" t="s">
        <v>19</v>
      </c>
      <c r="B28" s="108"/>
      <c r="C28" s="108"/>
      <c r="D28" s="108"/>
      <c r="E28" s="171" t="s">
        <v>20</v>
      </c>
      <c r="F28" s="171"/>
      <c r="G28" s="171"/>
      <c r="H28" s="171"/>
      <c r="S28" s="53"/>
      <c r="T28" s="53"/>
      <c r="U28" s="53"/>
      <c r="V28" s="53" t="s">
        <v>207</v>
      </c>
      <c r="W28" s="53" t="s">
        <v>224</v>
      </c>
      <c r="X28"/>
      <c r="Y28"/>
      <c r="Z28"/>
    </row>
    <row r="29" spans="1:26" ht="15.75" customHeight="1" x14ac:dyDescent="0.3">
      <c r="A29" s="108" t="s">
        <v>21</v>
      </c>
      <c r="B29" s="108"/>
      <c r="C29" s="108"/>
      <c r="D29" s="108"/>
      <c r="E29" s="171" t="str">
        <f>IF(AND(G21="Mumbai"),"Developed","Developing")</f>
        <v>Developing</v>
      </c>
      <c r="F29" s="171"/>
      <c r="G29" s="171"/>
      <c r="H29" s="171"/>
    </row>
    <row r="30" spans="1:26" x14ac:dyDescent="0.3">
      <c r="A30" s="108" t="s">
        <v>22</v>
      </c>
      <c r="B30" s="108"/>
      <c r="C30" s="108"/>
      <c r="D30" s="108"/>
      <c r="E30" s="171" t="s">
        <v>23</v>
      </c>
      <c r="F30" s="171"/>
      <c r="G30" s="171"/>
      <c r="H30" s="171"/>
    </row>
    <row r="31" spans="1:26" ht="15.75" customHeight="1" x14ac:dyDescent="0.3">
      <c r="A31" s="108" t="s">
        <v>76</v>
      </c>
      <c r="B31" s="108"/>
      <c r="C31" s="108"/>
      <c r="D31" s="108"/>
      <c r="E31" s="171" t="s">
        <v>77</v>
      </c>
      <c r="F31" s="171"/>
      <c r="G31" s="171"/>
      <c r="H31" s="171"/>
    </row>
    <row r="32" spans="1:26" ht="15" customHeight="1" x14ac:dyDescent="0.3">
      <c r="A32" s="108" t="s">
        <v>30</v>
      </c>
      <c r="B32" s="108"/>
      <c r="C32" s="108"/>
      <c r="D32" s="108"/>
      <c r="E32" s="171"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2" s="171"/>
      <c r="G32" s="171"/>
      <c r="H32" s="171"/>
    </row>
    <row r="33" spans="1:19" ht="15.75" customHeight="1" x14ac:dyDescent="0.3">
      <c r="A33" s="108" t="s">
        <v>88</v>
      </c>
      <c r="B33" s="108"/>
      <c r="C33" s="108"/>
      <c r="D33" s="108"/>
      <c r="E33" s="171" t="s">
        <v>31</v>
      </c>
      <c r="F33" s="171"/>
      <c r="G33" s="171"/>
      <c r="H33" s="171"/>
    </row>
    <row r="34" spans="1:19" s="21" customFormat="1" x14ac:dyDescent="0.3">
      <c r="A34" s="180" t="s">
        <v>89</v>
      </c>
      <c r="B34" s="180"/>
      <c r="C34" s="177" t="s">
        <v>172</v>
      </c>
      <c r="D34" s="178"/>
      <c r="E34" s="179"/>
      <c r="F34" s="177" t="s">
        <v>29</v>
      </c>
      <c r="G34" s="178"/>
      <c r="H34" s="179"/>
      <c r="S34" s="21" t="e">
        <f ca="1">OFFSET($S$14,1,MATCH($G21,$S$14:$W$14,0)-1,15,1)</f>
        <v>#VALUE!</v>
      </c>
    </row>
    <row r="35" spans="1:19" s="21" customFormat="1" x14ac:dyDescent="0.3">
      <c r="A35" s="176" t="s">
        <v>24</v>
      </c>
      <c r="B35" s="176" t="s">
        <v>28</v>
      </c>
      <c r="C35" s="172" t="s">
        <v>335</v>
      </c>
      <c r="D35" s="173"/>
      <c r="E35" s="174"/>
      <c r="F35" s="172" t="s">
        <v>343</v>
      </c>
      <c r="G35" s="173"/>
      <c r="H35" s="174"/>
    </row>
    <row r="36" spans="1:19" x14ac:dyDescent="0.3">
      <c r="A36" s="176" t="s">
        <v>25</v>
      </c>
      <c r="B36" s="176" t="s">
        <v>28</v>
      </c>
      <c r="C36" s="172" t="s">
        <v>336</v>
      </c>
      <c r="D36" s="173"/>
      <c r="E36" s="174"/>
      <c r="F36" s="172" t="s">
        <v>10</v>
      </c>
      <c r="G36" s="173"/>
      <c r="H36" s="174"/>
    </row>
    <row r="37" spans="1:19" s="21" customFormat="1" x14ac:dyDescent="0.3">
      <c r="A37" s="176" t="s">
        <v>27</v>
      </c>
      <c r="B37" s="176" t="s">
        <v>28</v>
      </c>
      <c r="C37" s="172" t="s">
        <v>335</v>
      </c>
      <c r="D37" s="173"/>
      <c r="E37" s="174"/>
      <c r="F37" s="172" t="s">
        <v>342</v>
      </c>
      <c r="G37" s="173"/>
      <c r="H37" s="174"/>
    </row>
    <row r="38" spans="1:19" x14ac:dyDescent="0.3">
      <c r="A38" s="176" t="s">
        <v>26</v>
      </c>
      <c r="B38" s="176" t="s">
        <v>28</v>
      </c>
      <c r="C38" s="172" t="s">
        <v>337</v>
      </c>
      <c r="D38" s="173"/>
      <c r="E38" s="174"/>
      <c r="F38" s="172" t="s">
        <v>10</v>
      </c>
      <c r="G38" s="173"/>
      <c r="H38" s="174"/>
    </row>
    <row r="39" spans="1:19" x14ac:dyDescent="0.3">
      <c r="A39" s="108" t="s">
        <v>280</v>
      </c>
      <c r="B39" s="108"/>
      <c r="C39" s="108"/>
      <c r="D39" s="108"/>
      <c r="E39" s="108"/>
      <c r="F39" s="108"/>
      <c r="G39" s="108"/>
      <c r="H39" s="108"/>
    </row>
    <row r="40" spans="1:19" ht="15.75" customHeight="1" x14ac:dyDescent="0.3">
      <c r="A40" s="108" t="s">
        <v>164</v>
      </c>
      <c r="B40" s="108"/>
      <c r="C40" s="156" t="s">
        <v>374</v>
      </c>
      <c r="D40" s="156"/>
      <c r="E40" s="156"/>
      <c r="F40" s="156"/>
      <c r="G40" s="156"/>
      <c r="H40" s="156"/>
    </row>
    <row r="41" spans="1:19" x14ac:dyDescent="0.3">
      <c r="A41" s="108" t="s">
        <v>160</v>
      </c>
      <c r="B41" s="108"/>
      <c r="C41" s="206" t="s">
        <v>344</v>
      </c>
      <c r="D41" s="171"/>
      <c r="E41" s="171"/>
      <c r="F41" s="171"/>
      <c r="G41" s="171"/>
      <c r="H41" s="171"/>
    </row>
    <row r="42" spans="1:19" x14ac:dyDescent="0.3">
      <c r="A42" s="156" t="s">
        <v>32</v>
      </c>
      <c r="B42" s="156"/>
      <c r="C42" s="156"/>
      <c r="D42" s="156"/>
      <c r="E42" s="156"/>
      <c r="F42" s="156"/>
      <c r="G42" s="156"/>
      <c r="H42" s="156"/>
    </row>
    <row r="43" spans="1:19" x14ac:dyDescent="0.3">
      <c r="A43" s="108" t="s">
        <v>33</v>
      </c>
      <c r="B43" s="108"/>
      <c r="C43" s="108"/>
      <c r="D43" s="108"/>
      <c r="E43" s="181" t="s">
        <v>378</v>
      </c>
      <c r="F43" s="181"/>
      <c r="G43" s="181"/>
      <c r="H43" s="181"/>
    </row>
    <row r="44" spans="1:19" x14ac:dyDescent="0.3">
      <c r="A44" s="108" t="s">
        <v>34</v>
      </c>
      <c r="B44" s="108"/>
      <c r="C44" s="108"/>
      <c r="D44" s="108"/>
      <c r="E44" s="116" t="s">
        <v>378</v>
      </c>
      <c r="F44" s="116"/>
      <c r="G44" s="116"/>
      <c r="H44" s="116"/>
    </row>
    <row r="45" spans="1:19" x14ac:dyDescent="0.3">
      <c r="A45" s="108" t="s">
        <v>35</v>
      </c>
      <c r="B45" s="108"/>
      <c r="C45" s="108"/>
      <c r="D45" s="108"/>
      <c r="E45" s="116" t="s">
        <v>378</v>
      </c>
      <c r="F45" s="116"/>
      <c r="G45" s="116"/>
      <c r="H45" s="116"/>
    </row>
    <row r="46" spans="1:19" x14ac:dyDescent="0.3">
      <c r="A46" s="108" t="s">
        <v>36</v>
      </c>
      <c r="B46" s="108"/>
      <c r="C46" s="108"/>
      <c r="D46" s="108"/>
      <c r="E46" s="116" t="s">
        <v>378</v>
      </c>
      <c r="F46" s="116"/>
      <c r="G46" s="116"/>
      <c r="H46" s="116"/>
    </row>
    <row r="47" spans="1:19" x14ac:dyDescent="0.3">
      <c r="A47" s="108" t="s">
        <v>87</v>
      </c>
      <c r="B47" s="108"/>
      <c r="C47" s="108"/>
      <c r="D47" s="108"/>
      <c r="E47" s="184" t="s">
        <v>378</v>
      </c>
      <c r="F47" s="184"/>
      <c r="G47" s="184"/>
      <c r="H47" s="184"/>
    </row>
    <row r="48" spans="1:19" x14ac:dyDescent="0.3">
      <c r="A48" s="168" t="s">
        <v>37</v>
      </c>
      <c r="B48" s="168"/>
      <c r="C48" s="168"/>
      <c r="D48" s="168"/>
      <c r="E48" s="168" t="s">
        <v>386</v>
      </c>
      <c r="F48" s="168"/>
      <c r="G48" s="168"/>
      <c r="H48" s="168"/>
    </row>
    <row r="49" spans="1:24" x14ac:dyDescent="0.3">
      <c r="A49" s="156" t="s">
        <v>38</v>
      </c>
      <c r="B49" s="156"/>
      <c r="C49" s="156"/>
      <c r="D49" s="156"/>
      <c r="E49" s="156"/>
      <c r="F49" s="156"/>
      <c r="G49" s="156"/>
      <c r="H49" s="156"/>
    </row>
    <row r="50" spans="1:24" ht="33.75" customHeight="1" x14ac:dyDescent="0.3">
      <c r="A50" s="94" t="s">
        <v>150</v>
      </c>
      <c r="B50" s="95"/>
      <c r="C50" s="194" t="s">
        <v>275</v>
      </c>
      <c r="D50" s="195"/>
      <c r="E50" s="195"/>
      <c r="F50" s="195"/>
      <c r="G50" s="195"/>
      <c r="H50" s="196"/>
      <c r="R50" t="s">
        <v>253</v>
      </c>
      <c r="S50" t="s">
        <v>171</v>
      </c>
      <c r="T50" t="s">
        <v>178</v>
      </c>
      <c r="U50" t="s">
        <v>193</v>
      </c>
      <c r="V50" t="s">
        <v>188</v>
      </c>
    </row>
    <row r="51" spans="1:24" ht="32.25" customHeight="1" x14ac:dyDescent="0.3">
      <c r="A51" s="94" t="s">
        <v>39</v>
      </c>
      <c r="B51" s="95"/>
      <c r="C51" s="94" t="s">
        <v>382</v>
      </c>
      <c r="D51" s="96"/>
      <c r="E51" s="95"/>
      <c r="F51" s="17" t="s">
        <v>40</v>
      </c>
      <c r="G51" s="97">
        <v>45016</v>
      </c>
      <c r="H51" s="95"/>
      <c r="R51"/>
      <c r="S51" t="s">
        <v>254</v>
      </c>
      <c r="T51" t="s">
        <v>259</v>
      </c>
      <c r="U51" t="s">
        <v>270</v>
      </c>
      <c r="V51" t="s">
        <v>275</v>
      </c>
    </row>
    <row r="52" spans="1:24" ht="32.25" customHeight="1" x14ac:dyDescent="0.3">
      <c r="A52" s="94" t="s">
        <v>41</v>
      </c>
      <c r="B52" s="95"/>
      <c r="C52" s="94" t="str">
        <f>C51</f>
        <v>VVCMC/TP/AMEND/VP/0329, 0815 &amp;
0509/678/2022-23</v>
      </c>
      <c r="D52" s="96"/>
      <c r="E52" s="95"/>
      <c r="F52" s="17" t="s">
        <v>40</v>
      </c>
      <c r="G52" s="97">
        <f>G51</f>
        <v>45016</v>
      </c>
      <c r="H52" s="98"/>
      <c r="R52"/>
      <c r="S52" t="s">
        <v>255</v>
      </c>
      <c r="T52" t="s">
        <v>260</v>
      </c>
      <c r="U52" t="s">
        <v>268</v>
      </c>
      <c r="V52" t="s">
        <v>276</v>
      </c>
    </row>
    <row r="53" spans="1:24" s="22" customFormat="1" ht="30" customHeight="1" x14ac:dyDescent="0.3">
      <c r="A53" s="99" t="s">
        <v>154</v>
      </c>
      <c r="B53" s="100"/>
      <c r="C53" s="94" t="str">
        <f>C52</f>
        <v>VVCMC/TP/AMEND/VP/0329, 0815 &amp;
0509/678/2022-23</v>
      </c>
      <c r="D53" s="96"/>
      <c r="E53" s="95"/>
      <c r="F53" s="17" t="s">
        <v>40</v>
      </c>
      <c r="G53" s="97">
        <f>G52</f>
        <v>45016</v>
      </c>
      <c r="H53" s="98"/>
      <c r="R53"/>
      <c r="S53" t="s">
        <v>256</v>
      </c>
      <c r="T53" t="s">
        <v>261</v>
      </c>
      <c r="U53" t="s">
        <v>258</v>
      </c>
      <c r="V53" t="s">
        <v>277</v>
      </c>
    </row>
    <row r="54" spans="1:24" s="22" customFormat="1" x14ac:dyDescent="0.3">
      <c r="A54" s="101"/>
      <c r="B54" s="102"/>
      <c r="C54" s="94" t="s">
        <v>390</v>
      </c>
      <c r="D54" s="96"/>
      <c r="E54" s="96"/>
      <c r="F54" s="96"/>
      <c r="G54" s="96"/>
      <c r="H54" s="95"/>
      <c r="R54"/>
      <c r="S54" t="s">
        <v>257</v>
      </c>
      <c r="T54" t="s">
        <v>264</v>
      </c>
      <c r="U54" t="s">
        <v>271</v>
      </c>
    </row>
    <row r="55" spans="1:24" s="22" customFormat="1" hidden="1" x14ac:dyDescent="0.3">
      <c r="A55" s="121" t="s">
        <v>281</v>
      </c>
      <c r="B55" s="122"/>
      <c r="C55" s="94" t="str">
        <f>C54</f>
        <v>Wing O &amp; P = G + 1st to 23rd Floor</v>
      </c>
      <c r="D55" s="96"/>
      <c r="E55" s="95"/>
      <c r="F55" s="17" t="s">
        <v>40</v>
      </c>
      <c r="G55" s="94"/>
      <c r="H55" s="95"/>
      <c r="R55"/>
      <c r="S55" t="s">
        <v>256</v>
      </c>
      <c r="T55" t="s">
        <v>261</v>
      </c>
      <c r="U55" t="s">
        <v>258</v>
      </c>
      <c r="V55" t="s">
        <v>277</v>
      </c>
    </row>
    <row r="56" spans="1:24" s="22" customFormat="1" ht="32.25" hidden="1" customHeight="1" x14ac:dyDescent="0.3">
      <c r="A56" s="123"/>
      <c r="B56" s="124"/>
      <c r="C56" s="211"/>
      <c r="D56" s="212"/>
      <c r="E56" s="212"/>
      <c r="F56" s="212"/>
      <c r="G56" s="212"/>
      <c r="H56" s="213"/>
      <c r="R56"/>
      <c r="S56" t="s">
        <v>258</v>
      </c>
      <c r="T56" t="s">
        <v>262</v>
      </c>
      <c r="U56" t="s">
        <v>272</v>
      </c>
      <c r="V56" s="20"/>
      <c r="W56" s="20"/>
      <c r="X56" s="20"/>
    </row>
    <row r="57" spans="1:24" s="22" customFormat="1" ht="34.5" hidden="1" customHeight="1" x14ac:dyDescent="0.3">
      <c r="A57" s="121" t="s">
        <v>282</v>
      </c>
      <c r="B57" s="122"/>
      <c r="C57" s="94">
        <f>C56</f>
        <v>0</v>
      </c>
      <c r="D57" s="96"/>
      <c r="E57" s="95"/>
      <c r="F57" s="17" t="s">
        <v>40</v>
      </c>
      <c r="G57" s="94">
        <f>G56</f>
        <v>0</v>
      </c>
      <c r="H57" s="95"/>
      <c r="R57"/>
      <c r="S57" s="20"/>
      <c r="T57" t="s">
        <v>263</v>
      </c>
      <c r="U57" t="s">
        <v>273</v>
      </c>
      <c r="V57" s="20"/>
      <c r="W57" s="20"/>
      <c r="X57" s="20"/>
    </row>
    <row r="58" spans="1:24" s="22" customFormat="1" ht="41.25" hidden="1" customHeight="1" x14ac:dyDescent="0.3">
      <c r="A58" s="123"/>
      <c r="B58" s="124"/>
      <c r="C58" s="94"/>
      <c r="D58" s="96"/>
      <c r="E58" s="96"/>
      <c r="F58" s="96"/>
      <c r="G58" s="96"/>
      <c r="H58" s="95"/>
      <c r="R58"/>
      <c r="S58" s="20"/>
      <c r="T58" t="s">
        <v>265</v>
      </c>
      <c r="U58" t="s">
        <v>274</v>
      </c>
      <c r="V58" s="20"/>
      <c r="W58" s="20"/>
      <c r="X58" s="20"/>
    </row>
    <row r="59" spans="1:24" s="22" customFormat="1" ht="15.75" hidden="1" customHeight="1" x14ac:dyDescent="0.3">
      <c r="A59" s="121" t="s">
        <v>283</v>
      </c>
      <c r="B59" s="122"/>
      <c r="C59" s="94">
        <f>C58</f>
        <v>0</v>
      </c>
      <c r="D59" s="96"/>
      <c r="E59" s="95"/>
      <c r="F59" s="17" t="s">
        <v>40</v>
      </c>
      <c r="G59" s="94">
        <f>G58</f>
        <v>0</v>
      </c>
      <c r="H59" s="95"/>
      <c r="R59"/>
      <c r="S59" s="20"/>
      <c r="T59" t="s">
        <v>266</v>
      </c>
      <c r="U59" s="20" t="s">
        <v>297</v>
      </c>
      <c r="V59" s="20"/>
      <c r="W59" s="20"/>
      <c r="X59" s="20"/>
    </row>
    <row r="60" spans="1:24" s="22" customFormat="1" ht="33.75" hidden="1" customHeight="1" x14ac:dyDescent="0.3">
      <c r="A60" s="123"/>
      <c r="B60" s="124"/>
      <c r="C60" s="94"/>
      <c r="D60" s="96"/>
      <c r="E60" s="96"/>
      <c r="F60" s="96"/>
      <c r="G60" s="96"/>
      <c r="H60" s="95"/>
      <c r="R60"/>
      <c r="S60" s="20"/>
      <c r="T60" t="s">
        <v>267</v>
      </c>
      <c r="U60" s="20"/>
      <c r="V60" s="20"/>
      <c r="W60" s="20"/>
      <c r="X60" s="20"/>
    </row>
    <row r="61" spans="1:24" x14ac:dyDescent="0.3">
      <c r="A61" s="109" t="s">
        <v>42</v>
      </c>
      <c r="B61" s="110"/>
      <c r="C61" s="109" t="s">
        <v>101</v>
      </c>
      <c r="D61" s="111"/>
      <c r="E61" s="110"/>
      <c r="F61" s="44" t="s">
        <v>40</v>
      </c>
      <c r="G61" s="119" t="s">
        <v>28</v>
      </c>
      <c r="H61" s="120"/>
      <c r="R61"/>
      <c r="T61" t="s">
        <v>269</v>
      </c>
    </row>
    <row r="62" spans="1:24" x14ac:dyDescent="0.3">
      <c r="A62" s="158" t="s">
        <v>44</v>
      </c>
      <c r="B62" s="158"/>
      <c r="C62" s="158"/>
      <c r="D62" s="158"/>
      <c r="E62" s="158"/>
      <c r="F62" s="158"/>
      <c r="G62" s="158"/>
      <c r="H62" s="158"/>
      <c r="T62" t="s">
        <v>278</v>
      </c>
    </row>
    <row r="63" spans="1:24" x14ac:dyDescent="0.3">
      <c r="A63" s="114" t="s">
        <v>86</v>
      </c>
      <c r="B63" s="114"/>
      <c r="C63" s="114"/>
      <c r="D63" s="108" t="str">
        <f>E47</f>
        <v>Not Provided</v>
      </c>
      <c r="E63" s="108"/>
      <c r="F63" s="108"/>
      <c r="G63" s="108"/>
      <c r="H63" s="108"/>
      <c r="R63"/>
    </row>
    <row r="64" spans="1:24" x14ac:dyDescent="0.3">
      <c r="A64" s="171" t="s">
        <v>45</v>
      </c>
      <c r="B64" s="168"/>
      <c r="C64" s="168"/>
      <c r="D64" s="168" t="s">
        <v>388</v>
      </c>
      <c r="E64" s="168"/>
      <c r="F64" s="168"/>
      <c r="G64" s="168"/>
      <c r="H64" s="168"/>
      <c r="I64" s="23"/>
      <c r="R64"/>
    </row>
    <row r="65" spans="1:19" x14ac:dyDescent="0.3">
      <c r="A65" s="190" t="s">
        <v>46</v>
      </c>
      <c r="B65" s="191"/>
      <c r="C65" s="192"/>
      <c r="D65" s="140" t="s">
        <v>387</v>
      </c>
      <c r="E65" s="189"/>
      <c r="F65" s="189"/>
      <c r="G65" s="189"/>
      <c r="H65" s="189"/>
      <c r="R65"/>
    </row>
    <row r="66" spans="1:19" ht="15.75" customHeight="1" x14ac:dyDescent="0.3">
      <c r="A66" s="190" t="s">
        <v>84</v>
      </c>
      <c r="B66" s="191"/>
      <c r="C66" s="192"/>
      <c r="D66" s="185" t="s">
        <v>345</v>
      </c>
      <c r="E66" s="186"/>
      <c r="F66" s="186"/>
      <c r="G66" s="186"/>
      <c r="H66" s="187"/>
      <c r="R66"/>
    </row>
    <row r="67" spans="1:19" x14ac:dyDescent="0.3">
      <c r="A67" s="233"/>
      <c r="B67" s="234"/>
      <c r="C67" s="235"/>
      <c r="D67" s="185" t="s">
        <v>368</v>
      </c>
      <c r="E67" s="186"/>
      <c r="F67" s="186"/>
      <c r="G67" s="186"/>
      <c r="H67" s="187"/>
      <c r="R67"/>
    </row>
    <row r="68" spans="1:19" ht="15.75" customHeight="1" x14ac:dyDescent="0.3">
      <c r="A68" s="108" t="s">
        <v>43</v>
      </c>
      <c r="B68" s="108"/>
      <c r="C68" s="108"/>
      <c r="D68" s="182" t="s">
        <v>346</v>
      </c>
      <c r="E68" s="182"/>
      <c r="F68" s="182"/>
      <c r="G68" s="182"/>
      <c r="H68" s="182"/>
      <c r="J68" s="24"/>
      <c r="K68" s="23"/>
      <c r="N68" s="23"/>
      <c r="S68"/>
    </row>
    <row r="69" spans="1:19" ht="15.75" customHeight="1" x14ac:dyDescent="0.3">
      <c r="A69" s="108" t="s">
        <v>82</v>
      </c>
      <c r="B69" s="108"/>
      <c r="C69" s="108"/>
      <c r="D69" s="183" t="str">
        <f>(IF(G61="NA","60 Years After Completion",IF(G61&lt;&gt;"NA",""&amp;60-ROUNDDOWN((E3-G61)/360,0)&amp;" Years"," ")))</f>
        <v>60 Years After Completion</v>
      </c>
      <c r="E69" s="183"/>
      <c r="F69" s="183"/>
      <c r="G69" s="183"/>
      <c r="H69" s="183"/>
      <c r="N69" s="23"/>
      <c r="S69"/>
    </row>
    <row r="70" spans="1:19" ht="15.75" customHeight="1" x14ac:dyDescent="0.3">
      <c r="A70" s="108" t="s">
        <v>83</v>
      </c>
      <c r="B70" s="108"/>
      <c r="C70" s="108"/>
      <c r="D70" s="114" t="s">
        <v>23</v>
      </c>
      <c r="E70" s="114"/>
      <c r="F70" s="114"/>
      <c r="G70" s="114"/>
      <c r="H70" s="114"/>
      <c r="J70" s="25"/>
      <c r="K70" s="25"/>
      <c r="S70"/>
    </row>
    <row r="71" spans="1:19" ht="33.75" customHeight="1" x14ac:dyDescent="0.3">
      <c r="A71" s="168" t="s">
        <v>380</v>
      </c>
      <c r="B71" s="168"/>
      <c r="C71" s="168"/>
      <c r="D71" s="171" t="s">
        <v>347</v>
      </c>
      <c r="E71" s="114"/>
      <c r="F71" s="114"/>
      <c r="G71" s="114"/>
      <c r="H71" s="114"/>
      <c r="J71" s="20" t="s">
        <v>348</v>
      </c>
      <c r="S71"/>
    </row>
    <row r="72" spans="1:19" x14ac:dyDescent="0.3">
      <c r="A72" s="114" t="s">
        <v>146</v>
      </c>
      <c r="B72" s="114"/>
      <c r="C72" s="114"/>
      <c r="D72" s="114" t="s">
        <v>28</v>
      </c>
      <c r="E72" s="114"/>
      <c r="F72" s="114"/>
      <c r="G72" s="114"/>
      <c r="H72" s="114"/>
      <c r="I72" s="26"/>
      <c r="J72" s="26"/>
      <c r="K72" s="26"/>
      <c r="L72" s="26"/>
      <c r="M72" s="26"/>
      <c r="N72" s="26"/>
    </row>
    <row r="73" spans="1:19" ht="15.75" customHeight="1" x14ac:dyDescent="0.3">
      <c r="A73" s="115" t="s">
        <v>81</v>
      </c>
      <c r="B73" s="115"/>
      <c r="C73" s="115"/>
      <c r="D73" s="140" t="str">
        <f ca="1">(IF(G79&gt;95%,"Nothing",IF(G79&gt;0%,"Cement, Aggregate, Steel, etc",IF(G79=0%,"Work not yet Started"))))</f>
        <v>Cement, Aggregate, Steel, etc</v>
      </c>
      <c r="E73" s="140"/>
      <c r="F73" s="140"/>
      <c r="G73" s="140"/>
      <c r="H73" s="140"/>
      <c r="J73" s="25"/>
      <c r="S73"/>
    </row>
    <row r="74" spans="1:19" ht="33.75" customHeight="1" thickBot="1" x14ac:dyDescent="0.35">
      <c r="A74" s="214" t="s">
        <v>114</v>
      </c>
      <c r="B74" s="214"/>
      <c r="C74" s="214"/>
      <c r="D74" s="140" t="str">
        <f ca="1">(IF(D73="Nothing","Yes",IF(D73="Cement, Aggregate, Steel, etc","Under Construction",IF(D73="Work not yet Started","Work not yet Started"))))</f>
        <v>Under Construction</v>
      </c>
      <c r="E74" s="140"/>
      <c r="F74" s="140" t="str">
        <f ca="1">(IF(D73="Nothing","Yes",IF(D73="Cement, Aggregate, Steel, etc","Under Construction",IF(D73="Work not yet Started","Work not yet Started"))))</f>
        <v>Under Construction</v>
      </c>
      <c r="G74" s="140"/>
      <c r="H74" s="140"/>
      <c r="S74"/>
    </row>
    <row r="75" spans="1:19" ht="15.75" customHeight="1" x14ac:dyDescent="0.3">
      <c r="A75" s="117" t="s">
        <v>136</v>
      </c>
      <c r="B75" s="118"/>
      <c r="C75" s="136" t="str">
        <f>D66</f>
        <v>O Wing = G + 1st to 23rd Floor</v>
      </c>
      <c r="D75" s="137"/>
      <c r="E75" s="137"/>
      <c r="F75" s="137"/>
      <c r="G75" s="137"/>
      <c r="H75" s="138"/>
      <c r="I75" s="48" t="str">
        <f ca="1">IF(D88=100%,"All work Completed. Possession granted to the Building.",IF(D87=100%,"All work Completed, Waiting for OC",I76&amp;""&amp;I77&amp;""&amp;J76&amp;""&amp;J75&amp;" "&amp;J77))</f>
        <v>Excavation, Plinth Completed, RCC upto 20 Slab, Brickwork upto 15 Floor, Internal Plaster upto 12 Floor, External Plaster upto 8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20 Slab, Brickwork upto 15 Floor, Internal Plaster upto 12 Floor, External Plaster upto 8 Floor</v>
      </c>
      <c r="S75"/>
    </row>
    <row r="76" spans="1:19" x14ac:dyDescent="0.3">
      <c r="A76" s="15" t="s">
        <v>138</v>
      </c>
      <c r="B76" s="46">
        <f>IF(AND(ISNUMBER(SEARCH("1B",C75))),1,IF(AND(ISNUMBER(SEARCH("2B",C75))),2,IF(AND(ISNUMBER(SEARCH("3B",C75))),3,IF(AND(ISNUMBER(SEARCH("4B",C75))),4,IF(ISNUMBER(SEARCH("5B",C75)),5,0)))))</f>
        <v>0</v>
      </c>
      <c r="C76" s="46" t="s">
        <v>68</v>
      </c>
      <c r="D76" s="46">
        <v>1</v>
      </c>
      <c r="E76" s="46" t="s">
        <v>67</v>
      </c>
      <c r="F76" s="46">
        <v>0</v>
      </c>
      <c r="G76" s="46" t="s">
        <v>75</v>
      </c>
      <c r="H76" s="16">
        <f ca="1">--TRIM(RIGHT(SUBSTITUTE(LEFT(C75,_xlfn.AGGREGATE(16,6,FIND({0,1,2,3,4,5,6,7,8,9},C75,ROW(INDIRECT("1:"&amp;LEN(C75)))),1))," ",REPT(" ",LEN(C75))),LEN(C75)))</f>
        <v>23</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25" customHeight="1" x14ac:dyDescent="0.3">
      <c r="A77" s="134" t="s">
        <v>85</v>
      </c>
      <c r="B77" s="135"/>
      <c r="C77" s="169" t="str">
        <f ca="1">I75</f>
        <v>Excavation, Plinth Completed, RCC upto 20 Slab, Brickwork upto 15 Floor, Internal Plaster upto 12 Floor, External Plaster upto 8 Floor Completed</v>
      </c>
      <c r="D77" s="169"/>
      <c r="E77" s="169"/>
      <c r="F77" s="169"/>
      <c r="G77" s="169"/>
      <c r="H77" s="193"/>
      <c r="I77" s="50" t="str">
        <f ca="1">IF(I76&lt;&gt;""," Completed","")</f>
        <v xml:space="preserve"> Completed</v>
      </c>
      <c r="J77" s="51" t="str">
        <f ca="1">IF(J75&lt;&gt;"","Completed","")</f>
        <v>Completed</v>
      </c>
      <c r="S77"/>
    </row>
    <row r="78" spans="1:19" ht="15.75" customHeight="1" x14ac:dyDescent="0.3">
      <c r="A78" s="130" t="s">
        <v>47</v>
      </c>
      <c r="B78" s="131"/>
      <c r="C78" s="75" t="s">
        <v>135</v>
      </c>
      <c r="D78" s="75" t="s">
        <v>78</v>
      </c>
      <c r="E78" s="141" t="s">
        <v>80</v>
      </c>
      <c r="F78" s="141"/>
      <c r="G78" s="141" t="s">
        <v>79</v>
      </c>
      <c r="H78" s="142"/>
      <c r="I78" s="13" t="s">
        <v>137</v>
      </c>
      <c r="J78" s="27">
        <f ca="1">H76*25%</f>
        <v>5.75</v>
      </c>
      <c r="S78"/>
    </row>
    <row r="79" spans="1:19" x14ac:dyDescent="0.3">
      <c r="A79" s="130" t="s">
        <v>124</v>
      </c>
      <c r="B79" s="131"/>
      <c r="C79" s="75">
        <f ca="1">J80</f>
        <v>23</v>
      </c>
      <c r="D79" s="76">
        <f ca="1">((100/H76)*C79)/100</f>
        <v>1</v>
      </c>
      <c r="E79" s="197">
        <f ca="1">(((C80/H76*10)+(40/(D76+F76+H76)*C81)+(7.5/(H76)*C82)+(7.5/(H76)*C83)+(10/H76*C84)+(10/H76*C85)+(5/H76*C86)+(5/H76*C87)+(5/H76*C88))/100)</f>
        <v>0.5561594202898551</v>
      </c>
      <c r="F79" s="198"/>
      <c r="G79" s="197">
        <f ca="1">((((C79/H76)*20)+((C80/H76)*25)+(30/(H76+F76+D76)*C81)+(5/H76*C82)+(5/H76*C83)+(5/H76*C84)+(5/H76*C85)+(0/H76*C86)+(0/H76*C87)+(5/H76*C88))/100)</f>
        <v>0.77608695652173909</v>
      </c>
      <c r="H79" s="203"/>
      <c r="I79" s="13" t="s">
        <v>96</v>
      </c>
      <c r="J79" s="28">
        <f ca="1">H76*50%</f>
        <v>11.5</v>
      </c>
    </row>
    <row r="80" spans="1:19" x14ac:dyDescent="0.3">
      <c r="A80" s="130" t="s">
        <v>48</v>
      </c>
      <c r="B80" s="131"/>
      <c r="C80" s="75">
        <f ca="1">J88</f>
        <v>23</v>
      </c>
      <c r="D80" s="76">
        <f ca="1">((100/H76)*C80)/100</f>
        <v>1</v>
      </c>
      <c r="E80" s="199"/>
      <c r="F80" s="200"/>
      <c r="G80" s="199"/>
      <c r="H80" s="204"/>
      <c r="I80" s="13" t="s">
        <v>97</v>
      </c>
      <c r="J80" s="28">
        <f ca="1">H76</f>
        <v>23</v>
      </c>
      <c r="S80"/>
    </row>
    <row r="81" spans="1:19" ht="15.75" customHeight="1" x14ac:dyDescent="0.3">
      <c r="A81" s="130" t="s">
        <v>125</v>
      </c>
      <c r="B81" s="131"/>
      <c r="C81" s="75">
        <v>20</v>
      </c>
      <c r="D81" s="76">
        <f ca="1">((100/(D76+F76+H76))*C81)/100</f>
        <v>0.83333333333333348</v>
      </c>
      <c r="E81" s="199"/>
      <c r="F81" s="200"/>
      <c r="G81" s="199"/>
      <c r="H81" s="204"/>
      <c r="I81" s="13" t="s">
        <v>98</v>
      </c>
      <c r="J81" s="29">
        <f ca="1">(IF(B76&gt;1,(H76/(B76+2)),H76/4))</f>
        <v>5.75</v>
      </c>
      <c r="S81"/>
    </row>
    <row r="82" spans="1:19" ht="15.75" customHeight="1" x14ac:dyDescent="0.3">
      <c r="A82" s="130" t="s">
        <v>132</v>
      </c>
      <c r="B82" s="131" t="s">
        <v>126</v>
      </c>
      <c r="C82" s="75">
        <v>15</v>
      </c>
      <c r="D82" s="76">
        <f ca="1">((100/H76)*C82)/100</f>
        <v>0.65217391304347827</v>
      </c>
      <c r="E82" s="199"/>
      <c r="F82" s="200"/>
      <c r="G82" s="199"/>
      <c r="H82" s="204"/>
      <c r="I82" s="13" t="s">
        <v>99</v>
      </c>
      <c r="J82" s="29">
        <f ca="1">(IF(B76&gt;1,(H76/(B76+2)+J81),H76/4+J81))</f>
        <v>11.5</v>
      </c>
    </row>
    <row r="83" spans="1:19" ht="15.75" customHeight="1" x14ac:dyDescent="0.3">
      <c r="A83" s="130" t="s">
        <v>133</v>
      </c>
      <c r="B83" s="131" t="s">
        <v>126</v>
      </c>
      <c r="C83" s="75">
        <v>12</v>
      </c>
      <c r="D83" s="76">
        <f ca="1">((100/H76)*C83)/100</f>
        <v>0.52173913043478259</v>
      </c>
      <c r="E83" s="199"/>
      <c r="F83" s="200"/>
      <c r="G83" s="199"/>
      <c r="H83" s="204"/>
      <c r="I83" s="13" t="s">
        <v>144</v>
      </c>
      <c r="J83" s="29">
        <f>(IF(B76&gt;1,(H76/(B76+2)+J82),0))</f>
        <v>0</v>
      </c>
    </row>
    <row r="84" spans="1:19" ht="15" customHeight="1" x14ac:dyDescent="0.3">
      <c r="A84" s="130" t="s">
        <v>131</v>
      </c>
      <c r="B84" s="131" t="s">
        <v>128</v>
      </c>
      <c r="C84" s="75">
        <v>8</v>
      </c>
      <c r="D84" s="76">
        <f ca="1">((100/(H76))*C84)/100</f>
        <v>0.34782608695652173</v>
      </c>
      <c r="E84" s="199"/>
      <c r="F84" s="200"/>
      <c r="G84" s="199"/>
      <c r="H84" s="204"/>
      <c r="I84" s="13" t="s">
        <v>139</v>
      </c>
      <c r="J84" s="29">
        <f>(IF(B76&gt;2,(H76/(B76+2)+J83),0))</f>
        <v>0</v>
      </c>
    </row>
    <row r="85" spans="1:19" ht="15.75" customHeight="1" x14ac:dyDescent="0.3">
      <c r="A85" s="130" t="s">
        <v>127</v>
      </c>
      <c r="B85" s="131" t="s">
        <v>127</v>
      </c>
      <c r="C85" s="75">
        <v>0</v>
      </c>
      <c r="D85" s="76">
        <f ca="1">((100/H76)*C85)/100</f>
        <v>0</v>
      </c>
      <c r="E85" s="199"/>
      <c r="F85" s="200"/>
      <c r="G85" s="199"/>
      <c r="H85" s="204"/>
      <c r="I85" s="13" t="s">
        <v>140</v>
      </c>
      <c r="J85" s="30">
        <f>(IF(B76&gt;3,(H76/(B76+2)+J84),0))</f>
        <v>0</v>
      </c>
    </row>
    <row r="86" spans="1:19" ht="15.75" customHeight="1" x14ac:dyDescent="0.3">
      <c r="A86" s="130" t="s">
        <v>134</v>
      </c>
      <c r="B86" s="131"/>
      <c r="C86" s="75">
        <v>0</v>
      </c>
      <c r="D86" s="76">
        <f ca="1">((100/H76)*C86)/100</f>
        <v>0</v>
      </c>
      <c r="E86" s="199"/>
      <c r="F86" s="200"/>
      <c r="G86" s="199"/>
      <c r="H86" s="204"/>
      <c r="I86" s="13" t="s">
        <v>141</v>
      </c>
      <c r="J86" s="29">
        <f>(IF(B76&gt;4,(H76/(B76+2)+J85),0))</f>
        <v>0</v>
      </c>
    </row>
    <row r="87" spans="1:19" ht="15.75" customHeight="1" x14ac:dyDescent="0.3">
      <c r="A87" s="130" t="s">
        <v>129</v>
      </c>
      <c r="B87" s="131" t="s">
        <v>129</v>
      </c>
      <c r="C87" s="75">
        <v>0</v>
      </c>
      <c r="D87" s="76">
        <f ca="1">((100/(H76))*C87)/100</f>
        <v>0</v>
      </c>
      <c r="E87" s="199"/>
      <c r="F87" s="200"/>
      <c r="G87" s="199"/>
      <c r="H87" s="204"/>
      <c r="I87" s="13" t="s">
        <v>145</v>
      </c>
      <c r="J87" s="29">
        <f ca="1">(IF(B76=1,(H76/(B76+3)+J82),IF(B76=0,(H76/4+J82),IF(B76&gt;1,0))))</f>
        <v>17.25</v>
      </c>
    </row>
    <row r="88" spans="1:19" ht="16.2" thickBot="1" x14ac:dyDescent="0.35">
      <c r="A88" s="215" t="s">
        <v>130</v>
      </c>
      <c r="B88" s="216"/>
      <c r="C88" s="77">
        <v>0</v>
      </c>
      <c r="D88" s="78">
        <f ca="1">((100/(H76))*C88)/100</f>
        <v>0</v>
      </c>
      <c r="E88" s="201"/>
      <c r="F88" s="202"/>
      <c r="G88" s="201"/>
      <c r="H88" s="205"/>
      <c r="I88" s="14" t="s">
        <v>100</v>
      </c>
      <c r="J88" s="31">
        <f ca="1">(IF(B76&gt;1.5,(H76/(B76+2)+J82+MAX(0,J83-J82)+MAX(0,J84-J83)+MAX(0,J85-J84)+MAX(0,J86-J85)+MAX(0,J87-J86)),IF(B76=1,(H76/(B76+3)+J87),IF(B76=0,H76/4+J87))))</f>
        <v>23</v>
      </c>
    </row>
    <row r="89" spans="1:19" ht="15.75" customHeight="1" x14ac:dyDescent="0.3">
      <c r="A89" s="117" t="s">
        <v>136</v>
      </c>
      <c r="B89" s="118"/>
      <c r="C89" s="136" t="str">
        <f>D67</f>
        <v xml:space="preserve">P Wing = G + 1st to 23rd Floor
</v>
      </c>
      <c r="D89" s="137"/>
      <c r="E89" s="137"/>
      <c r="F89" s="137"/>
      <c r="G89" s="137"/>
      <c r="H89" s="138"/>
      <c r="I89" s="48" t="str">
        <f ca="1">IF(D102=100%,"All work Completed. Possession granted to the Building.",IF(D101=100%,"All work Completed, Waiting for OC",I90&amp;""&amp;I91&amp;""&amp;J90&amp;""&amp;J89&amp;" "&amp;J91))</f>
        <v>Excavation, Plinth Completed, RCC upto 18 Slab, Brickwork upto 14 Floor, Internal Plaster upto 10 Floor, External Plaster upto 6 Floor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18 Slab, Brickwork upto 14 Floor, Internal Plaster upto 10 Floor, External Plaster upto 6 Floor</v>
      </c>
    </row>
    <row r="90" spans="1:19" x14ac:dyDescent="0.3">
      <c r="A90" s="15" t="s">
        <v>138</v>
      </c>
      <c r="B90" s="46">
        <f>IF(AND(ISNUMBER(SEARCH("1B",C89))),1,IF(AND(ISNUMBER(SEARCH("2B",C89))),2,IF(AND(ISNUMBER(SEARCH("3B",C89))),3,IF(AND(ISNUMBER(SEARCH("4B",C89))),4,IF(ISNUMBER(SEARCH("5B",C89)),5,0)))))</f>
        <v>0</v>
      </c>
      <c r="C90" s="46" t="s">
        <v>68</v>
      </c>
      <c r="D90" s="46">
        <v>1</v>
      </c>
      <c r="E90" s="46" t="s">
        <v>67</v>
      </c>
      <c r="F90" s="46">
        <v>0</v>
      </c>
      <c r="G90" s="47" t="s">
        <v>75</v>
      </c>
      <c r="H90" s="16">
        <f ca="1">--TRIM(RIGHT(SUBSTITUTE(LEFT(C89,_xlfn.AGGREGATE(16,6,FIND({0,1,2,3,4,5,6,7,8,9},C89,ROW(INDIRECT("1:"&amp;LEN(C89)))),1))," ",REPT(" ",LEN(C89))),LEN(C89)))</f>
        <v>23</v>
      </c>
      <c r="I90" s="50" t="str">
        <f ca="1">IF(D93=100%,"Excavation","")&amp;IF(D94=100%,", Plinth","")&amp;IF(D95=100%,", RCC Slab","")&amp;IF(D96=100%,", Brickwork","")&amp;IF(D97=100%,", Internal Plaster","")&amp;IF(D98=100%,", External Plaster","")&amp;IF(D99=100%,", Flooring","")&amp;IF(D100=100%,", Painting","")&amp;IF(D101=100%,", Building common Amenities","")</f>
        <v>Excavation, Plinth</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1.5" customHeight="1" x14ac:dyDescent="0.3">
      <c r="A91" s="134" t="s">
        <v>85</v>
      </c>
      <c r="B91" s="135"/>
      <c r="C91" s="169" t="str">
        <f ca="1">(IF($G$61="NA",I89,"All work Completed. OC Received."))</f>
        <v>Excavation, Plinth Completed, RCC upto 18 Slab, Brickwork upto 14 Floor, Internal Plaster upto 10 Floor, External Plaster upto 6 Floor Completed</v>
      </c>
      <c r="D91" s="169"/>
      <c r="E91" s="169"/>
      <c r="F91" s="169"/>
      <c r="G91" s="169"/>
      <c r="H91" s="193"/>
      <c r="I91" s="50" t="str">
        <f ca="1">IF(I90&lt;&gt;""," Completed","")</f>
        <v xml:space="preserve"> Completed</v>
      </c>
      <c r="J91" s="51" t="str">
        <f ca="1">IF(J89&lt;&gt;"","Completed","")</f>
        <v>Completed</v>
      </c>
    </row>
    <row r="92" spans="1:19" ht="15.75" customHeight="1" x14ac:dyDescent="0.3">
      <c r="A92" s="130" t="s">
        <v>47</v>
      </c>
      <c r="B92" s="131"/>
      <c r="C92" s="42" t="s">
        <v>135</v>
      </c>
      <c r="D92" s="42" t="s">
        <v>78</v>
      </c>
      <c r="E92" s="131" t="s">
        <v>80</v>
      </c>
      <c r="F92" s="131"/>
      <c r="G92" s="131" t="s">
        <v>79</v>
      </c>
      <c r="H92" s="139"/>
      <c r="I92" s="13" t="s">
        <v>137</v>
      </c>
      <c r="J92" s="27">
        <f ca="1">H90*25%</f>
        <v>5.75</v>
      </c>
    </row>
    <row r="93" spans="1:19" x14ac:dyDescent="0.3">
      <c r="A93" s="130" t="s">
        <v>124</v>
      </c>
      <c r="B93" s="131"/>
      <c r="C93" s="75">
        <f ca="1">J94</f>
        <v>23</v>
      </c>
      <c r="D93" s="18">
        <f ca="1">((100/H90)*C93)/100</f>
        <v>1</v>
      </c>
      <c r="E93" s="143">
        <f ca="1">(((C94/H90*10)+(40/(D90+F90+H90)*C95)+(7.5/(H90)*C96)+(7.5/(H90)*C97)+(10/H90*C98)+(10/H90*C99)+(5/H90*C100)+(5/H90*C101)+(5/H90*C102))/100)</f>
        <v>0.5043478260869565</v>
      </c>
      <c r="F93" s="144"/>
      <c r="G93" s="143">
        <f ca="1">((((C93/H90)*20)+((C94/H90)*25)+(30/(H90+F90+D90)*C95)+(5/H90*C96)+(5/H90*C97)+(5/H90*C98)+(5/H90*C99)+(0/H90*C100)+(0/H90*C101)+(5/H90*C102))/100)</f>
        <v>0.74021739130434783</v>
      </c>
      <c r="H93" s="149"/>
      <c r="I93" s="13" t="s">
        <v>96</v>
      </c>
      <c r="J93" s="28">
        <f ca="1">H90*50%</f>
        <v>11.5</v>
      </c>
    </row>
    <row r="94" spans="1:19" x14ac:dyDescent="0.3">
      <c r="A94" s="130" t="s">
        <v>48</v>
      </c>
      <c r="B94" s="131"/>
      <c r="C94" s="79">
        <f ca="1">J102</f>
        <v>23</v>
      </c>
      <c r="D94" s="18">
        <f ca="1">((100/H90)*C94)/100</f>
        <v>1</v>
      </c>
      <c r="E94" s="145"/>
      <c r="F94" s="146"/>
      <c r="G94" s="145"/>
      <c r="H94" s="150"/>
      <c r="I94" s="13" t="s">
        <v>97</v>
      </c>
      <c r="J94" s="28">
        <f ca="1">H90</f>
        <v>23</v>
      </c>
    </row>
    <row r="95" spans="1:19" ht="15.75" customHeight="1" x14ac:dyDescent="0.3">
      <c r="A95" s="130" t="s">
        <v>125</v>
      </c>
      <c r="B95" s="131"/>
      <c r="C95" s="42">
        <v>18</v>
      </c>
      <c r="D95" s="18">
        <f ca="1">((100/(D90+F90+H90))*C95)/100</f>
        <v>0.75</v>
      </c>
      <c r="E95" s="145"/>
      <c r="F95" s="146"/>
      <c r="G95" s="145"/>
      <c r="H95" s="150"/>
      <c r="I95" s="13" t="s">
        <v>98</v>
      </c>
      <c r="J95" s="29">
        <f ca="1">(IF(B90&gt;1,(H90/(B90+2)),H90/4))</f>
        <v>5.75</v>
      </c>
    </row>
    <row r="96" spans="1:19" ht="15.75" customHeight="1" x14ac:dyDescent="0.3">
      <c r="A96" s="130" t="s">
        <v>132</v>
      </c>
      <c r="B96" s="131" t="s">
        <v>126</v>
      </c>
      <c r="C96" s="42">
        <v>14</v>
      </c>
      <c r="D96" s="18">
        <f ca="1">((100/H90)*C96)/100</f>
        <v>0.60869565217391297</v>
      </c>
      <c r="E96" s="145"/>
      <c r="F96" s="146"/>
      <c r="G96" s="145"/>
      <c r="H96" s="150"/>
      <c r="I96" s="13" t="s">
        <v>99</v>
      </c>
      <c r="J96" s="29">
        <f ca="1">(IF(B90&gt;1,(H90/(B90+2)+J95),H90/4+J95))</f>
        <v>11.5</v>
      </c>
    </row>
    <row r="97" spans="1:22" ht="15.75" customHeight="1" x14ac:dyDescent="0.3">
      <c r="A97" s="130" t="s">
        <v>133</v>
      </c>
      <c r="B97" s="131" t="s">
        <v>126</v>
      </c>
      <c r="C97" s="42">
        <v>10</v>
      </c>
      <c r="D97" s="18">
        <f ca="1">((100/H90)*C97)/100</f>
        <v>0.43478260869565216</v>
      </c>
      <c r="E97" s="145"/>
      <c r="F97" s="146"/>
      <c r="G97" s="145"/>
      <c r="H97" s="150"/>
      <c r="I97" s="13" t="s">
        <v>144</v>
      </c>
      <c r="J97" s="29">
        <f>(IF(B90&gt;1,(H90/(B90+2)+J96),0))</f>
        <v>0</v>
      </c>
    </row>
    <row r="98" spans="1:22" ht="15" customHeight="1" x14ac:dyDescent="0.3">
      <c r="A98" s="130" t="s">
        <v>131</v>
      </c>
      <c r="B98" s="131" t="s">
        <v>128</v>
      </c>
      <c r="C98" s="42">
        <v>6</v>
      </c>
      <c r="D98" s="18">
        <f ca="1">((100/(H90))*C98)/100</f>
        <v>0.2608695652173913</v>
      </c>
      <c r="E98" s="145"/>
      <c r="F98" s="146"/>
      <c r="G98" s="145"/>
      <c r="H98" s="150"/>
      <c r="I98" s="13" t="s">
        <v>139</v>
      </c>
      <c r="J98" s="29">
        <f>(IF(B90&gt;2,(H90/(B90+2)+J97),0))</f>
        <v>0</v>
      </c>
    </row>
    <row r="99" spans="1:22" ht="15.75" customHeight="1" x14ac:dyDescent="0.3">
      <c r="A99" s="130" t="s">
        <v>127</v>
      </c>
      <c r="B99" s="131" t="s">
        <v>127</v>
      </c>
      <c r="C99" s="42">
        <v>0</v>
      </c>
      <c r="D99" s="18">
        <f ca="1">((100/H90)*C99)/100</f>
        <v>0</v>
      </c>
      <c r="E99" s="145"/>
      <c r="F99" s="146"/>
      <c r="G99" s="145"/>
      <c r="H99" s="150"/>
      <c r="I99" s="13" t="s">
        <v>140</v>
      </c>
      <c r="J99" s="30">
        <f>(IF(B90&gt;3,(H90/(B90+2)+J98),0))</f>
        <v>0</v>
      </c>
    </row>
    <row r="100" spans="1:22" ht="15.75" customHeight="1" x14ac:dyDescent="0.3">
      <c r="A100" s="130" t="s">
        <v>134</v>
      </c>
      <c r="B100" s="131"/>
      <c r="C100" s="42">
        <v>0</v>
      </c>
      <c r="D100" s="18">
        <f ca="1">((100/H90)*C100)/100</f>
        <v>0</v>
      </c>
      <c r="E100" s="145"/>
      <c r="F100" s="146"/>
      <c r="G100" s="145"/>
      <c r="H100" s="150"/>
      <c r="I100" s="13" t="s">
        <v>141</v>
      </c>
      <c r="J100" s="29">
        <f>(IF(B90&gt;4,(H90/(B90+2)+J99),0))</f>
        <v>0</v>
      </c>
    </row>
    <row r="101" spans="1:22" ht="15.75" customHeight="1" x14ac:dyDescent="0.3">
      <c r="A101" s="130" t="s">
        <v>129</v>
      </c>
      <c r="B101" s="131" t="s">
        <v>129</v>
      </c>
      <c r="C101" s="42">
        <v>0</v>
      </c>
      <c r="D101" s="18">
        <f ca="1">((100/(H90))*C101)/100</f>
        <v>0</v>
      </c>
      <c r="E101" s="145"/>
      <c r="F101" s="146"/>
      <c r="G101" s="145"/>
      <c r="H101" s="150"/>
      <c r="I101" s="13" t="s">
        <v>145</v>
      </c>
      <c r="J101" s="29">
        <f ca="1">(IF(B90=1,(H90/(B90+3)+J96),IF(B90=0,(H90/4+J96),IF(B90&gt;1,0))))</f>
        <v>17.25</v>
      </c>
    </row>
    <row r="102" spans="1:22" ht="16.2" thickBot="1" x14ac:dyDescent="0.35">
      <c r="A102" s="215" t="s">
        <v>130</v>
      </c>
      <c r="B102" s="216"/>
      <c r="C102" s="43">
        <v>0</v>
      </c>
      <c r="D102" s="19">
        <f ca="1">((100/(H90))*C102)/100</f>
        <v>0</v>
      </c>
      <c r="E102" s="147"/>
      <c r="F102" s="148"/>
      <c r="G102" s="147"/>
      <c r="H102" s="151"/>
      <c r="I102" s="14" t="s">
        <v>100</v>
      </c>
      <c r="J102" s="31">
        <f ca="1">(IF(B90&gt;1.5,(H90/(B90+2)+J96+MAX(0,J97-J96)+MAX(0,J98-J97)+MAX(0,J99-J98)+MAX(0,J100-J99)+MAX(0,J101-J100)),IF(B90=1,(H90/(B90+3)+J101),IF(B90=0,H90/4+J101))))</f>
        <v>23</v>
      </c>
    </row>
    <row r="103" spans="1:22" x14ac:dyDescent="0.3">
      <c r="A103" s="236" t="s">
        <v>155</v>
      </c>
      <c r="B103" s="236"/>
      <c r="C103" s="236"/>
      <c r="D103" s="236"/>
      <c r="E103" s="236"/>
      <c r="F103" s="152" t="s">
        <v>159</v>
      </c>
      <c r="G103" s="152"/>
      <c r="H103" s="152"/>
      <c r="R103" t="s">
        <v>253</v>
      </c>
      <c r="S103" t="s">
        <v>171</v>
      </c>
      <c r="T103" t="s">
        <v>178</v>
      </c>
      <c r="U103" t="s">
        <v>193</v>
      </c>
      <c r="V103" t="s">
        <v>188</v>
      </c>
    </row>
    <row r="104" spans="1:22" x14ac:dyDescent="0.3">
      <c r="A104" s="108" t="s">
        <v>157</v>
      </c>
      <c r="B104" s="108"/>
      <c r="C104" s="108"/>
      <c r="D104" s="108"/>
      <c r="E104" s="108"/>
      <c r="F104" s="105">
        <v>5800</v>
      </c>
      <c r="G104" s="105"/>
      <c r="H104" s="105"/>
      <c r="R104"/>
      <c r="S104">
        <v>800000</v>
      </c>
      <c r="T104">
        <v>150000</v>
      </c>
      <c r="U104">
        <v>100000</v>
      </c>
      <c r="V104">
        <v>100000</v>
      </c>
    </row>
    <row r="105" spans="1:22" x14ac:dyDescent="0.3">
      <c r="A105" s="108" t="s">
        <v>156</v>
      </c>
      <c r="B105" s="108"/>
      <c r="C105" s="108"/>
      <c r="D105" s="108"/>
      <c r="E105" s="108"/>
      <c r="F105" s="105">
        <v>11000</v>
      </c>
      <c r="G105" s="105"/>
      <c r="H105" s="105"/>
      <c r="R105"/>
      <c r="S105">
        <v>900000</v>
      </c>
      <c r="T105">
        <v>200000</v>
      </c>
      <c r="U105">
        <v>150000</v>
      </c>
      <c r="V105">
        <v>150000</v>
      </c>
    </row>
    <row r="106" spans="1:22" hidden="1" x14ac:dyDescent="0.3">
      <c r="A106" s="108" t="s">
        <v>158</v>
      </c>
      <c r="B106" s="108"/>
      <c r="C106" s="108"/>
      <c r="D106" s="108"/>
      <c r="E106" s="108"/>
      <c r="F106" s="105"/>
      <c r="G106" s="105"/>
      <c r="H106" s="105"/>
      <c r="R106"/>
      <c r="S106">
        <v>1000000</v>
      </c>
      <c r="T106">
        <v>250000</v>
      </c>
      <c r="U106">
        <v>200000</v>
      </c>
      <c r="V106">
        <v>200000</v>
      </c>
    </row>
    <row r="107" spans="1:22" s="32" customFormat="1" hidden="1" x14ac:dyDescent="0.3">
      <c r="A107" s="108" t="s">
        <v>174</v>
      </c>
      <c r="B107" s="108"/>
      <c r="C107" s="108"/>
      <c r="D107" s="108"/>
      <c r="E107" s="108"/>
      <c r="F107" s="105"/>
      <c r="G107" s="105"/>
      <c r="H107" s="105"/>
      <c r="R107"/>
      <c r="S107">
        <v>1100000</v>
      </c>
      <c r="T107">
        <v>300000</v>
      </c>
      <c r="U107">
        <v>250000</v>
      </c>
      <c r="V107" s="22">
        <v>250000</v>
      </c>
    </row>
    <row r="108" spans="1:22" s="32" customFormat="1" hidden="1" x14ac:dyDescent="0.3">
      <c r="A108" s="108" t="s">
        <v>90</v>
      </c>
      <c r="B108" s="108"/>
      <c r="C108" s="108"/>
      <c r="D108" s="108"/>
      <c r="E108" s="108"/>
      <c r="F108" s="105"/>
      <c r="G108" s="105"/>
      <c r="H108" s="105"/>
      <c r="R108"/>
      <c r="S108">
        <v>1200000</v>
      </c>
      <c r="T108">
        <v>350000</v>
      </c>
      <c r="U108">
        <v>300000</v>
      </c>
      <c r="V108">
        <v>300000</v>
      </c>
    </row>
    <row r="109" spans="1:22" s="32" customFormat="1" hidden="1" x14ac:dyDescent="0.3">
      <c r="A109" s="108" t="s">
        <v>91</v>
      </c>
      <c r="B109" s="108"/>
      <c r="C109" s="108"/>
      <c r="D109" s="108"/>
      <c r="E109" s="108"/>
      <c r="F109" s="105"/>
      <c r="G109" s="105"/>
      <c r="H109" s="105"/>
      <c r="R109"/>
      <c r="S109">
        <v>1300000</v>
      </c>
      <c r="T109">
        <v>400000</v>
      </c>
      <c r="U109">
        <v>350000</v>
      </c>
      <c r="V109" s="22">
        <v>400000</v>
      </c>
    </row>
    <row r="110" spans="1:22" s="32" customFormat="1" hidden="1" x14ac:dyDescent="0.3">
      <c r="A110" s="108" t="s">
        <v>92</v>
      </c>
      <c r="B110" s="108"/>
      <c r="C110" s="108"/>
      <c r="D110" s="108"/>
      <c r="E110" s="108"/>
      <c r="F110" s="105"/>
      <c r="G110" s="105"/>
      <c r="H110" s="105"/>
      <c r="R110"/>
      <c r="S110">
        <v>1400000</v>
      </c>
      <c r="T110">
        <v>500000</v>
      </c>
      <c r="U110">
        <v>400000</v>
      </c>
      <c r="V110"/>
    </row>
    <row r="111" spans="1:22" s="32" customFormat="1" hidden="1" x14ac:dyDescent="0.3">
      <c r="A111" s="108" t="s">
        <v>93</v>
      </c>
      <c r="B111" s="108"/>
      <c r="C111" s="108"/>
      <c r="D111" s="108"/>
      <c r="E111" s="108"/>
      <c r="F111" s="105"/>
      <c r="G111" s="105"/>
      <c r="H111" s="105"/>
      <c r="R111"/>
      <c r="S111">
        <v>1500000</v>
      </c>
      <c r="T111">
        <v>600000</v>
      </c>
      <c r="U111">
        <v>500000</v>
      </c>
      <c r="V111" s="22"/>
    </row>
    <row r="112" spans="1:22" s="32" customFormat="1" hidden="1" x14ac:dyDescent="0.3">
      <c r="A112" s="108" t="s">
        <v>94</v>
      </c>
      <c r="B112" s="108"/>
      <c r="C112" s="108"/>
      <c r="D112" s="108"/>
      <c r="E112" s="108"/>
      <c r="F112" s="105"/>
      <c r="G112" s="105"/>
      <c r="H112" s="105"/>
      <c r="R112"/>
      <c r="S112">
        <v>1600000</v>
      </c>
      <c r="T112">
        <v>700000</v>
      </c>
      <c r="U112">
        <v>600000</v>
      </c>
      <c r="V112"/>
    </row>
    <row r="113" spans="1:22" s="32" customFormat="1" hidden="1" x14ac:dyDescent="0.3">
      <c r="A113" s="108" t="s">
        <v>95</v>
      </c>
      <c r="B113" s="108"/>
      <c r="C113" s="108"/>
      <c r="D113" s="108"/>
      <c r="E113" s="108"/>
      <c r="F113" s="105"/>
      <c r="G113" s="105"/>
      <c r="H113" s="105"/>
      <c r="R113"/>
      <c r="S113">
        <v>1700000</v>
      </c>
      <c r="T113">
        <v>800000</v>
      </c>
      <c r="U113"/>
      <c r="V113" s="22"/>
    </row>
    <row r="114" spans="1:22" x14ac:dyDescent="0.3">
      <c r="A114" s="108" t="s">
        <v>49</v>
      </c>
      <c r="B114" s="108"/>
      <c r="C114" s="108"/>
      <c r="D114" s="108"/>
      <c r="E114" s="108"/>
      <c r="F114" s="105">
        <v>300000</v>
      </c>
      <c r="G114" s="105"/>
      <c r="H114" s="105"/>
      <c r="R114"/>
      <c r="S114">
        <v>1800000</v>
      </c>
      <c r="T114">
        <v>900000</v>
      </c>
      <c r="U114"/>
    </row>
    <row r="115" spans="1:22" s="33" customFormat="1" x14ac:dyDescent="0.3">
      <c r="A115" s="156" t="s">
        <v>50</v>
      </c>
      <c r="B115" s="156"/>
      <c r="C115" s="156"/>
      <c r="D115" s="156"/>
      <c r="E115" s="156"/>
      <c r="F115" s="105">
        <f>F104*0.8</f>
        <v>4640</v>
      </c>
      <c r="G115" s="105"/>
      <c r="H115" s="105"/>
      <c r="R115" s="20"/>
      <c r="S115" s="20"/>
      <c r="T115">
        <v>1000000</v>
      </c>
      <c r="U115"/>
      <c r="V115" s="20"/>
    </row>
    <row r="116" spans="1:22" s="34" customFormat="1" ht="15.75" customHeight="1" x14ac:dyDescent="0.3">
      <c r="A116" s="155" t="s">
        <v>372</v>
      </c>
      <c r="B116" s="155"/>
      <c r="C116" s="155"/>
      <c r="D116" s="155"/>
      <c r="E116" s="155"/>
      <c r="F116" s="155"/>
      <c r="G116" s="155"/>
      <c r="H116" s="155"/>
      <c r="R116"/>
      <c r="S116" s="20"/>
      <c r="T116"/>
      <c r="U116"/>
      <c r="V116" s="20"/>
    </row>
    <row r="117" spans="1:22" s="34" customFormat="1" ht="15.75" customHeight="1" x14ac:dyDescent="0.3">
      <c r="A117" s="107" t="s">
        <v>51</v>
      </c>
      <c r="B117" s="107"/>
      <c r="C117" s="113" t="s">
        <v>73</v>
      </c>
      <c r="D117" s="113"/>
      <c r="E117" s="112" t="s">
        <v>52</v>
      </c>
      <c r="F117" s="112"/>
      <c r="G117" s="107" t="s">
        <v>53</v>
      </c>
      <c r="H117" s="107"/>
      <c r="R117"/>
      <c r="S117" s="20"/>
      <c r="T117"/>
      <c r="U117" s="20"/>
      <c r="V117" s="20"/>
    </row>
    <row r="118" spans="1:22" s="34" customFormat="1" x14ac:dyDescent="0.3">
      <c r="A118" s="157" t="s">
        <v>365</v>
      </c>
      <c r="B118" s="157"/>
      <c r="C118" s="188">
        <f>COUNT(D134)</f>
        <v>1</v>
      </c>
      <c r="D118" s="237"/>
      <c r="E118" s="188">
        <f>SUM(F134)</f>
        <v>7675.7222879999999</v>
      </c>
      <c r="F118" s="237"/>
      <c r="G118" s="188">
        <f>SUM(H134)</f>
        <v>11897.369546400001</v>
      </c>
      <c r="H118" s="237"/>
      <c r="R118"/>
      <c r="S118" s="20"/>
      <c r="T118"/>
      <c r="U118" s="20"/>
      <c r="V118" s="20"/>
    </row>
    <row r="119" spans="1:22" s="34" customFormat="1" x14ac:dyDescent="0.3">
      <c r="A119" s="157" t="s">
        <v>369</v>
      </c>
      <c r="B119" s="157"/>
      <c r="C119" s="188">
        <f>COUNT(D138:D143)+COUNT(D145:D150)</f>
        <v>12</v>
      </c>
      <c r="D119" s="237"/>
      <c r="E119" s="188">
        <f t="shared" ref="E119" si="0">SUM(F138:F143)+SUM(F145:F150)</f>
        <v>3110.5807199999999</v>
      </c>
      <c r="F119" s="237"/>
      <c r="G119" s="188">
        <f t="shared" ref="G119" si="1">SUM(H138:H143)+SUM(H145:H150)</f>
        <v>4821.4001159999998</v>
      </c>
      <c r="H119" s="237"/>
      <c r="R119"/>
      <c r="S119" s="20"/>
      <c r="T119"/>
      <c r="U119" s="20"/>
      <c r="V119" s="20"/>
    </row>
    <row r="120" spans="1:22" s="34" customFormat="1" x14ac:dyDescent="0.3">
      <c r="A120" s="155" t="s">
        <v>149</v>
      </c>
      <c r="B120" s="155"/>
      <c r="C120" s="223">
        <f>SUM(C118:D119)</f>
        <v>13</v>
      </c>
      <c r="D120" s="113"/>
      <c r="E120" s="223">
        <f>SUM(E118:F119)</f>
        <v>10786.303007999999</v>
      </c>
      <c r="F120" s="113"/>
      <c r="G120" s="223">
        <f>SUM(G118:H119)</f>
        <v>16718.769662400002</v>
      </c>
      <c r="H120" s="113"/>
      <c r="R120"/>
      <c r="S120" s="20"/>
      <c r="T120"/>
      <c r="U120" s="20"/>
      <c r="V120" s="20"/>
    </row>
    <row r="121" spans="1:22" s="34" customFormat="1" x14ac:dyDescent="0.3">
      <c r="A121" s="155" t="s">
        <v>373</v>
      </c>
      <c r="B121" s="155"/>
      <c r="C121" s="155"/>
      <c r="D121" s="155"/>
      <c r="E121" s="155"/>
      <c r="F121" s="155"/>
      <c r="G121" s="155"/>
      <c r="H121" s="155"/>
      <c r="T121"/>
    </row>
    <row r="122" spans="1:22" s="34" customFormat="1" ht="15.75" customHeight="1" x14ac:dyDescent="0.3">
      <c r="A122" s="107" t="s">
        <v>51</v>
      </c>
      <c r="B122" s="107"/>
      <c r="C122" s="113" t="s">
        <v>73</v>
      </c>
      <c r="D122" s="113"/>
      <c r="E122" s="112" t="s">
        <v>52</v>
      </c>
      <c r="F122" s="112"/>
      <c r="G122" s="107" t="s">
        <v>53</v>
      </c>
      <c r="H122" s="107"/>
      <c r="T122"/>
    </row>
    <row r="123" spans="1:22" s="34" customFormat="1" x14ac:dyDescent="0.3">
      <c r="A123" s="157" t="s">
        <v>365</v>
      </c>
      <c r="B123" s="157"/>
      <c r="C123" s="188">
        <f>COUNT(D157:D162)+COUNT(D165:D171)*18+COUNT(D173:D174)*3+COUNT(D176:D179)*3</f>
        <v>150</v>
      </c>
      <c r="D123" s="188"/>
      <c r="E123" s="188">
        <f t="shared" ref="E123" si="2">SUM(F157:F162)+SUM(F165:F171)*18+SUM(F173:F174)*3+SUM(F176:F179)*3</f>
        <v>82407.650130000009</v>
      </c>
      <c r="F123" s="188"/>
      <c r="G123" s="188">
        <f t="shared" ref="G123" si="3">SUM(H157:H162)+SUM(H165:H171)*18+SUM(H173:H174)*3+SUM(H176:H179)*3</f>
        <v>124108.13960999997</v>
      </c>
      <c r="H123" s="188"/>
      <c r="T123"/>
    </row>
    <row r="124" spans="1:22" s="34" customFormat="1" x14ac:dyDescent="0.3">
      <c r="A124" s="157" t="s">
        <v>369</v>
      </c>
      <c r="B124" s="157"/>
      <c r="C124" s="188">
        <f>COUNT(D182:D187)+COUNT(D190:D196)*18+COUNT(D198:D199,D201:D204)*3</f>
        <v>150</v>
      </c>
      <c r="D124" s="188"/>
      <c r="E124" s="188">
        <f t="shared" ref="E124" si="4">SUM(F182:F187)+SUM(F190:F196)*18+SUM(F198:F199,F201:F204)*3</f>
        <v>83518.979309999995</v>
      </c>
      <c r="F124" s="188"/>
      <c r="G124" s="188">
        <f t="shared" ref="G124" si="5">SUM(H182:H187)+SUM(H190:H196)*18+SUM(H198:H199,H201:H204)*3</f>
        <v>125507.84980499999</v>
      </c>
      <c r="H124" s="188"/>
      <c r="T124"/>
    </row>
    <row r="125" spans="1:22" s="34" customFormat="1" ht="16.2" thickBot="1" x14ac:dyDescent="0.35">
      <c r="A125" s="222" t="s">
        <v>149</v>
      </c>
      <c r="B125" s="222"/>
      <c r="C125" s="132">
        <f>SUM(C123:D124)</f>
        <v>300</v>
      </c>
      <c r="D125" s="133"/>
      <c r="E125" s="132">
        <f>SUM(E123:F124)</f>
        <v>165926.62943999999</v>
      </c>
      <c r="F125" s="133"/>
      <c r="G125" s="132">
        <f>SUM(G123:H124)</f>
        <v>249615.98941499996</v>
      </c>
      <c r="H125" s="133"/>
      <c r="T125"/>
    </row>
    <row r="126" spans="1:22" s="34" customFormat="1" ht="16.2" thickBot="1" x14ac:dyDescent="0.35">
      <c r="A126" s="164" t="s">
        <v>165</v>
      </c>
      <c r="B126" s="165"/>
      <c r="C126" s="217">
        <f>C120+C125</f>
        <v>313</v>
      </c>
      <c r="D126" s="217"/>
      <c r="E126" s="218">
        <f>E120+E125</f>
        <v>176712.93244799998</v>
      </c>
      <c r="F126" s="218"/>
      <c r="G126" s="209">
        <f>G120+G125</f>
        <v>266334.75907739997</v>
      </c>
      <c r="H126" s="210"/>
      <c r="T126"/>
    </row>
    <row r="127" spans="1:22" s="33" customFormat="1" x14ac:dyDescent="0.3">
      <c r="A127" s="152" t="s">
        <v>54</v>
      </c>
      <c r="B127" s="152"/>
      <c r="C127" s="152"/>
      <c r="D127" s="152"/>
      <c r="E127" s="152"/>
      <c r="F127" s="152"/>
      <c r="G127" s="152"/>
      <c r="H127" s="152"/>
      <c r="T127" s="34"/>
    </row>
    <row r="128" spans="1:22" x14ac:dyDescent="0.3">
      <c r="A128" s="106" t="s">
        <v>173</v>
      </c>
      <c r="B128" s="106"/>
      <c r="C128" s="106"/>
      <c r="D128" s="106"/>
      <c r="E128" s="106"/>
      <c r="F128" s="106"/>
      <c r="G128" s="106"/>
      <c r="H128" s="106"/>
      <c r="T128" s="34"/>
    </row>
    <row r="129" spans="1:20" ht="35.4" customHeight="1" x14ac:dyDescent="0.3">
      <c r="A129" s="126" t="s">
        <v>381</v>
      </c>
      <c r="B129" s="126" t="s">
        <v>175</v>
      </c>
      <c r="C129" s="126" t="s">
        <v>55</v>
      </c>
      <c r="D129" s="126" t="s">
        <v>232</v>
      </c>
      <c r="E129" s="162" t="s">
        <v>364</v>
      </c>
      <c r="F129" s="126" t="s">
        <v>56</v>
      </c>
      <c r="G129" s="162" t="s">
        <v>57</v>
      </c>
      <c r="H129" s="81" t="s">
        <v>147</v>
      </c>
      <c r="T129" s="34"/>
    </row>
    <row r="130" spans="1:20" s="36" customFormat="1" x14ac:dyDescent="0.3">
      <c r="A130" s="127"/>
      <c r="B130" s="127"/>
      <c r="C130" s="127"/>
      <c r="D130" s="127"/>
      <c r="E130" s="163"/>
      <c r="F130" s="127"/>
      <c r="G130" s="163"/>
      <c r="H130" s="80">
        <v>0.55000000000000004</v>
      </c>
      <c r="T130" s="34"/>
    </row>
    <row r="131" spans="1:20" s="36" customFormat="1" x14ac:dyDescent="0.3">
      <c r="A131" s="83" t="s">
        <v>366</v>
      </c>
      <c r="B131" s="84"/>
      <c r="C131" s="84"/>
      <c r="D131" s="84"/>
      <c r="E131" s="84"/>
      <c r="F131" s="84"/>
      <c r="G131" s="84"/>
      <c r="H131" s="85"/>
      <c r="T131" s="34"/>
    </row>
    <row r="132" spans="1:20" s="36" customFormat="1" x14ac:dyDescent="0.3">
      <c r="A132" s="83" t="s">
        <v>375</v>
      </c>
      <c r="B132" s="84"/>
      <c r="C132" s="84"/>
      <c r="D132" s="84"/>
      <c r="E132" s="84"/>
      <c r="F132" s="84"/>
      <c r="G132" s="84"/>
      <c r="H132" s="85"/>
      <c r="T132" s="34"/>
    </row>
    <row r="133" spans="1:20" s="36" customFormat="1" x14ac:dyDescent="0.3">
      <c r="A133" s="91" t="s">
        <v>350</v>
      </c>
      <c r="B133" s="92"/>
      <c r="C133" s="92"/>
      <c r="D133" s="92"/>
      <c r="E133" s="92"/>
      <c r="F133" s="92"/>
      <c r="G133" s="92"/>
      <c r="H133" s="93"/>
      <c r="J133" s="35"/>
      <c r="T133" s="34"/>
    </row>
    <row r="134" spans="1:20" s="36" customFormat="1" ht="48.75" customHeight="1" x14ac:dyDescent="0.3">
      <c r="A134" s="87">
        <v>1</v>
      </c>
      <c r="B134" s="89"/>
      <c r="C134" s="41" t="s">
        <v>351</v>
      </c>
      <c r="D134" s="74">
        <f>(694.98)*(10.764)</f>
        <v>7480.7647200000001</v>
      </c>
      <c r="E134" s="74">
        <f>(45.28*1.2)*(10.764)</f>
        <v>584.872704</v>
      </c>
      <c r="F134" s="41">
        <f>D134+(IF(E134&lt;201,E134,IF(E134&lt;301,E134/2,E134/3)))</f>
        <v>7675.7222879999999</v>
      </c>
      <c r="G134" s="41">
        <v>0</v>
      </c>
      <c r="H134" s="71">
        <f>(F134+(IF(G134&lt;101,G134,IF(G134&lt;201,G134/2,IF(G134&lt;=301,G134/3,G134/4)))))*(($H$130)+1)</f>
        <v>11897.369546400001</v>
      </c>
      <c r="I134" s="72">
        <f>(25.78*4.03+3.93*5.46+28.27*2.38+3.2*2.25+15.42*2.35+6.25*2.6+4.25*3.27+3.65*2.27+1.15*1.5+1.1*1.5+1.1*1.5+4.6*3.52+3.05*2.05)*2</f>
        <v>603.94659999999999</v>
      </c>
      <c r="L134" s="82"/>
      <c r="M134" s="82"/>
      <c r="N134" s="35"/>
      <c r="T134" s="34"/>
    </row>
    <row r="135" spans="1:20" s="36" customFormat="1" x14ac:dyDescent="0.3">
      <c r="A135" s="91" t="s">
        <v>352</v>
      </c>
      <c r="B135" s="92"/>
      <c r="C135" s="92"/>
      <c r="D135" s="92"/>
      <c r="E135" s="92"/>
      <c r="F135" s="92"/>
      <c r="G135" s="92"/>
      <c r="H135" s="93"/>
      <c r="I135" s="35"/>
      <c r="N135" s="35"/>
    </row>
    <row r="136" spans="1:20" s="36" customFormat="1" x14ac:dyDescent="0.3">
      <c r="A136" s="83" t="s">
        <v>376</v>
      </c>
      <c r="B136" s="84"/>
      <c r="C136" s="84"/>
      <c r="D136" s="84"/>
      <c r="E136" s="84"/>
      <c r="F136" s="84"/>
      <c r="G136" s="84"/>
      <c r="H136" s="85"/>
      <c r="T136" s="34"/>
    </row>
    <row r="137" spans="1:20" s="36" customFormat="1" x14ac:dyDescent="0.3">
      <c r="A137" s="90" t="s">
        <v>350</v>
      </c>
      <c r="B137" s="90"/>
      <c r="C137" s="90"/>
      <c r="D137" s="90"/>
      <c r="E137" s="90"/>
      <c r="F137" s="90"/>
      <c r="G137" s="90"/>
      <c r="H137" s="90"/>
      <c r="J137" s="35"/>
      <c r="T137" s="34"/>
    </row>
    <row r="138" spans="1:20" s="36" customFormat="1" x14ac:dyDescent="0.3">
      <c r="A138" s="86">
        <v>1</v>
      </c>
      <c r="B138" s="86"/>
      <c r="C138" s="41" t="s">
        <v>370</v>
      </c>
      <c r="D138" s="74">
        <f>(14.8)*(10.764)</f>
        <v>159.30719999999999</v>
      </c>
      <c r="E138" s="74">
        <v>0</v>
      </c>
      <c r="F138" s="41">
        <f t="shared" ref="F138:F143" si="6">D138+(IF(E138&lt;201,E138,IF(E138&lt;301,E138/2,E138/3)))</f>
        <v>159.30719999999999</v>
      </c>
      <c r="G138" s="41">
        <v>0</v>
      </c>
      <c r="H138" s="41">
        <f t="shared" ref="H138:H143" si="7">(F138+(IF(G138&lt;101,G138,IF(G138&lt;201,G138/2,IF(G138&lt;=301,G138/3,G138/4)))))*(($H$130)+1)</f>
        <v>246.92616000000001</v>
      </c>
      <c r="I138" s="72"/>
      <c r="L138" s="82"/>
      <c r="M138" s="82"/>
      <c r="N138" s="35"/>
      <c r="T138" s="34"/>
    </row>
    <row r="139" spans="1:20" s="36" customFormat="1" x14ac:dyDescent="0.3">
      <c r="A139" s="86">
        <f>A138+1</f>
        <v>2</v>
      </c>
      <c r="B139" s="86"/>
      <c r="C139" s="41" t="s">
        <v>370</v>
      </c>
      <c r="D139" s="74">
        <f>(29.14)*(10.764)</f>
        <v>313.66296</v>
      </c>
      <c r="E139" s="74">
        <v>0</v>
      </c>
      <c r="F139" s="41">
        <f t="shared" si="6"/>
        <v>313.66296</v>
      </c>
      <c r="G139" s="41">
        <v>0</v>
      </c>
      <c r="H139" s="41">
        <f t="shared" si="7"/>
        <v>486.17758800000001</v>
      </c>
      <c r="I139" s="72">
        <f>5*3.85+2.9*2.15+1.2*2</f>
        <v>27.884999999999998</v>
      </c>
      <c r="L139" s="82"/>
      <c r="M139" s="82"/>
      <c r="N139" s="35"/>
      <c r="T139" s="34"/>
    </row>
    <row r="140" spans="1:20" s="36" customFormat="1" x14ac:dyDescent="0.3">
      <c r="A140" s="86">
        <f t="shared" ref="A140:A143" si="8">A139+1</f>
        <v>3</v>
      </c>
      <c r="B140" s="86"/>
      <c r="C140" s="41" t="s">
        <v>370</v>
      </c>
      <c r="D140" s="74">
        <f>(31.67)*(10.764)</f>
        <v>340.89587999999998</v>
      </c>
      <c r="E140" s="74">
        <v>0</v>
      </c>
      <c r="F140" s="41">
        <f t="shared" si="6"/>
        <v>340.89587999999998</v>
      </c>
      <c r="G140" s="41">
        <v>0</v>
      </c>
      <c r="H140" s="41">
        <f t="shared" si="7"/>
        <v>528.38861399999996</v>
      </c>
      <c r="I140" s="72">
        <f>6.5*2.85+2.9*3.15+1.2*2.1</f>
        <v>30.180000000000003</v>
      </c>
      <c r="L140" s="82"/>
      <c r="M140" s="82"/>
      <c r="N140" s="35"/>
      <c r="T140" s="34"/>
    </row>
    <row r="141" spans="1:20" s="36" customFormat="1" x14ac:dyDescent="0.3">
      <c r="A141" s="86">
        <f t="shared" si="8"/>
        <v>4</v>
      </c>
      <c r="B141" s="86"/>
      <c r="C141" s="41" t="s">
        <v>370</v>
      </c>
      <c r="D141" s="74">
        <f>(25.75)*(10.764)</f>
        <v>277.173</v>
      </c>
      <c r="E141" s="74">
        <v>0</v>
      </c>
      <c r="F141" s="41">
        <f t="shared" si="6"/>
        <v>277.173</v>
      </c>
      <c r="G141" s="41">
        <v>0</v>
      </c>
      <c r="H141" s="41">
        <f t="shared" si="7"/>
        <v>429.61815000000001</v>
      </c>
      <c r="I141" s="72"/>
      <c r="L141" s="82"/>
      <c r="M141" s="82"/>
      <c r="N141" s="35"/>
      <c r="T141" s="34"/>
    </row>
    <row r="142" spans="1:20" s="36" customFormat="1" x14ac:dyDescent="0.3">
      <c r="A142" s="86">
        <f t="shared" si="8"/>
        <v>5</v>
      </c>
      <c r="B142" s="86"/>
      <c r="C142" s="41" t="s">
        <v>370</v>
      </c>
      <c r="D142" s="74">
        <f>(28.03)*(10.764)</f>
        <v>301.71492000000001</v>
      </c>
      <c r="E142" s="74">
        <v>0</v>
      </c>
      <c r="F142" s="41">
        <f t="shared" si="6"/>
        <v>301.71492000000001</v>
      </c>
      <c r="G142" s="41">
        <v>0</v>
      </c>
      <c r="H142" s="41">
        <f t="shared" si="7"/>
        <v>467.65812600000004</v>
      </c>
      <c r="I142" s="72"/>
      <c r="L142" s="82"/>
      <c r="M142" s="82"/>
      <c r="N142" s="35"/>
      <c r="T142" s="34"/>
    </row>
    <row r="143" spans="1:20" s="36" customFormat="1" x14ac:dyDescent="0.3">
      <c r="A143" s="86">
        <f t="shared" si="8"/>
        <v>6</v>
      </c>
      <c r="B143" s="86"/>
      <c r="C143" s="41" t="s">
        <v>370</v>
      </c>
      <c r="D143" s="74">
        <f>(15.1)*(10.764)</f>
        <v>162.53639999999999</v>
      </c>
      <c r="E143" s="74">
        <v>0</v>
      </c>
      <c r="F143" s="41">
        <f t="shared" si="6"/>
        <v>162.53639999999999</v>
      </c>
      <c r="G143" s="41">
        <v>0</v>
      </c>
      <c r="H143" s="41">
        <f t="shared" si="7"/>
        <v>251.93141999999997</v>
      </c>
      <c r="I143" s="72">
        <f>2.9*3.85+2*1.2+1.5*0.55</f>
        <v>14.389999999999999</v>
      </c>
      <c r="L143" s="82"/>
      <c r="M143" s="82"/>
      <c r="N143" s="35"/>
      <c r="T143" s="34"/>
    </row>
    <row r="144" spans="1:20" s="36" customFormat="1" x14ac:dyDescent="0.3">
      <c r="A144" s="91" t="s">
        <v>371</v>
      </c>
      <c r="B144" s="92"/>
      <c r="C144" s="92"/>
      <c r="D144" s="92"/>
      <c r="E144" s="92"/>
      <c r="F144" s="92"/>
      <c r="G144" s="92"/>
      <c r="H144" s="93"/>
      <c r="J144" s="35"/>
      <c r="T144" s="34"/>
    </row>
    <row r="145" spans="1:20" s="36" customFormat="1" x14ac:dyDescent="0.3">
      <c r="A145" s="87">
        <v>1</v>
      </c>
      <c r="B145" s="89"/>
      <c r="C145" s="41" t="s">
        <v>370</v>
      </c>
      <c r="D145" s="74">
        <f>(14.8)*(10.764)</f>
        <v>159.30719999999999</v>
      </c>
      <c r="E145" s="74">
        <v>0</v>
      </c>
      <c r="F145" s="41">
        <f t="shared" ref="F145:F150" si="9">D145+(IF(E145&lt;201,E145,IF(E145&lt;301,E145/2,E145/3)))</f>
        <v>159.30719999999999</v>
      </c>
      <c r="G145" s="41">
        <v>0</v>
      </c>
      <c r="H145" s="71">
        <f t="shared" ref="H145:H150" si="10">(F145+(IF(G145&lt;101,G145,IF(G145&lt;201,G145/2,IF(G145&lt;=301,G145/3,G145/4)))))*(($H$130)+1)</f>
        <v>246.92616000000001</v>
      </c>
      <c r="I145" s="72"/>
      <c r="L145" s="82"/>
      <c r="M145" s="82"/>
      <c r="N145" s="35"/>
      <c r="T145" s="34"/>
    </row>
    <row r="146" spans="1:20" s="36" customFormat="1" x14ac:dyDescent="0.3">
      <c r="A146" s="87">
        <f>A145+1</f>
        <v>2</v>
      </c>
      <c r="B146" s="89"/>
      <c r="C146" s="41" t="s">
        <v>370</v>
      </c>
      <c r="D146" s="74">
        <f>(29.14)*(10.764)</f>
        <v>313.66296</v>
      </c>
      <c r="E146" s="74">
        <v>0</v>
      </c>
      <c r="F146" s="41">
        <f t="shared" si="9"/>
        <v>313.66296</v>
      </c>
      <c r="G146" s="41">
        <v>0</v>
      </c>
      <c r="H146" s="71">
        <f t="shared" si="10"/>
        <v>486.17758800000001</v>
      </c>
      <c r="I146" s="72"/>
      <c r="L146" s="82"/>
      <c r="M146" s="82"/>
      <c r="N146" s="35"/>
      <c r="T146" s="34"/>
    </row>
    <row r="147" spans="1:20" s="36" customFormat="1" x14ac:dyDescent="0.3">
      <c r="A147" s="87">
        <f t="shared" ref="A147:A150" si="11">A146+1</f>
        <v>3</v>
      </c>
      <c r="B147" s="89"/>
      <c r="C147" s="41" t="s">
        <v>370</v>
      </c>
      <c r="D147" s="74">
        <f>(31.67)*(10.764)</f>
        <v>340.89587999999998</v>
      </c>
      <c r="E147" s="74">
        <v>0</v>
      </c>
      <c r="F147" s="41">
        <f t="shared" si="9"/>
        <v>340.89587999999998</v>
      </c>
      <c r="G147" s="41">
        <v>0</v>
      </c>
      <c r="H147" s="71">
        <f t="shared" si="10"/>
        <v>528.38861399999996</v>
      </c>
      <c r="I147" s="72"/>
      <c r="L147" s="82"/>
      <c r="M147" s="82"/>
      <c r="N147" s="35"/>
      <c r="T147" s="34"/>
    </row>
    <row r="148" spans="1:20" s="36" customFormat="1" x14ac:dyDescent="0.3">
      <c r="A148" s="87">
        <f t="shared" si="11"/>
        <v>4</v>
      </c>
      <c r="B148" s="89"/>
      <c r="C148" s="41" t="s">
        <v>370</v>
      </c>
      <c r="D148" s="74">
        <f>(25.75)*(10.764)</f>
        <v>277.173</v>
      </c>
      <c r="E148" s="74">
        <v>0</v>
      </c>
      <c r="F148" s="41">
        <f t="shared" si="9"/>
        <v>277.173</v>
      </c>
      <c r="G148" s="41">
        <v>0</v>
      </c>
      <c r="H148" s="71">
        <f t="shared" si="10"/>
        <v>429.61815000000001</v>
      </c>
      <c r="I148" s="72"/>
      <c r="L148" s="82"/>
      <c r="M148" s="82"/>
      <c r="N148" s="35"/>
      <c r="T148" s="34"/>
    </row>
    <row r="149" spans="1:20" s="36" customFormat="1" x14ac:dyDescent="0.3">
      <c r="A149" s="87">
        <f t="shared" si="11"/>
        <v>5</v>
      </c>
      <c r="B149" s="89"/>
      <c r="C149" s="41" t="s">
        <v>370</v>
      </c>
      <c r="D149" s="74">
        <f>(28.03)*(10.764)</f>
        <v>301.71492000000001</v>
      </c>
      <c r="E149" s="74">
        <v>0</v>
      </c>
      <c r="F149" s="41">
        <f t="shared" si="9"/>
        <v>301.71492000000001</v>
      </c>
      <c r="G149" s="41">
        <v>0</v>
      </c>
      <c r="H149" s="71">
        <f t="shared" si="10"/>
        <v>467.65812600000004</v>
      </c>
      <c r="I149" s="72"/>
      <c r="L149" s="82"/>
      <c r="M149" s="82"/>
      <c r="N149" s="35"/>
      <c r="T149" s="34"/>
    </row>
    <row r="150" spans="1:20" s="36" customFormat="1" x14ac:dyDescent="0.3">
      <c r="A150" s="87">
        <f t="shared" si="11"/>
        <v>6</v>
      </c>
      <c r="B150" s="89"/>
      <c r="C150" s="41" t="s">
        <v>370</v>
      </c>
      <c r="D150" s="74">
        <f>(15.1)*(10.764)</f>
        <v>162.53639999999999</v>
      </c>
      <c r="E150" s="74">
        <v>0</v>
      </c>
      <c r="F150" s="41">
        <f t="shared" si="9"/>
        <v>162.53639999999999</v>
      </c>
      <c r="G150" s="41">
        <v>0</v>
      </c>
      <c r="H150" s="71">
        <f t="shared" si="10"/>
        <v>251.93141999999997</v>
      </c>
      <c r="I150" s="72"/>
      <c r="L150" s="82"/>
      <c r="M150" s="82"/>
      <c r="N150" s="35"/>
      <c r="T150" s="34"/>
    </row>
    <row r="151" spans="1:20" s="36" customFormat="1" x14ac:dyDescent="0.3">
      <c r="A151" s="87"/>
      <c r="B151" s="88"/>
      <c r="C151" s="88"/>
      <c r="D151" s="88"/>
      <c r="E151" s="88"/>
      <c r="F151" s="88"/>
      <c r="G151" s="88"/>
      <c r="H151" s="89"/>
      <c r="I151" s="35"/>
      <c r="N151" s="35"/>
    </row>
    <row r="152" spans="1:20" ht="47.25" customHeight="1" x14ac:dyDescent="0.3">
      <c r="A152" s="224" t="s">
        <v>117</v>
      </c>
      <c r="B152" s="128" t="s">
        <v>176</v>
      </c>
      <c r="C152" s="128" t="s">
        <v>55</v>
      </c>
      <c r="D152" s="126" t="s">
        <v>357</v>
      </c>
      <c r="E152" s="128" t="s">
        <v>231</v>
      </c>
      <c r="F152" s="128" t="s">
        <v>56</v>
      </c>
      <c r="G152" s="207" t="s">
        <v>57</v>
      </c>
      <c r="H152" s="61" t="s">
        <v>147</v>
      </c>
      <c r="I152" s="35"/>
      <c r="T152" s="36"/>
    </row>
    <row r="153" spans="1:20" s="36" customFormat="1" x14ac:dyDescent="0.3">
      <c r="A153" s="225"/>
      <c r="B153" s="129"/>
      <c r="C153" s="129"/>
      <c r="D153" s="127"/>
      <c r="E153" s="129"/>
      <c r="F153" s="129"/>
      <c r="G153" s="208"/>
      <c r="H153" s="80">
        <v>0.5</v>
      </c>
      <c r="I153" s="35"/>
      <c r="J153" s="74">
        <f>10.764</f>
        <v>10.763999999999999</v>
      </c>
    </row>
    <row r="154" spans="1:20" s="36" customFormat="1" x14ac:dyDescent="0.3">
      <c r="A154" s="83" t="s">
        <v>366</v>
      </c>
      <c r="B154" s="84"/>
      <c r="C154" s="84"/>
      <c r="D154" s="84"/>
      <c r="E154" s="84"/>
      <c r="F154" s="84"/>
      <c r="G154" s="84"/>
      <c r="H154" s="85"/>
      <c r="T154" s="34"/>
    </row>
    <row r="155" spans="1:20" s="36" customFormat="1" x14ac:dyDescent="0.3">
      <c r="A155" s="83" t="s">
        <v>375</v>
      </c>
      <c r="B155" s="84"/>
      <c r="C155" s="84"/>
      <c r="D155" s="84"/>
      <c r="E155" s="84"/>
      <c r="F155" s="84"/>
      <c r="G155" s="84"/>
      <c r="H155" s="85"/>
      <c r="T155" s="34"/>
    </row>
    <row r="156" spans="1:20" s="36" customFormat="1" x14ac:dyDescent="0.3">
      <c r="A156" s="90" t="s">
        <v>355</v>
      </c>
      <c r="B156" s="90"/>
      <c r="C156" s="90"/>
      <c r="D156" s="90"/>
      <c r="E156" s="90"/>
      <c r="F156" s="90"/>
      <c r="G156" s="90"/>
      <c r="H156" s="90"/>
      <c r="I156" s="35"/>
      <c r="L156" s="82"/>
      <c r="M156" s="82"/>
    </row>
    <row r="157" spans="1:20" s="36" customFormat="1" x14ac:dyDescent="0.3">
      <c r="A157" s="86">
        <v>1</v>
      </c>
      <c r="B157" s="86"/>
      <c r="C157" s="41" t="s">
        <v>353</v>
      </c>
      <c r="D157" s="74">
        <f>(29.68)*(10.764)</f>
        <v>319.47551999999996</v>
      </c>
      <c r="E157" s="74">
        <f>(2.9*1.4+2.75*1.1+0.75*(2.9+2.1+2.75))*(10.764)</f>
        <v>138.82868999999999</v>
      </c>
      <c r="F157" s="41">
        <f t="shared" ref="F157:F162" si="12">D157+E157</f>
        <v>458.30420999999996</v>
      </c>
      <c r="G157" s="74">
        <f>(40.6+4.2+3.9+12+26.25+7*0.8+0.5+2.8)*(10.764)</f>
        <v>1031.7293999999999</v>
      </c>
      <c r="H157" s="41">
        <f t="shared" ref="H157:H162" si="13">F157*(($H$153)+1)+(IF(G157&lt;101,G157,IF(G157&lt;201,G157/2,IF(G157&lt;=301,G157/3,G157/4))))</f>
        <v>945.38866499999995</v>
      </c>
      <c r="I157" s="35">
        <f>(2.9*2.8+2.1*1.75+2.75*1.7+1.5*0.55+2*1.2+1.2*2+1.7*1.6+2.5*1)</f>
        <v>27.314999999999994</v>
      </c>
      <c r="J157" s="36">
        <f>81.31</f>
        <v>81.31</v>
      </c>
      <c r="N157" s="35"/>
    </row>
    <row r="158" spans="1:20" s="36" customFormat="1" x14ac:dyDescent="0.3">
      <c r="A158" s="86">
        <f t="shared" ref="A158:A163" si="14">A157+1</f>
        <v>2</v>
      </c>
      <c r="B158" s="86"/>
      <c r="C158" s="41" t="s">
        <v>354</v>
      </c>
      <c r="D158" s="74">
        <f>(49.86)*(10.764)</f>
        <v>536.69304</v>
      </c>
      <c r="E158" s="74">
        <f>(1.2*(2.1+2.9))*(10.764)</f>
        <v>64.584000000000003</v>
      </c>
      <c r="F158" s="41">
        <f t="shared" si="12"/>
        <v>601.27703999999994</v>
      </c>
      <c r="G158" s="74">
        <f>(9.2*4+3*0.5+10.12)*(10.764)</f>
        <v>521.19287999999995</v>
      </c>
      <c r="H158" s="41">
        <f t="shared" si="13"/>
        <v>1032.2137799999998</v>
      </c>
      <c r="I158" s="35">
        <f>(2.9*4.2+2.1*2.65+2.75*2.8+2.9*1.9+1.5*0.55+2*1.2+1.2*2+3.05*2.15+3.2*1)</f>
        <v>46.337499999999999</v>
      </c>
      <c r="N158" s="35"/>
    </row>
    <row r="159" spans="1:20" s="36" customFormat="1" x14ac:dyDescent="0.3">
      <c r="A159" s="86">
        <f t="shared" si="14"/>
        <v>3</v>
      </c>
      <c r="B159" s="86"/>
      <c r="C159" s="41" t="s">
        <v>353</v>
      </c>
      <c r="D159" s="74">
        <f>(38.75)*(10.764)</f>
        <v>417.10499999999996</v>
      </c>
      <c r="E159" s="74">
        <f>0*(10.764)</f>
        <v>0</v>
      </c>
      <c r="F159" s="41">
        <f t="shared" si="12"/>
        <v>417.10499999999996</v>
      </c>
      <c r="G159" s="74">
        <f>(0.6*2.7+4*1+4*0.7+3+8.25+4.125+6+10.5)*(10.764)</f>
        <v>433.73537999999996</v>
      </c>
      <c r="H159" s="41">
        <f t="shared" si="13"/>
        <v>734.09134499999993</v>
      </c>
      <c r="I159" s="35"/>
      <c r="N159" s="35"/>
    </row>
    <row r="160" spans="1:20" s="36" customFormat="1" x14ac:dyDescent="0.3">
      <c r="A160" s="86">
        <f t="shared" si="14"/>
        <v>4</v>
      </c>
      <c r="B160" s="86"/>
      <c r="C160" s="41" t="s">
        <v>354</v>
      </c>
      <c r="D160" s="74">
        <f>(47.43)*(10.764)</f>
        <v>510.53651999999994</v>
      </c>
      <c r="E160" s="74">
        <f>(1.2*(2.1+2.9))*(10.764)</f>
        <v>64.584000000000003</v>
      </c>
      <c r="F160" s="41">
        <f t="shared" si="12"/>
        <v>575.12051999999994</v>
      </c>
      <c r="G160" s="73">
        <v>0</v>
      </c>
      <c r="H160" s="41">
        <f t="shared" si="13"/>
        <v>862.68077999999991</v>
      </c>
      <c r="I160" s="35"/>
      <c r="N160" s="35"/>
    </row>
    <row r="161" spans="1:14" s="36" customFormat="1" x14ac:dyDescent="0.3">
      <c r="A161" s="86">
        <f t="shared" si="14"/>
        <v>5</v>
      </c>
      <c r="B161" s="86"/>
      <c r="C161" s="41" t="s">
        <v>353</v>
      </c>
      <c r="D161" s="74">
        <f>(29.84)*(10.764)</f>
        <v>321.19775999999996</v>
      </c>
      <c r="E161" s="74">
        <f>(2.9*1.4+2.75*1.1+0.75*(2.9+2.1+2.75))*(10.764)</f>
        <v>138.82868999999999</v>
      </c>
      <c r="F161" s="41">
        <f t="shared" si="12"/>
        <v>460.02644999999995</v>
      </c>
      <c r="G161" s="73">
        <v>0</v>
      </c>
      <c r="H161" s="41">
        <f t="shared" si="13"/>
        <v>690.03967499999999</v>
      </c>
      <c r="I161" s="35"/>
      <c r="N161" s="35"/>
    </row>
    <row r="162" spans="1:14" s="36" customFormat="1" x14ac:dyDescent="0.3">
      <c r="A162" s="86">
        <f t="shared" si="14"/>
        <v>6</v>
      </c>
      <c r="B162" s="86"/>
      <c r="C162" s="41" t="s">
        <v>353</v>
      </c>
      <c r="D162" s="74">
        <f>(37.83)*(10.764)</f>
        <v>407.20211999999998</v>
      </c>
      <c r="E162" s="74">
        <f>(2.9*1.2+3.15*1+0.75*(3+3.15))*(10.764)</f>
        <v>121.01427</v>
      </c>
      <c r="F162" s="41">
        <f t="shared" si="12"/>
        <v>528.21638999999993</v>
      </c>
      <c r="G162" s="73">
        <v>0</v>
      </c>
      <c r="H162" s="41">
        <f t="shared" si="13"/>
        <v>792.32458499999984</v>
      </c>
      <c r="I162" s="35"/>
      <c r="N162" s="35"/>
    </row>
    <row r="163" spans="1:14" s="36" customFormat="1" x14ac:dyDescent="0.3">
      <c r="A163" s="86">
        <f t="shared" si="14"/>
        <v>7</v>
      </c>
      <c r="B163" s="86"/>
      <c r="C163" s="87" t="s">
        <v>356</v>
      </c>
      <c r="D163" s="88"/>
      <c r="E163" s="88"/>
      <c r="F163" s="88"/>
      <c r="G163" s="88"/>
      <c r="H163" s="89"/>
      <c r="I163" s="35"/>
      <c r="J163" s="36">
        <f>40.6+4.2+3.9+12+26.25+7*0.8+0.5+2.8</f>
        <v>95.85</v>
      </c>
      <c r="N163" s="35"/>
    </row>
    <row r="164" spans="1:14" s="36" customFormat="1" ht="15.75" customHeight="1" x14ac:dyDescent="0.3">
      <c r="A164" s="91" t="s">
        <v>358</v>
      </c>
      <c r="B164" s="92"/>
      <c r="C164" s="92"/>
      <c r="D164" s="92"/>
      <c r="E164" s="92"/>
      <c r="F164" s="92"/>
      <c r="G164" s="92"/>
      <c r="H164" s="93"/>
      <c r="I164" s="35"/>
    </row>
    <row r="165" spans="1:14" s="36" customFormat="1" ht="15.75" customHeight="1" x14ac:dyDescent="0.3">
      <c r="A165" s="87">
        <v>1</v>
      </c>
      <c r="B165" s="89"/>
      <c r="C165" s="41" t="s">
        <v>353</v>
      </c>
      <c r="D165" s="74">
        <f>(29.68)*(10.764)</f>
        <v>319.47551999999996</v>
      </c>
      <c r="E165" s="74">
        <f>(2.9*1.4+2.75*1.1+0.75*(2.9+2.1+2.75))*(10.764)</f>
        <v>138.82868999999999</v>
      </c>
      <c r="F165" s="41">
        <f t="shared" ref="F165:F171" si="15">D165+E165</f>
        <v>458.30420999999996</v>
      </c>
      <c r="G165" s="41">
        <v>0</v>
      </c>
      <c r="H165" s="41">
        <f t="shared" ref="H165:H171" si="16">F165*(($H$153)+1)+(IF(G165&lt;101,G165,IF(G165&lt;201,G165/2,IF(G165&lt;=301,G165/3,G165/4))))</f>
        <v>687.4563149999999</v>
      </c>
      <c r="I165" s="35"/>
    </row>
    <row r="166" spans="1:14" s="36" customFormat="1" ht="15.75" customHeight="1" x14ac:dyDescent="0.3">
      <c r="A166" s="87">
        <v>2</v>
      </c>
      <c r="B166" s="89"/>
      <c r="C166" s="41" t="s">
        <v>354</v>
      </c>
      <c r="D166" s="74">
        <f>(49.86)*(10.764)</f>
        <v>536.69304</v>
      </c>
      <c r="E166" s="74">
        <f>(1.2*(2.1+2.9+2.9)+0.75*(2.9+2.75+2.1))*(10.764)</f>
        <v>164.60846999999998</v>
      </c>
      <c r="F166" s="41">
        <f t="shared" si="15"/>
        <v>701.30151000000001</v>
      </c>
      <c r="G166" s="41">
        <v>0</v>
      </c>
      <c r="H166" s="41">
        <f t="shared" si="16"/>
        <v>1051.9522649999999</v>
      </c>
      <c r="I166" s="35"/>
    </row>
    <row r="167" spans="1:14" s="36" customFormat="1" ht="15.75" customHeight="1" x14ac:dyDescent="0.3">
      <c r="A167" s="87">
        <v>3</v>
      </c>
      <c r="B167" s="89"/>
      <c r="C167" s="41" t="s">
        <v>353</v>
      </c>
      <c r="D167" s="74">
        <f>(38.75)*(10.764)</f>
        <v>417.10499999999996</v>
      </c>
      <c r="E167" s="74">
        <f>(2.9*1.35+0.75*(2.4+3.45))*(10.764)</f>
        <v>89.368109999999973</v>
      </c>
      <c r="F167" s="41">
        <f t="shared" si="15"/>
        <v>506.47310999999991</v>
      </c>
      <c r="G167" s="41">
        <v>0</v>
      </c>
      <c r="H167" s="41">
        <f t="shared" si="16"/>
        <v>759.70966499999986</v>
      </c>
      <c r="I167" s="35"/>
    </row>
    <row r="168" spans="1:14" s="36" customFormat="1" ht="15.75" customHeight="1" x14ac:dyDescent="0.3">
      <c r="A168" s="87">
        <v>4</v>
      </c>
      <c r="B168" s="89"/>
      <c r="C168" s="41" t="s">
        <v>354</v>
      </c>
      <c r="D168" s="74">
        <f>(47.43)*(10.764)</f>
        <v>510.53651999999994</v>
      </c>
      <c r="E168" s="74">
        <f>(1.2*(2.9+2.1+2.9)+0.75*(2.1+2.75+2.9))*(10.764)</f>
        <v>164.60846999999998</v>
      </c>
      <c r="F168" s="41">
        <f t="shared" si="15"/>
        <v>675.14498999999989</v>
      </c>
      <c r="G168" s="41">
        <v>0</v>
      </c>
      <c r="H168" s="41">
        <f t="shared" si="16"/>
        <v>1012.7174849999999</v>
      </c>
      <c r="I168" s="35">
        <f>(2.9*4.2+2.1*2.65+2.75*2.8+2.9*1.9+1.5*0.55+2*1.2+1.2*2+3.05*2.15+3*1)</f>
        <v>46.137499999999996</v>
      </c>
    </row>
    <row r="169" spans="1:14" s="36" customFormat="1" ht="15.75" customHeight="1" x14ac:dyDescent="0.3">
      <c r="A169" s="87">
        <v>5</v>
      </c>
      <c r="B169" s="89"/>
      <c r="C169" s="41" t="s">
        <v>353</v>
      </c>
      <c r="D169" s="74">
        <f>(29.84)*(10.764)</f>
        <v>321.19775999999996</v>
      </c>
      <c r="E169" s="74">
        <f>(2.9*1.4+2.75*1.1+0.75*(2.9+2.1+2.75))*(10.764)</f>
        <v>138.82868999999999</v>
      </c>
      <c r="F169" s="41">
        <f t="shared" si="15"/>
        <v>460.02644999999995</v>
      </c>
      <c r="G169" s="41">
        <v>0</v>
      </c>
      <c r="H169" s="41">
        <f t="shared" si="16"/>
        <v>690.03967499999999</v>
      </c>
      <c r="I169" s="35"/>
    </row>
    <row r="170" spans="1:14" s="36" customFormat="1" ht="15.75" customHeight="1" x14ac:dyDescent="0.3">
      <c r="A170" s="87">
        <v>6</v>
      </c>
      <c r="B170" s="89"/>
      <c r="C170" s="41" t="s">
        <v>353</v>
      </c>
      <c r="D170" s="74">
        <f>(37.83)*(10.764)</f>
        <v>407.20211999999998</v>
      </c>
      <c r="E170" s="74">
        <f>(2.9*1.2+3.15*1+0.75*(3+3.15))*(10.764)</f>
        <v>121.01427</v>
      </c>
      <c r="F170" s="41">
        <f t="shared" si="15"/>
        <v>528.21638999999993</v>
      </c>
      <c r="G170" s="41">
        <v>0</v>
      </c>
      <c r="H170" s="41">
        <f t="shared" si="16"/>
        <v>792.32458499999984</v>
      </c>
      <c r="I170" s="35"/>
    </row>
    <row r="171" spans="1:14" s="36" customFormat="1" ht="15.75" customHeight="1" x14ac:dyDescent="0.3">
      <c r="A171" s="87">
        <v>7</v>
      </c>
      <c r="B171" s="89"/>
      <c r="C171" s="41" t="s">
        <v>353</v>
      </c>
      <c r="D171" s="74">
        <f>(37.28)*(10.764)</f>
        <v>401.28192000000001</v>
      </c>
      <c r="E171" s="74">
        <f>(2.9*1.2+3.15*1+0.75*(3+3.15))*(10.764)</f>
        <v>121.01427</v>
      </c>
      <c r="F171" s="41">
        <f t="shared" si="15"/>
        <v>522.29619000000002</v>
      </c>
      <c r="G171" s="41">
        <v>0</v>
      </c>
      <c r="H171" s="41">
        <f t="shared" si="16"/>
        <v>783.44428500000004</v>
      </c>
      <c r="I171" s="35"/>
    </row>
    <row r="172" spans="1:14" s="36" customFormat="1" ht="15.75" customHeight="1" x14ac:dyDescent="0.3">
      <c r="A172" s="91" t="s">
        <v>359</v>
      </c>
      <c r="B172" s="92"/>
      <c r="C172" s="92"/>
      <c r="D172" s="92"/>
      <c r="E172" s="92"/>
      <c r="F172" s="92"/>
      <c r="G172" s="92"/>
      <c r="H172" s="93"/>
      <c r="I172" s="35"/>
    </row>
    <row r="173" spans="1:14" s="36" customFormat="1" ht="15.75" customHeight="1" x14ac:dyDescent="0.3">
      <c r="A173" s="87">
        <v>1</v>
      </c>
      <c r="B173" s="89"/>
      <c r="C173" s="41" t="s">
        <v>353</v>
      </c>
      <c r="D173" s="74">
        <f>(29.68)*(10.764)</f>
        <v>319.47551999999996</v>
      </c>
      <c r="E173" s="74">
        <f>(2.9*1.4+2.75*1.1+0.75*(2.9+2.1+2.75))*(10.764)</f>
        <v>138.82868999999999</v>
      </c>
      <c r="F173" s="41">
        <f>D173+E173</f>
        <v>458.30420999999996</v>
      </c>
      <c r="G173" s="41">
        <v>0</v>
      </c>
      <c r="H173" s="41">
        <f>F173*(($H$153)+1)+(IF(G173&lt;101,G173,IF(G173&lt;201,G173/2,IF(G173&lt;=301,G173/3,G173/4))))</f>
        <v>687.4563149999999</v>
      </c>
      <c r="I173" s="35"/>
    </row>
    <row r="174" spans="1:14" s="36" customFormat="1" ht="15.75" customHeight="1" x14ac:dyDescent="0.3">
      <c r="A174" s="87">
        <v>2</v>
      </c>
      <c r="B174" s="89"/>
      <c r="C174" s="41" t="s">
        <v>354</v>
      </c>
      <c r="D174" s="74">
        <f>(49.86)*(10.764)</f>
        <v>536.69304</v>
      </c>
      <c r="E174" s="74">
        <f>(1.2*(2.1+2.9+2.9)+0.75*(2.9+2.75+2.1))*(10.764)</f>
        <v>164.60846999999998</v>
      </c>
      <c r="F174" s="41">
        <f>D174+E174</f>
        <v>701.30151000000001</v>
      </c>
      <c r="G174" s="41">
        <v>0</v>
      </c>
      <c r="H174" s="41">
        <f>F174*(($H$153)+1)+(IF(G174&lt;101,G174,IF(G174&lt;201,G174/2,IF(G174&lt;=301,G174/3,G174/4))))</f>
        <v>1051.9522649999999</v>
      </c>
      <c r="I174" s="35"/>
    </row>
    <row r="175" spans="1:14" s="36" customFormat="1" ht="15.75" customHeight="1" x14ac:dyDescent="0.3">
      <c r="A175" s="87">
        <v>3</v>
      </c>
      <c r="B175" s="89"/>
      <c r="C175" s="87" t="s">
        <v>360</v>
      </c>
      <c r="D175" s="88"/>
      <c r="E175" s="88"/>
      <c r="F175" s="88"/>
      <c r="G175" s="88"/>
      <c r="H175" s="89"/>
      <c r="I175" s="35"/>
    </row>
    <row r="176" spans="1:14" s="36" customFormat="1" ht="15.75" customHeight="1" x14ac:dyDescent="0.3">
      <c r="A176" s="87">
        <v>4</v>
      </c>
      <c r="B176" s="89"/>
      <c r="C176" s="41" t="s">
        <v>354</v>
      </c>
      <c r="D176" s="74">
        <f>(47.43)*(10.764)</f>
        <v>510.53651999999994</v>
      </c>
      <c r="E176" s="74">
        <f>(1.2*(2.9+2.1+2.9)+0.75*(2.1+2.75+2.9))*(10.764)</f>
        <v>164.60846999999998</v>
      </c>
      <c r="F176" s="41">
        <f>D176+E176</f>
        <v>675.14498999999989</v>
      </c>
      <c r="G176" s="41">
        <v>0</v>
      </c>
      <c r="H176" s="41">
        <f>F176*(($H$153)+1)+(IF(G176&lt;101,G176,IF(G176&lt;201,G176/2,IF(G176&lt;=301,G176/3,G176/4))))</f>
        <v>1012.7174849999999</v>
      </c>
      <c r="I176" s="35"/>
    </row>
    <row r="177" spans="1:20" s="36" customFormat="1" ht="15.75" customHeight="1" x14ac:dyDescent="0.3">
      <c r="A177" s="87">
        <v>5</v>
      </c>
      <c r="B177" s="89"/>
      <c r="C177" s="41" t="s">
        <v>353</v>
      </c>
      <c r="D177" s="74">
        <f>(29.84)*(10.764)</f>
        <v>321.19775999999996</v>
      </c>
      <c r="E177" s="74">
        <f>(2.9*1.4+2.75*1.1+0.75*(2.9+2.1+2.75))*(10.764)</f>
        <v>138.82868999999999</v>
      </c>
      <c r="F177" s="41">
        <f>D177+E177</f>
        <v>460.02644999999995</v>
      </c>
      <c r="G177" s="41">
        <v>0</v>
      </c>
      <c r="H177" s="41">
        <f>F177*(($H$153)+1)+(IF(G177&lt;101,G177,IF(G177&lt;201,G177/2,IF(G177&lt;=301,G177/3,G177/4))))</f>
        <v>690.03967499999999</v>
      </c>
      <c r="I177" s="35"/>
    </row>
    <row r="178" spans="1:20" s="36" customFormat="1" ht="15.75" customHeight="1" x14ac:dyDescent="0.3">
      <c r="A178" s="87">
        <v>6</v>
      </c>
      <c r="B178" s="89"/>
      <c r="C178" s="41" t="s">
        <v>353</v>
      </c>
      <c r="D178" s="74">
        <f>(37.83)*(10.764)</f>
        <v>407.20211999999998</v>
      </c>
      <c r="E178" s="74">
        <f>(2.9*1.2+3.15*1+0.75*(3+3.15))*(10.764)</f>
        <v>121.01427</v>
      </c>
      <c r="F178" s="41">
        <f>D178+E178</f>
        <v>528.21638999999993</v>
      </c>
      <c r="G178" s="41">
        <v>0</v>
      </c>
      <c r="H178" s="41">
        <f>F178*(($H$153)+1)+(IF(G178&lt;101,G178,IF(G178&lt;201,G178/2,IF(G178&lt;=301,G178/3,G178/4))))</f>
        <v>792.32458499999984</v>
      </c>
      <c r="I178" s="35"/>
    </row>
    <row r="179" spans="1:20" s="36" customFormat="1" ht="15.75" customHeight="1" x14ac:dyDescent="0.3">
      <c r="A179" s="87">
        <v>7</v>
      </c>
      <c r="B179" s="89"/>
      <c r="C179" s="41" t="s">
        <v>353</v>
      </c>
      <c r="D179" s="74">
        <f>(37.28)*(10.764)</f>
        <v>401.28192000000001</v>
      </c>
      <c r="E179" s="74">
        <f>(2.9*1.2+3.15*1+0.75*(3+3.15))*(10.764)</f>
        <v>121.01427</v>
      </c>
      <c r="F179" s="41">
        <f>D179+E179</f>
        <v>522.29619000000002</v>
      </c>
      <c r="G179" s="41">
        <v>0</v>
      </c>
      <c r="H179" s="41">
        <f>F179*(($H$153)+1)+(IF(G179&lt;101,G179,IF(G179&lt;201,G179/2,IF(G179&lt;=301,G179/3,G179/4))))</f>
        <v>783.44428500000004</v>
      </c>
      <c r="I179" s="35"/>
    </row>
    <row r="180" spans="1:20" s="36" customFormat="1" x14ac:dyDescent="0.3">
      <c r="A180" s="83" t="s">
        <v>376</v>
      </c>
      <c r="B180" s="84"/>
      <c r="C180" s="84"/>
      <c r="D180" s="84"/>
      <c r="E180" s="84"/>
      <c r="F180" s="84"/>
      <c r="G180" s="84"/>
      <c r="H180" s="85"/>
      <c r="T180" s="34"/>
    </row>
    <row r="181" spans="1:20" s="36" customFormat="1" x14ac:dyDescent="0.3">
      <c r="A181" s="90" t="s">
        <v>355</v>
      </c>
      <c r="B181" s="90"/>
      <c r="C181" s="90"/>
      <c r="D181" s="90"/>
      <c r="E181" s="90"/>
      <c r="F181" s="90"/>
      <c r="G181" s="90"/>
      <c r="H181" s="90"/>
      <c r="I181" s="35"/>
      <c r="L181" s="82"/>
      <c r="M181" s="82"/>
    </row>
    <row r="182" spans="1:20" s="36" customFormat="1" x14ac:dyDescent="0.3">
      <c r="A182" s="86">
        <v>1</v>
      </c>
      <c r="B182" s="86"/>
      <c r="C182" s="41" t="s">
        <v>353</v>
      </c>
      <c r="D182" s="74">
        <f>(29.68)*(10.764)</f>
        <v>319.47551999999996</v>
      </c>
      <c r="E182" s="74">
        <f>(0.75*(2.9+2.1+2.75)+1.1*2.75+1.4*2.9)*(10.764)</f>
        <v>138.82868999999999</v>
      </c>
      <c r="F182" s="41">
        <f t="shared" ref="F182:F187" si="17">D182+E182</f>
        <v>458.30420999999996</v>
      </c>
      <c r="G182" s="73">
        <v>0</v>
      </c>
      <c r="H182" s="41">
        <f t="shared" ref="H182:H187" si="18">F182*(($H$153)+1)+(IF(G182&lt;101,G182,IF(G182&lt;201,G182/2,IF(G182&lt;=301,G182/3,G182/4))))</f>
        <v>687.4563149999999</v>
      </c>
      <c r="I182" s="35">
        <f>1.1*2.75+2.9*2.8+2.1*1.75+2.75*1.1+1.5*0.55+1.7*1.8+1.2*2+1.2*2+2.1*1</f>
        <v>28.629999999999995</v>
      </c>
      <c r="N182" s="35"/>
    </row>
    <row r="183" spans="1:20" s="36" customFormat="1" x14ac:dyDescent="0.3">
      <c r="A183" s="86">
        <f t="shared" ref="A183:A188" si="19">A182+1</f>
        <v>2</v>
      </c>
      <c r="B183" s="86"/>
      <c r="C183" s="41" t="s">
        <v>354</v>
      </c>
      <c r="D183" s="74">
        <f>(48.52)*(10.764)</f>
        <v>522.26927999999998</v>
      </c>
      <c r="E183" s="74">
        <f>(2.9*(1.4+1.2))*(10.764)</f>
        <v>81.16055999999999</v>
      </c>
      <c r="F183" s="41">
        <f t="shared" si="17"/>
        <v>603.42984000000001</v>
      </c>
      <c r="G183" s="74">
        <f>(10.7*1.3+0.75*2.5+2.9*1.7)*(10.764)</f>
        <v>222.97626</v>
      </c>
      <c r="H183" s="41">
        <f t="shared" si="18"/>
        <v>979.47018000000003</v>
      </c>
      <c r="I183" s="35">
        <f>(2.9*2.8+2.1*2.8+2.75*2.8+2.9*1.9+1.5*0.55+2*1.2+1.2*2+3.05*3.05+0.9*2.15)</f>
        <v>44.072500000000005</v>
      </c>
      <c r="N183" s="35"/>
    </row>
    <row r="184" spans="1:20" s="36" customFormat="1" x14ac:dyDescent="0.3">
      <c r="A184" s="86">
        <f t="shared" si="19"/>
        <v>3</v>
      </c>
      <c r="B184" s="86"/>
      <c r="C184" s="41" t="s">
        <v>353</v>
      </c>
      <c r="D184" s="74">
        <f>(38.75)*(10.764)</f>
        <v>417.10499999999996</v>
      </c>
      <c r="E184" s="74">
        <f>(2.9*1.5)*(10.764)</f>
        <v>46.823399999999992</v>
      </c>
      <c r="F184" s="41">
        <f t="shared" si="17"/>
        <v>463.92839999999995</v>
      </c>
      <c r="G184" s="74">
        <f>(1.25*9.2+0.6*2.9)*(10.764)</f>
        <v>142.51535999999999</v>
      </c>
      <c r="H184" s="41">
        <f t="shared" si="18"/>
        <v>767.15027999999984</v>
      </c>
      <c r="I184" s="35"/>
      <c r="N184" s="35"/>
    </row>
    <row r="185" spans="1:20" s="36" customFormat="1" x14ac:dyDescent="0.3">
      <c r="A185" s="86">
        <f t="shared" si="19"/>
        <v>4</v>
      </c>
      <c r="B185" s="86"/>
      <c r="C185" s="41" t="s">
        <v>354</v>
      </c>
      <c r="D185" s="74">
        <f>(48.85)*(10.764)</f>
        <v>525.82140000000004</v>
      </c>
      <c r="E185" s="74">
        <f>(2.9*(1.4+1.2))*(10.764)</f>
        <v>81.16055999999999</v>
      </c>
      <c r="F185" s="41">
        <f t="shared" si="17"/>
        <v>606.98196000000007</v>
      </c>
      <c r="G185" s="74">
        <f>(11.4*1.4+2.9*(1.8+0.75))*(10.764)</f>
        <v>251.39321999999996</v>
      </c>
      <c r="H185" s="41">
        <f t="shared" si="18"/>
        <v>994.27068000000008</v>
      </c>
      <c r="I185" s="35"/>
      <c r="N185" s="35"/>
    </row>
    <row r="186" spans="1:20" s="36" customFormat="1" x14ac:dyDescent="0.3">
      <c r="A186" s="86">
        <f t="shared" si="19"/>
        <v>5</v>
      </c>
      <c r="B186" s="86"/>
      <c r="C186" s="41" t="s">
        <v>353</v>
      </c>
      <c r="D186" s="74">
        <f>(29.84)*(10.764)</f>
        <v>321.19775999999996</v>
      </c>
      <c r="E186" s="74">
        <f>(2.9*1.4+2.75*1.1+0.75*(2.9+2.1+2.75))*(10.764)</f>
        <v>138.82868999999999</v>
      </c>
      <c r="F186" s="41">
        <f t="shared" si="17"/>
        <v>460.02644999999995</v>
      </c>
      <c r="G186" s="73">
        <v>0</v>
      </c>
      <c r="H186" s="41">
        <f t="shared" si="18"/>
        <v>690.03967499999999</v>
      </c>
      <c r="I186" s="35">
        <f>(2.9*2.37+2.25*3+3.15*2+2.1*1.2+1.2*2.05+0.9*1.35+0.9*1.2+1.85*1.03)</f>
        <v>29.1035</v>
      </c>
      <c r="N186" s="35"/>
    </row>
    <row r="187" spans="1:20" s="36" customFormat="1" x14ac:dyDescent="0.3">
      <c r="A187" s="86">
        <f t="shared" si="19"/>
        <v>6</v>
      </c>
      <c r="B187" s="86"/>
      <c r="C187" s="41" t="s">
        <v>353</v>
      </c>
      <c r="D187" s="74">
        <f>(37.28)*(10.764)</f>
        <v>401.28192000000001</v>
      </c>
      <c r="E187" s="74">
        <f>(2.9*1.2+3.15*1+0.75*(3+3.15))*(10.764)</f>
        <v>121.01427</v>
      </c>
      <c r="F187" s="41">
        <f t="shared" si="17"/>
        <v>522.29619000000002</v>
      </c>
      <c r="G187" s="73">
        <v>0</v>
      </c>
      <c r="H187" s="41">
        <f t="shared" si="18"/>
        <v>783.44428500000004</v>
      </c>
      <c r="I187" s="35"/>
      <c r="N187" s="35"/>
    </row>
    <row r="188" spans="1:20" s="36" customFormat="1" x14ac:dyDescent="0.3">
      <c r="A188" s="86">
        <f t="shared" si="19"/>
        <v>7</v>
      </c>
      <c r="B188" s="86"/>
      <c r="C188" s="87" t="s">
        <v>356</v>
      </c>
      <c r="D188" s="88"/>
      <c r="E188" s="88"/>
      <c r="F188" s="88"/>
      <c r="G188" s="88"/>
      <c r="H188" s="89"/>
      <c r="I188" s="35"/>
      <c r="N188" s="35"/>
    </row>
    <row r="189" spans="1:20" s="36" customFormat="1" ht="15.75" customHeight="1" x14ac:dyDescent="0.3">
      <c r="A189" s="91" t="s">
        <v>358</v>
      </c>
      <c r="B189" s="92"/>
      <c r="C189" s="92"/>
      <c r="D189" s="92"/>
      <c r="E189" s="92"/>
      <c r="F189" s="92"/>
      <c r="G189" s="92"/>
      <c r="H189" s="93"/>
      <c r="I189" s="35"/>
    </row>
    <row r="190" spans="1:20" s="36" customFormat="1" ht="15.75" customHeight="1" x14ac:dyDescent="0.3">
      <c r="A190" s="87">
        <v>1</v>
      </c>
      <c r="B190" s="89"/>
      <c r="C190" s="41" t="s">
        <v>353</v>
      </c>
      <c r="D190" s="74">
        <f>(29.68)*(10.764)</f>
        <v>319.47551999999996</v>
      </c>
      <c r="E190" s="74">
        <f>(0.75*(2.9+2.1+2.75)+1.1*2.75+1.4*2.9)*(10.764)</f>
        <v>138.82868999999999</v>
      </c>
      <c r="F190" s="41">
        <f t="shared" ref="F190:F196" si="20">D190+E190</f>
        <v>458.30420999999996</v>
      </c>
      <c r="G190" s="41">
        <v>0</v>
      </c>
      <c r="H190" s="41">
        <f t="shared" ref="H190:H196" si="21">F190*(($H$153)+1)+(IF(G190&lt;101,G190,IF(G190&lt;201,G190/2,IF(G190&lt;=301,G190/3,G190/4))))</f>
        <v>687.4563149999999</v>
      </c>
      <c r="I190" s="35"/>
    </row>
    <row r="191" spans="1:20" s="36" customFormat="1" ht="15.75" customHeight="1" x14ac:dyDescent="0.3">
      <c r="A191" s="87">
        <v>2</v>
      </c>
      <c r="B191" s="89"/>
      <c r="C191" s="41" t="s">
        <v>354</v>
      </c>
      <c r="D191" s="74">
        <f>(49.86)*(10.764)</f>
        <v>536.69304</v>
      </c>
      <c r="E191" s="74">
        <f>(1.2*(2.9+2.1+2.9)+0.75*(2.9+2.1+2.75+2.9))*(10.764)</f>
        <v>188.02017000000001</v>
      </c>
      <c r="F191" s="41">
        <f t="shared" si="20"/>
        <v>724.71321</v>
      </c>
      <c r="G191" s="41">
        <v>0</v>
      </c>
      <c r="H191" s="41">
        <f t="shared" si="21"/>
        <v>1087.0698150000001</v>
      </c>
      <c r="I191" s="35"/>
    </row>
    <row r="192" spans="1:20" s="36" customFormat="1" ht="15.75" customHeight="1" x14ac:dyDescent="0.3">
      <c r="A192" s="87">
        <v>3</v>
      </c>
      <c r="B192" s="89"/>
      <c r="C192" s="41" t="s">
        <v>353</v>
      </c>
      <c r="D192" s="74">
        <f>(38.75)*(10.764)</f>
        <v>417.10499999999996</v>
      </c>
      <c r="E192" s="74">
        <f>(2.9*1.35+0.75*(2.4+3.45))*(10.764)</f>
        <v>89.368109999999973</v>
      </c>
      <c r="F192" s="41">
        <f t="shared" si="20"/>
        <v>506.47310999999991</v>
      </c>
      <c r="G192" s="41">
        <v>0</v>
      </c>
      <c r="H192" s="41">
        <f t="shared" si="21"/>
        <v>759.70966499999986</v>
      </c>
      <c r="I192" s="35"/>
    </row>
    <row r="193" spans="1:14" s="36" customFormat="1" ht="15.75" customHeight="1" x14ac:dyDescent="0.3">
      <c r="A193" s="87">
        <v>4</v>
      </c>
      <c r="B193" s="89"/>
      <c r="C193" s="41" t="s">
        <v>354</v>
      </c>
      <c r="D193" s="74">
        <f>(49.84)*(10.764)</f>
        <v>536.47775999999999</v>
      </c>
      <c r="E193" s="74">
        <f>(1.2*(2.9+2.1+2.9)+0.75*(2.1+2.75+2.9))*(10.764)</f>
        <v>164.60846999999998</v>
      </c>
      <c r="F193" s="41">
        <f t="shared" si="20"/>
        <v>701.08623</v>
      </c>
      <c r="G193" s="41">
        <v>0</v>
      </c>
      <c r="H193" s="41">
        <f t="shared" si="21"/>
        <v>1051.6293450000001</v>
      </c>
      <c r="I193" s="35"/>
    </row>
    <row r="194" spans="1:14" s="36" customFormat="1" ht="15.75" customHeight="1" x14ac:dyDescent="0.3">
      <c r="A194" s="87">
        <v>5</v>
      </c>
      <c r="B194" s="89"/>
      <c r="C194" s="41" t="s">
        <v>353</v>
      </c>
      <c r="D194" s="74">
        <f>(29.84)*(10.764)</f>
        <v>321.19775999999996</v>
      </c>
      <c r="E194" s="74">
        <f>(2.9*1.4+2.75*1.1+0.75*(2.9+2.1+2.75))*(10.764)</f>
        <v>138.82868999999999</v>
      </c>
      <c r="F194" s="41">
        <f t="shared" si="20"/>
        <v>460.02644999999995</v>
      </c>
      <c r="G194" s="41">
        <v>0</v>
      </c>
      <c r="H194" s="41">
        <f t="shared" si="21"/>
        <v>690.03967499999999</v>
      </c>
      <c r="I194" s="35"/>
    </row>
    <row r="195" spans="1:14" s="36" customFormat="1" ht="15.75" customHeight="1" x14ac:dyDescent="0.3">
      <c r="A195" s="87">
        <v>6</v>
      </c>
      <c r="B195" s="89"/>
      <c r="C195" s="41" t="s">
        <v>353</v>
      </c>
      <c r="D195" s="74">
        <f>(37.83)*(10.764)</f>
        <v>407.20211999999998</v>
      </c>
      <c r="E195" s="74">
        <f>(2.9*1.2+3.15*1+0.75*(3+3.15))*(10.764)</f>
        <v>121.01427</v>
      </c>
      <c r="F195" s="41">
        <f t="shared" si="20"/>
        <v>528.21638999999993</v>
      </c>
      <c r="G195" s="41">
        <v>0</v>
      </c>
      <c r="H195" s="41">
        <f t="shared" si="21"/>
        <v>792.32458499999984</v>
      </c>
      <c r="I195" s="35"/>
    </row>
    <row r="196" spans="1:14" s="36" customFormat="1" ht="15.75" customHeight="1" x14ac:dyDescent="0.3">
      <c r="A196" s="87">
        <v>7</v>
      </c>
      <c r="B196" s="89"/>
      <c r="C196" s="41" t="s">
        <v>353</v>
      </c>
      <c r="D196" s="74">
        <f>(37.28)*(10.764)</f>
        <v>401.28192000000001</v>
      </c>
      <c r="E196" s="74">
        <f>(2.9*1.2+3.15*1+0.75*(3+3.15))*(10.764)</f>
        <v>121.01427</v>
      </c>
      <c r="F196" s="41">
        <f t="shared" si="20"/>
        <v>522.29619000000002</v>
      </c>
      <c r="G196" s="41">
        <v>0</v>
      </c>
      <c r="H196" s="41">
        <f t="shared" si="21"/>
        <v>783.44428500000004</v>
      </c>
      <c r="I196" s="35"/>
    </row>
    <row r="197" spans="1:14" s="36" customFormat="1" ht="15.75" customHeight="1" x14ac:dyDescent="0.3">
      <c r="A197" s="229" t="s">
        <v>359</v>
      </c>
      <c r="B197" s="230"/>
      <c r="C197" s="230"/>
      <c r="D197" s="230"/>
      <c r="E197" s="230"/>
      <c r="F197" s="230"/>
      <c r="G197" s="230"/>
      <c r="H197" s="231"/>
      <c r="I197" s="35"/>
    </row>
    <row r="198" spans="1:14" s="36" customFormat="1" ht="15.75" customHeight="1" x14ac:dyDescent="0.3">
      <c r="A198" s="87">
        <v>1</v>
      </c>
      <c r="B198" s="89"/>
      <c r="C198" s="41" t="s">
        <v>353</v>
      </c>
      <c r="D198" s="74">
        <f>(29.68)*(10.764)</f>
        <v>319.47551999999996</v>
      </c>
      <c r="E198" s="74">
        <f>(0.75*(2.9+2.1+2.75)+1.1*2.75+1.4*2.9)*(10.764)</f>
        <v>138.82868999999999</v>
      </c>
      <c r="F198" s="41">
        <f t="shared" ref="F198:F204" si="22">D198+E198</f>
        <v>458.30420999999996</v>
      </c>
      <c r="G198" s="41">
        <v>0</v>
      </c>
      <c r="H198" s="41">
        <f>F198*(($H$153)+1)+(IF(G198&lt;101,G198,IF(G198&lt;201,G198/2,IF(G198&lt;=301,G198/3,G198/4))))</f>
        <v>687.4563149999999</v>
      </c>
      <c r="I198" s="35"/>
    </row>
    <row r="199" spans="1:14" s="36" customFormat="1" ht="15.75" customHeight="1" x14ac:dyDescent="0.3">
      <c r="A199" s="87">
        <v>2</v>
      </c>
      <c r="B199" s="89"/>
      <c r="C199" s="41" t="s">
        <v>354</v>
      </c>
      <c r="D199" s="74">
        <f>(49.86)*(10.764)</f>
        <v>536.69304</v>
      </c>
      <c r="E199" s="74">
        <f>(1.2*(2.9+2.1+2.9)+0.75*(2.9+2.1+2.75+2.9))*(10.764)</f>
        <v>188.02017000000001</v>
      </c>
      <c r="F199" s="41">
        <f t="shared" si="22"/>
        <v>724.71321</v>
      </c>
      <c r="G199" s="41">
        <v>0</v>
      </c>
      <c r="H199" s="41">
        <f>F199*(($H$153)+1)+(IF(G199&lt;101,G199,IF(G199&lt;201,G199/2,IF(G199&lt;=301,G199/3,G199/4))))</f>
        <v>1087.0698150000001</v>
      </c>
      <c r="I199" s="35"/>
    </row>
    <row r="200" spans="1:14" s="36" customFormat="1" ht="15.75" customHeight="1" x14ac:dyDescent="0.3">
      <c r="A200" s="87">
        <v>3</v>
      </c>
      <c r="B200" s="89"/>
      <c r="C200" s="87" t="s">
        <v>360</v>
      </c>
      <c r="D200" s="88"/>
      <c r="E200" s="88"/>
      <c r="F200" s="88"/>
      <c r="G200" s="88"/>
      <c r="H200" s="89"/>
      <c r="I200" s="35"/>
    </row>
    <row r="201" spans="1:14" s="36" customFormat="1" ht="15.75" customHeight="1" x14ac:dyDescent="0.3">
      <c r="A201" s="87">
        <v>4</v>
      </c>
      <c r="B201" s="89"/>
      <c r="C201" s="41" t="s">
        <v>354</v>
      </c>
      <c r="D201" s="74">
        <f>(49.84)*(10.764)</f>
        <v>536.47775999999999</v>
      </c>
      <c r="E201" s="74">
        <f>(1.2*(2.9+2.1+2.9)+0.75*(2.1+2.75+2.9))*(10.764)</f>
        <v>164.60846999999998</v>
      </c>
      <c r="F201" s="41">
        <f t="shared" si="22"/>
        <v>701.08623</v>
      </c>
      <c r="G201" s="41">
        <v>0</v>
      </c>
      <c r="H201" s="41">
        <f>F201*(($H$153)+1)+(IF(G201&lt;101,G201,IF(G201&lt;201,G201/2,IF(G201&lt;=301,G201/3,G201/4))))</f>
        <v>1051.6293450000001</v>
      </c>
      <c r="I201" s="35"/>
    </row>
    <row r="202" spans="1:14" s="36" customFormat="1" ht="15.75" customHeight="1" x14ac:dyDescent="0.3">
      <c r="A202" s="87">
        <v>5</v>
      </c>
      <c r="B202" s="89"/>
      <c r="C202" s="41" t="s">
        <v>353</v>
      </c>
      <c r="D202" s="74">
        <f>(29.84)*(10.764)</f>
        <v>321.19775999999996</v>
      </c>
      <c r="E202" s="74">
        <f>(2.9*1.4+2.75*1.1+0.75*(2.9+2.1+2.75))*(10.764)</f>
        <v>138.82868999999999</v>
      </c>
      <c r="F202" s="41">
        <f t="shared" si="22"/>
        <v>460.02644999999995</v>
      </c>
      <c r="G202" s="41">
        <v>0</v>
      </c>
      <c r="H202" s="41">
        <f>F202*(($H$153)+1)+(IF(G202&lt;101,G202,IF(G202&lt;201,G202/2,IF(G202&lt;=301,G202/3,G202/4))))</f>
        <v>690.03967499999999</v>
      </c>
      <c r="I202" s="35"/>
    </row>
    <row r="203" spans="1:14" s="36" customFormat="1" ht="15.75" customHeight="1" x14ac:dyDescent="0.3">
      <c r="A203" s="87">
        <v>6</v>
      </c>
      <c r="B203" s="89"/>
      <c r="C203" s="41" t="s">
        <v>353</v>
      </c>
      <c r="D203" s="74">
        <f>(37.83)*(10.764)</f>
        <v>407.20211999999998</v>
      </c>
      <c r="E203" s="74">
        <f>(2.9*1.2+3.15*1+0.75*(3+3.15))*(10.764)</f>
        <v>121.01427</v>
      </c>
      <c r="F203" s="41">
        <f t="shared" si="22"/>
        <v>528.21638999999993</v>
      </c>
      <c r="G203" s="41">
        <v>0</v>
      </c>
      <c r="H203" s="41">
        <f>F203*(($H$153)+1)+(IF(G203&lt;101,G203,IF(G203&lt;201,G203/2,IF(G203&lt;=301,G203/3,G203/4))))</f>
        <v>792.32458499999984</v>
      </c>
      <c r="I203" s="35"/>
    </row>
    <row r="204" spans="1:14" s="36" customFormat="1" ht="15.75" customHeight="1" x14ac:dyDescent="0.3">
      <c r="A204" s="87">
        <v>7</v>
      </c>
      <c r="B204" s="89"/>
      <c r="C204" s="41" t="s">
        <v>353</v>
      </c>
      <c r="D204" s="74">
        <f>(37.28)*(10.764)</f>
        <v>401.28192000000001</v>
      </c>
      <c r="E204" s="74">
        <f>(2.9*1.2+3.15*1+0.75*(3+3.15))*(10.764)</f>
        <v>121.01427</v>
      </c>
      <c r="F204" s="41">
        <f t="shared" si="22"/>
        <v>522.29619000000002</v>
      </c>
      <c r="G204" s="41">
        <v>0</v>
      </c>
      <c r="H204" s="41">
        <f>F204*(($H$153)+1)+(IF(G204&lt;101,G204,IF(G204&lt;201,G204/2,IF(G204&lt;=301,G204/3,G204/4))))</f>
        <v>783.44428500000004</v>
      </c>
      <c r="I204" s="35"/>
    </row>
    <row r="205" spans="1:14" s="36" customFormat="1" hidden="1" x14ac:dyDescent="0.3">
      <c r="A205" s="91" t="s">
        <v>115</v>
      </c>
      <c r="B205" s="92"/>
      <c r="C205" s="92"/>
      <c r="D205" s="92"/>
      <c r="E205" s="92"/>
      <c r="F205" s="92"/>
      <c r="G205" s="92"/>
      <c r="H205" s="93"/>
      <c r="J205" s="35"/>
    </row>
    <row r="206" spans="1:14" s="36" customFormat="1" ht="15.75" hidden="1" customHeight="1" x14ac:dyDescent="0.3">
      <c r="A206" s="87">
        <v>1</v>
      </c>
      <c r="B206" s="89"/>
      <c r="C206" s="41"/>
      <c r="D206" s="41"/>
      <c r="E206" s="41">
        <v>0</v>
      </c>
      <c r="F206" s="41">
        <f>D206+E206</f>
        <v>0</v>
      </c>
      <c r="G206" s="41">
        <v>0</v>
      </c>
      <c r="H206" s="41">
        <f>F206*(($H$153)+1)+(IF(G206&lt;101,G206,IF(G206&lt;201,G206/2,IF(G206&lt;=301,G206/3,G206/4))))</f>
        <v>0</v>
      </c>
      <c r="I206" s="35"/>
      <c r="L206" s="82"/>
      <c r="M206" s="82"/>
      <c r="N206" s="35"/>
    </row>
    <row r="207" spans="1:14" s="36" customFormat="1" ht="15.75" hidden="1" customHeight="1" x14ac:dyDescent="0.3">
      <c r="A207" s="87">
        <f>A206+1</f>
        <v>2</v>
      </c>
      <c r="B207" s="89"/>
      <c r="C207" s="41"/>
      <c r="D207" s="41"/>
      <c r="E207" s="41">
        <v>0</v>
      </c>
      <c r="F207" s="41">
        <f>D207+E207</f>
        <v>0</v>
      </c>
      <c r="G207" s="41">
        <v>0</v>
      </c>
      <c r="H207" s="41">
        <f>F207*(($H$153)+1)+(IF(G207&lt;101,G207,IF(G207&lt;201,G207/2,IF(G207&lt;=301,G207/3,G207/4))))</f>
        <v>0</v>
      </c>
      <c r="I207" s="35"/>
      <c r="L207" s="82"/>
      <c r="M207" s="82"/>
      <c r="N207" s="35"/>
    </row>
    <row r="208" spans="1:14" s="36" customFormat="1" ht="15.75" hidden="1" customHeight="1" x14ac:dyDescent="0.3">
      <c r="A208" s="87">
        <f>A207+1</f>
        <v>3</v>
      </c>
      <c r="B208" s="89"/>
      <c r="C208" s="41"/>
      <c r="D208" s="41"/>
      <c r="E208" s="41">
        <v>0</v>
      </c>
      <c r="F208" s="41">
        <f>D208+E208</f>
        <v>0</v>
      </c>
      <c r="G208" s="41">
        <v>0</v>
      </c>
      <c r="H208" s="41">
        <f>F208*(($H$153)+1)+(IF(G208&lt;101,G208,IF(G208&lt;201,G208/2,IF(G208&lt;=301,G208/3,G208/4))))</f>
        <v>0</v>
      </c>
      <c r="I208" s="35"/>
      <c r="L208" s="82"/>
      <c r="M208" s="82"/>
      <c r="N208" s="35"/>
    </row>
    <row r="209" spans="1:20" s="36" customFormat="1" ht="15.75" hidden="1" customHeight="1" x14ac:dyDescent="0.3">
      <c r="A209" s="87">
        <f>A208+1</f>
        <v>4</v>
      </c>
      <c r="B209" s="89"/>
      <c r="C209" s="41"/>
      <c r="D209" s="41"/>
      <c r="E209" s="41">
        <v>0</v>
      </c>
      <c r="F209" s="41">
        <f>D209+E209</f>
        <v>0</v>
      </c>
      <c r="G209" s="41">
        <v>0</v>
      </c>
      <c r="H209" s="41">
        <f>F209*(($H$153)+1)+(IF(G209&lt;101,G209,IF(G209&lt;201,G209/2,IF(G209&lt;=301,G209/3,G209/4))))</f>
        <v>0</v>
      </c>
      <c r="I209" s="35"/>
      <c r="L209" s="82"/>
      <c r="M209" s="82"/>
      <c r="N209" s="35"/>
      <c r="T209" s="20"/>
    </row>
    <row r="210" spans="1:20" s="36" customFormat="1" hidden="1" x14ac:dyDescent="0.3">
      <c r="A210" s="90" t="s">
        <v>116</v>
      </c>
      <c r="B210" s="90"/>
      <c r="C210" s="90"/>
      <c r="D210" s="90"/>
      <c r="E210" s="90"/>
      <c r="F210" s="90"/>
      <c r="G210" s="90"/>
      <c r="H210" s="90"/>
      <c r="I210" s="35"/>
      <c r="L210" s="82"/>
      <c r="M210" s="82"/>
    </row>
    <row r="211" spans="1:20" s="36" customFormat="1" hidden="1" x14ac:dyDescent="0.3">
      <c r="A211" s="86">
        <f>LEFT(A210,SUM(LEN(A210)-LEN(SUBSTITUTE(A210,{"0","1","2","3","4","5","6","7","8","9"},""))))*100+1</f>
        <v>201</v>
      </c>
      <c r="B211" s="86"/>
      <c r="C211" s="41"/>
      <c r="D211" s="41"/>
      <c r="E211" s="41">
        <v>0</v>
      </c>
      <c r="F211" s="41">
        <f>D211+E211</f>
        <v>0</v>
      </c>
      <c r="G211" s="41">
        <v>0</v>
      </c>
      <c r="H211" s="41">
        <f>F211*(($H$153)+1)+(IF(G211&lt;101,G211,IF(G211&lt;201,G211/2,IF(G211&lt;=301,G211/3,G211/4))))</f>
        <v>0</v>
      </c>
      <c r="I211" s="35"/>
      <c r="N211" s="35"/>
    </row>
    <row r="212" spans="1:20" s="36" customFormat="1" hidden="1" x14ac:dyDescent="0.3">
      <c r="A212" s="86">
        <f>A211+1</f>
        <v>202</v>
      </c>
      <c r="B212" s="86"/>
      <c r="C212" s="41"/>
      <c r="D212" s="41"/>
      <c r="E212" s="41">
        <v>0</v>
      </c>
      <c r="F212" s="41">
        <f>D212+E212</f>
        <v>0</v>
      </c>
      <c r="G212" s="41">
        <v>0</v>
      </c>
      <c r="H212" s="41">
        <f>F212*(($H$153)+1)+(IF(G212&lt;101,G212,IF(G212&lt;201,G212/2,IF(G212&lt;=301,G212/3,G212/4))))</f>
        <v>0</v>
      </c>
      <c r="I212" s="35"/>
      <c r="N212" s="35"/>
    </row>
    <row r="213" spans="1:20" s="36" customFormat="1" hidden="1" x14ac:dyDescent="0.3">
      <c r="A213" s="86">
        <f>A212+1</f>
        <v>203</v>
      </c>
      <c r="B213" s="86"/>
      <c r="C213" s="41"/>
      <c r="D213" s="41"/>
      <c r="E213" s="41">
        <v>0</v>
      </c>
      <c r="F213" s="41">
        <f>D213+E213</f>
        <v>0</v>
      </c>
      <c r="G213" s="41">
        <v>0</v>
      </c>
      <c r="H213" s="41">
        <f>F213*(($H$153)+1)+(IF(G213&lt;101,G213,IF(G213&lt;201,G213/2,IF(G213&lt;=301,G213/3,G213/4))))</f>
        <v>0</v>
      </c>
      <c r="I213" s="35"/>
      <c r="N213" s="35"/>
    </row>
    <row r="214" spans="1:20" s="36" customFormat="1" hidden="1" x14ac:dyDescent="0.3">
      <c r="A214" s="86">
        <f>A213+1</f>
        <v>204</v>
      </c>
      <c r="B214" s="86"/>
      <c r="C214" s="41"/>
      <c r="D214" s="41"/>
      <c r="E214" s="41">
        <v>0</v>
      </c>
      <c r="F214" s="41">
        <f>D214+E214</f>
        <v>0</v>
      </c>
      <c r="G214" s="41">
        <v>0</v>
      </c>
      <c r="H214" s="41">
        <f>F214*(($H$153)+1)+(IF(G214&lt;101,G214,IF(G214&lt;201,G214/2,IF(G214&lt;=301,G214/3,G214/4))))</f>
        <v>0</v>
      </c>
      <c r="I214" s="35"/>
      <c r="N214" s="35"/>
    </row>
    <row r="215" spans="1:20" s="36" customFormat="1" hidden="1" x14ac:dyDescent="0.3">
      <c r="A215" s="86">
        <f>A214+1</f>
        <v>205</v>
      </c>
      <c r="B215" s="86"/>
      <c r="C215" s="41"/>
      <c r="D215" s="41"/>
      <c r="E215" s="41">
        <v>0</v>
      </c>
      <c r="F215" s="41">
        <f>D215+E215</f>
        <v>0</v>
      </c>
      <c r="G215" s="41">
        <v>0</v>
      </c>
      <c r="H215" s="41">
        <f>F215*(($H$153)+1)+(IF(G215&lt;101,G215,IF(G215&lt;201,G215/2,IF(G215&lt;=301,G215/3,G215/4))))</f>
        <v>0</v>
      </c>
      <c r="I215" s="35"/>
      <c r="N215" s="35"/>
    </row>
    <row r="216" spans="1:20" s="36" customFormat="1" ht="15.75" hidden="1" customHeight="1" x14ac:dyDescent="0.3">
      <c r="A216" s="91" t="s">
        <v>148</v>
      </c>
      <c r="B216" s="92"/>
      <c r="C216" s="92"/>
      <c r="D216" s="92"/>
      <c r="E216" s="92"/>
      <c r="F216" s="92"/>
      <c r="G216" s="92"/>
      <c r="H216" s="93"/>
      <c r="I216" s="35"/>
    </row>
    <row r="217" spans="1:20" s="36" customFormat="1" ht="15.75" hidden="1" customHeight="1" x14ac:dyDescent="0.3">
      <c r="A217" s="87"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301 ,.., 1501</v>
      </c>
      <c r="B217" s="89"/>
      <c r="C217" s="41"/>
      <c r="D217" s="41"/>
      <c r="E217" s="41">
        <v>0</v>
      </c>
      <c r="F217" s="41">
        <f>D217+E217</f>
        <v>0</v>
      </c>
      <c r="G217" s="41">
        <v>0</v>
      </c>
      <c r="H217" s="41">
        <f>F217*(($H$153)+1)+(IF(G217&lt;101,G217,IF(G217&lt;201,G217/2,IF(G217&lt;=301,G217/3,G217/4))))</f>
        <v>0</v>
      </c>
      <c r="I217" s="35"/>
    </row>
    <row r="218" spans="1:20" s="36" customFormat="1" ht="15.75" hidden="1" customHeight="1" x14ac:dyDescent="0.3">
      <c r="A218" s="87"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302 ,.., 1502</v>
      </c>
      <c r="B218" s="89"/>
      <c r="C218" s="41"/>
      <c r="D218" s="41"/>
      <c r="E218" s="41">
        <v>0</v>
      </c>
      <c r="F218" s="41">
        <f>D218+E218</f>
        <v>0</v>
      </c>
      <c r="G218" s="41">
        <v>0</v>
      </c>
      <c r="H218" s="41">
        <f>F218*(($H$153)+1)+(IF(G218&lt;101,G218,IF(G218&lt;201,G218/2,IF(G218&lt;=301,G218/3,G218/4))))</f>
        <v>0</v>
      </c>
      <c r="I218" s="35"/>
    </row>
    <row r="219" spans="1:20" s="36" customFormat="1" ht="15.75" hidden="1" customHeight="1" x14ac:dyDescent="0.3">
      <c r="A219" s="87"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303 ,.., 1503</v>
      </c>
      <c r="B219" s="89"/>
      <c r="C219" s="41"/>
      <c r="D219" s="41"/>
      <c r="E219" s="41">
        <v>0</v>
      </c>
      <c r="F219" s="41">
        <f>D219+E219</f>
        <v>0</v>
      </c>
      <c r="G219" s="41">
        <v>0</v>
      </c>
      <c r="H219" s="41">
        <f>F219*(($H$153)+1)+(IF(G219&lt;101,G219,IF(G219&lt;201,G219/2,IF(G219&lt;=301,G219/3,G219/4))))</f>
        <v>0</v>
      </c>
      <c r="I219" s="35"/>
    </row>
    <row r="220" spans="1:20" s="36" customFormat="1" ht="15.75" hidden="1" customHeight="1" x14ac:dyDescent="0.3">
      <c r="A220" s="87"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304 ,.., 1504</v>
      </c>
      <c r="B220" s="89"/>
      <c r="C220" s="41"/>
      <c r="D220" s="41"/>
      <c r="E220" s="41">
        <v>0</v>
      </c>
      <c r="F220" s="41">
        <f>D220+E220</f>
        <v>0</v>
      </c>
      <c r="G220" s="41">
        <v>0</v>
      </c>
      <c r="H220" s="41">
        <f>F220*(($H$153)+1)+(IF(G220&lt;101,G220,IF(G220&lt;201,G220/2,IF(G220&lt;=301,G220/3,G220/4))))</f>
        <v>0</v>
      </c>
      <c r="I220" s="35"/>
    </row>
    <row r="221" spans="1:20" s="36" customFormat="1" ht="15.75" hidden="1" customHeight="1" x14ac:dyDescent="0.3">
      <c r="A221" s="87"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305 ,.., 1505</v>
      </c>
      <c r="B221" s="89"/>
      <c r="C221" s="41"/>
      <c r="D221" s="41"/>
      <c r="E221" s="41">
        <v>0</v>
      </c>
      <c r="F221" s="41">
        <f>D221+E221</f>
        <v>0</v>
      </c>
      <c r="G221" s="41">
        <v>0</v>
      </c>
      <c r="H221" s="41">
        <f>F221*(($H$153)+1)+(IF(G221&lt;101,G221,IF(G221&lt;201,G221/2,IF(G221&lt;=301,G221/3,G221/4))))</f>
        <v>0</v>
      </c>
      <c r="I221" s="35"/>
    </row>
    <row r="222" spans="1:20" s="36" customFormat="1" hidden="1" x14ac:dyDescent="0.3">
      <c r="A222" s="91" t="s">
        <v>142</v>
      </c>
      <c r="B222" s="92"/>
      <c r="C222" s="92"/>
      <c r="D222" s="92"/>
      <c r="E222" s="92"/>
      <c r="F222" s="92"/>
      <c r="G222" s="92"/>
      <c r="H222" s="93"/>
      <c r="I222" s="35"/>
    </row>
    <row r="223" spans="1:20" s="36" customFormat="1" ht="15.75" hidden="1" customHeight="1" x14ac:dyDescent="0.3">
      <c r="A223" s="87"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10^ROW(INDIRECT("1:"&amp;LEN((LEFT(A222,SUM(LEN(A222)-LEN(SUBSTITUTE(A222,{"0","1","2"},""))))))))/10))*100+1&amp;""&amp;"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",LEN(A222))),LEN(A222)))))))/10))*100+1</f>
        <v>201 to 501</v>
      </c>
      <c r="B223" s="89"/>
      <c r="C223" s="41"/>
      <c r="D223" s="41"/>
      <c r="E223" s="41">
        <v>0</v>
      </c>
      <c r="F223" s="41">
        <f>D223+E223</f>
        <v>0</v>
      </c>
      <c r="G223" s="41">
        <v>0</v>
      </c>
      <c r="H223" s="41">
        <f>F223*(($H$153)+1)+(IF(G223&lt;101,G223,IF(G223&lt;201,G223/2,IF(G223&lt;=301,G223/3,G223/4))))</f>
        <v>0</v>
      </c>
      <c r="I223" s="35"/>
    </row>
    <row r="224" spans="1:20" s="36" customFormat="1" ht="15.75" hidden="1" customHeight="1" x14ac:dyDescent="0.3">
      <c r="A224" s="87"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202 to 502</v>
      </c>
      <c r="B224" s="89"/>
      <c r="C224" s="41"/>
      <c r="D224" s="41"/>
      <c r="E224" s="41">
        <v>0</v>
      </c>
      <c r="F224" s="41">
        <f>D224+E224</f>
        <v>0</v>
      </c>
      <c r="G224" s="41">
        <v>0</v>
      </c>
      <c r="H224" s="41">
        <f>F224*(($H$153)+1)+(IF(G224&lt;101,G224,IF(G224&lt;201,G224/2,IF(G224&lt;=301,G224/3,G224/4))))</f>
        <v>0</v>
      </c>
      <c r="I224" s="35"/>
    </row>
    <row r="225" spans="1:20" s="36" customFormat="1" ht="15.75" hidden="1" customHeight="1" x14ac:dyDescent="0.3">
      <c r="A225" s="87"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203 to 503</v>
      </c>
      <c r="B225" s="89"/>
      <c r="C225" s="41"/>
      <c r="D225" s="41"/>
      <c r="E225" s="41">
        <v>0</v>
      </c>
      <c r="F225" s="41">
        <f>D225+E225</f>
        <v>0</v>
      </c>
      <c r="G225" s="41">
        <v>0</v>
      </c>
      <c r="H225" s="41">
        <f>F225*(($H$153)+1)+(IF(G225&lt;101,G225,IF(G225&lt;201,G225/2,IF(G225&lt;=301,G225/3,G225/4))))</f>
        <v>0</v>
      </c>
      <c r="I225" s="35"/>
    </row>
    <row r="226" spans="1:20" s="36" customFormat="1" ht="15.75" hidden="1" customHeight="1" x14ac:dyDescent="0.3">
      <c r="A226" s="87"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to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204 to 504</v>
      </c>
      <c r="B226" s="89"/>
      <c r="C226" s="41"/>
      <c r="D226" s="41"/>
      <c r="E226" s="41">
        <v>0</v>
      </c>
      <c r="F226" s="41">
        <f>D226+E226</f>
        <v>0</v>
      </c>
      <c r="G226" s="41">
        <v>0</v>
      </c>
      <c r="H226" s="41">
        <f>F226*(($H$153)+1)+(IF(G226&lt;101,G226,IF(G226&lt;201,G226/2,IF(G226&lt;=301,G226/3,G226/4))))</f>
        <v>0</v>
      </c>
      <c r="I226" s="35"/>
    </row>
    <row r="227" spans="1:20" s="36" customFormat="1" ht="15.75" hidden="1" customHeight="1" x14ac:dyDescent="0.3">
      <c r="A227" s="87"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to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205 to 505</v>
      </c>
      <c r="B227" s="89"/>
      <c r="C227" s="41"/>
      <c r="D227" s="41"/>
      <c r="E227" s="41">
        <v>0</v>
      </c>
      <c r="F227" s="41">
        <f>D227+E227</f>
        <v>0</v>
      </c>
      <c r="G227" s="41">
        <v>0</v>
      </c>
      <c r="H227" s="41">
        <f>F227*(($H$153)+1)+(IF(G227&lt;101,G227,IF(G227&lt;201,G227/2,IF(G227&lt;=301,G227/3,G227/4))))</f>
        <v>0</v>
      </c>
      <c r="I227" s="35"/>
    </row>
    <row r="228" spans="1:20" s="36" customFormat="1" hidden="1" x14ac:dyDescent="0.3">
      <c r="A228" s="91" t="s">
        <v>143</v>
      </c>
      <c r="B228" s="92"/>
      <c r="C228" s="92"/>
      <c r="D228" s="92"/>
      <c r="E228" s="92"/>
      <c r="F228" s="92"/>
      <c r="G228" s="92"/>
      <c r="H228" s="93"/>
      <c r="I228" s="35"/>
    </row>
    <row r="229" spans="1:20" s="36" customFormat="1" ht="15.75" hidden="1" customHeight="1" x14ac:dyDescent="0.3">
      <c r="A229" s="87"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10^ROW(INDIRECT("1:"&amp;LEN((LEFT(A228,SUM(LEN(A228)-LEN(SUBSTITUTE(A228,{"0","1","2"},""))))))))/10))*100+1&amp;""&amp;" &amp;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",LEN(A228))),LEN(A228)))))))/10))*100+1</f>
        <v>201 &amp; 501</v>
      </c>
      <c r="B229" s="89"/>
      <c r="C229" s="41"/>
      <c r="D229" s="41"/>
      <c r="E229" s="41">
        <v>0</v>
      </c>
      <c r="F229" s="41">
        <f>D229+E229</f>
        <v>0</v>
      </c>
      <c r="G229" s="41">
        <v>0</v>
      </c>
      <c r="H229" s="41">
        <f>F229*(($H$153)+1)+(IF(G229&lt;101,G229,IF(G229&lt;201,G229/2,IF(G229&lt;=301,G229/3,G229/4))))</f>
        <v>0</v>
      </c>
      <c r="I229" s="35"/>
    </row>
    <row r="230" spans="1:20" s="36" customFormat="1" ht="15.75" hidden="1" customHeight="1" x14ac:dyDescent="0.3">
      <c r="A230" s="87"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202 &amp; 502</v>
      </c>
      <c r="B230" s="89"/>
      <c r="C230" s="41"/>
      <c r="D230" s="41"/>
      <c r="E230" s="41">
        <v>0</v>
      </c>
      <c r="F230" s="41">
        <f>D230+E230</f>
        <v>0</v>
      </c>
      <c r="G230" s="41">
        <v>0</v>
      </c>
      <c r="H230" s="41">
        <f>F230*(($H$153)+1)+(IF(G230&lt;101,G230,IF(G230&lt;201,G230/2,IF(G230&lt;=301,G230/3,G230/4))))</f>
        <v>0</v>
      </c>
      <c r="I230" s="35"/>
    </row>
    <row r="231" spans="1:20" s="36" customFormat="1" ht="15.75" hidden="1" customHeight="1" x14ac:dyDescent="0.3">
      <c r="A231" s="87"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&amp;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203 &amp; 503</v>
      </c>
      <c r="B231" s="89"/>
      <c r="C231" s="41"/>
      <c r="D231" s="41"/>
      <c r="E231" s="41">
        <v>0</v>
      </c>
      <c r="F231" s="41">
        <f>D231+E231</f>
        <v>0</v>
      </c>
      <c r="G231" s="41">
        <v>0</v>
      </c>
      <c r="H231" s="41">
        <f>F231*(($H$153)+1)+(IF(G231&lt;101,G231,IF(G231&lt;201,G231/2,IF(G231&lt;=301,G231/3,G231/4))))</f>
        <v>0</v>
      </c>
      <c r="I231" s="35"/>
    </row>
    <row r="232" spans="1:20" s="36" customFormat="1" ht="15.75" hidden="1" customHeight="1" x14ac:dyDescent="0.3">
      <c r="A232" s="87"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&amp;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204 &amp; 504</v>
      </c>
      <c r="B232" s="89"/>
      <c r="C232" s="41"/>
      <c r="D232" s="41"/>
      <c r="E232" s="41">
        <v>0</v>
      </c>
      <c r="F232" s="41">
        <f>D232+E232</f>
        <v>0</v>
      </c>
      <c r="G232" s="41">
        <v>0</v>
      </c>
      <c r="H232" s="41">
        <f>F232*(($H$153)+1)+(IF(G232&lt;101,G232,IF(G232&lt;201,G232/2,IF(G232&lt;=301,G232/3,G232/4))))</f>
        <v>0</v>
      </c>
      <c r="I232" s="35"/>
    </row>
    <row r="233" spans="1:20" s="36" customFormat="1" ht="15.75" hidden="1" customHeight="1" x14ac:dyDescent="0.3">
      <c r="A233" s="87"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&amp;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205 &amp; 505</v>
      </c>
      <c r="B233" s="89"/>
      <c r="C233" s="41"/>
      <c r="D233" s="41"/>
      <c r="E233" s="41">
        <v>0</v>
      </c>
      <c r="F233" s="41">
        <f>D233+E233</f>
        <v>0</v>
      </c>
      <c r="G233" s="41">
        <v>0</v>
      </c>
      <c r="H233" s="41">
        <f>F233*(($H$153)+1)+(IF(G233&lt;101,G233,IF(G233&lt;201,G233/2,IF(G233&lt;=301,G233/3,G233/4))))</f>
        <v>0</v>
      </c>
      <c r="I233" s="35"/>
    </row>
    <row r="234" spans="1:20" s="34" customFormat="1" x14ac:dyDescent="0.3">
      <c r="A234" s="232" t="s">
        <v>65</v>
      </c>
      <c r="B234" s="232"/>
      <c r="C234" s="232"/>
      <c r="D234" s="232"/>
      <c r="E234" s="232"/>
      <c r="F234" s="232"/>
      <c r="G234" s="232"/>
      <c r="H234" s="232"/>
      <c r="T234" s="36"/>
    </row>
    <row r="235" spans="1:20" s="34" customFormat="1" x14ac:dyDescent="0.3">
      <c r="A235" s="45" t="s">
        <v>152</v>
      </c>
      <c r="B235" s="219" t="s">
        <v>392</v>
      </c>
      <c r="C235" s="220"/>
      <c r="D235" s="220"/>
      <c r="E235" s="220"/>
      <c r="F235" s="220"/>
      <c r="G235" s="220"/>
      <c r="H235" s="221"/>
      <c r="T235" s="36"/>
    </row>
    <row r="236" spans="1:20" s="34" customFormat="1" x14ac:dyDescent="0.3">
      <c r="A236" s="45" t="s">
        <v>152</v>
      </c>
      <c r="B236" s="219" t="str">
        <f>(IF(H152="Saleable area Loading :","We have considered Saleable area of Flats as per our Calculation.","We considered Saleable area of Flat as per Builder area Sheet."))</f>
        <v>We have considered Saleable area of Flats as per our Calculation.</v>
      </c>
      <c r="C236" s="220"/>
      <c r="D236" s="220"/>
      <c r="E236" s="220"/>
      <c r="F236" s="220"/>
      <c r="G236" s="220"/>
      <c r="H236" s="221"/>
      <c r="T236" s="36"/>
    </row>
    <row r="237" spans="1:20" s="34" customFormat="1" x14ac:dyDescent="0.3">
      <c r="A237" s="45" t="s">
        <v>152</v>
      </c>
      <c r="B237" s="219" t="str">
        <f>(IF(H129="Saleable area Loading :","We have considered Saleable area of Commercial as per our Calculation.","We considered Saleable area of Commercial as per Builder area Sheet."))</f>
        <v>We have considered Saleable area of Commercial as per our Calculation.</v>
      </c>
      <c r="C237" s="220"/>
      <c r="D237" s="220"/>
      <c r="E237" s="220"/>
      <c r="F237" s="220"/>
      <c r="G237" s="220"/>
      <c r="H237" s="221"/>
      <c r="T237" s="36"/>
    </row>
    <row r="238" spans="1:20" s="34" customFormat="1" x14ac:dyDescent="0.3">
      <c r="A238" s="45" t="s">
        <v>152</v>
      </c>
      <c r="B238" s="159" t="s">
        <v>119</v>
      </c>
      <c r="C238" s="160"/>
      <c r="D238" s="160"/>
      <c r="E238" s="160"/>
      <c r="F238" s="160"/>
      <c r="G238" s="160"/>
      <c r="H238" s="161"/>
      <c r="T238" s="36"/>
    </row>
    <row r="239" spans="1:20" s="34" customFormat="1" x14ac:dyDescent="0.3">
      <c r="A239" s="45" t="s">
        <v>152</v>
      </c>
      <c r="B239" s="159" t="s">
        <v>361</v>
      </c>
      <c r="C239" s="160"/>
      <c r="D239" s="160"/>
      <c r="E239" s="160"/>
      <c r="F239" s="160"/>
      <c r="G239" s="160"/>
      <c r="H239" s="161"/>
      <c r="T239" s="36"/>
    </row>
    <row r="240" spans="1:20" s="34" customFormat="1" x14ac:dyDescent="0.3">
      <c r="A240" s="45" t="s">
        <v>152</v>
      </c>
      <c r="B240" s="159" t="s">
        <v>151</v>
      </c>
      <c r="C240" s="160"/>
      <c r="D240" s="160"/>
      <c r="E240" s="160"/>
      <c r="F240" s="160"/>
      <c r="G240" s="160"/>
      <c r="H240" s="161"/>
    </row>
    <row r="241" spans="1:20" s="34" customFormat="1" x14ac:dyDescent="0.3">
      <c r="A241" s="45" t="s">
        <v>152</v>
      </c>
      <c r="B241" s="159" t="s">
        <v>120</v>
      </c>
      <c r="C241" s="160"/>
      <c r="D241" s="160"/>
      <c r="E241" s="160"/>
      <c r="F241" s="160"/>
      <c r="G241" s="160"/>
      <c r="H241" s="161"/>
    </row>
    <row r="242" spans="1:20" s="34" customFormat="1" ht="34.5" customHeight="1" x14ac:dyDescent="0.3">
      <c r="A242" s="45" t="s">
        <v>152</v>
      </c>
      <c r="B242" s="159" t="s">
        <v>153</v>
      </c>
      <c r="C242" s="160"/>
      <c r="D242" s="160"/>
      <c r="E242" s="160"/>
      <c r="F242" s="160"/>
      <c r="G242" s="160"/>
      <c r="H242" s="161"/>
    </row>
    <row r="243" spans="1:20" s="34" customFormat="1" x14ac:dyDescent="0.3">
      <c r="A243" s="45" t="s">
        <v>152</v>
      </c>
      <c r="B243" s="159" t="s">
        <v>121</v>
      </c>
      <c r="C243" s="160"/>
      <c r="D243" s="160"/>
      <c r="E243" s="160"/>
      <c r="F243" s="160"/>
      <c r="G243" s="160"/>
      <c r="H243" s="161"/>
    </row>
    <row r="244" spans="1:20" s="34" customFormat="1" ht="32.25" hidden="1" customHeight="1" x14ac:dyDescent="0.3">
      <c r="A244" s="45" t="s">
        <v>152</v>
      </c>
      <c r="B244" s="226" t="s">
        <v>177</v>
      </c>
      <c r="C244" s="227"/>
      <c r="D244" s="227"/>
      <c r="E244" s="227"/>
      <c r="F244" s="227"/>
      <c r="G244" s="227"/>
      <c r="H244" s="228"/>
    </row>
    <row r="245" spans="1:20" s="34" customFormat="1" x14ac:dyDescent="0.3">
      <c r="A245" s="45" t="s">
        <v>152</v>
      </c>
      <c r="B245" s="219" t="s">
        <v>363</v>
      </c>
      <c r="C245" s="220"/>
      <c r="D245" s="220"/>
      <c r="E245" s="220"/>
      <c r="F245" s="220"/>
      <c r="G245" s="220"/>
      <c r="H245" s="221"/>
    </row>
    <row r="246" spans="1:20" s="34" customFormat="1" ht="29.4" customHeight="1" x14ac:dyDescent="0.3">
      <c r="A246" s="45" t="s">
        <v>152</v>
      </c>
      <c r="B246" s="219" t="s">
        <v>391</v>
      </c>
      <c r="C246" s="220"/>
      <c r="D246" s="220"/>
      <c r="E246" s="220"/>
      <c r="F246" s="220"/>
      <c r="G246" s="220"/>
      <c r="H246" s="221"/>
    </row>
    <row r="247" spans="1:20" s="34" customFormat="1" x14ac:dyDescent="0.3">
      <c r="A247" s="45" t="s">
        <v>152</v>
      </c>
      <c r="B247" s="219" t="s">
        <v>362</v>
      </c>
      <c r="C247" s="220"/>
      <c r="D247" s="220"/>
      <c r="E247" s="220"/>
      <c r="F247" s="220"/>
      <c r="G247" s="220"/>
      <c r="H247" s="221"/>
    </row>
    <row r="248" spans="1:20" x14ac:dyDescent="0.3">
      <c r="A248" s="158" t="s">
        <v>58</v>
      </c>
      <c r="B248" s="158"/>
      <c r="C248" s="158"/>
      <c r="D248" s="158"/>
      <c r="E248" s="158"/>
      <c r="F248" s="158"/>
      <c r="G248" s="158"/>
      <c r="H248" s="158"/>
      <c r="T248" s="34"/>
    </row>
    <row r="249" spans="1:20" x14ac:dyDescent="0.3">
      <c r="A249" s="108" t="s">
        <v>59</v>
      </c>
      <c r="B249" s="108"/>
      <c r="C249" s="108"/>
      <c r="D249" s="108"/>
      <c r="E249" s="108"/>
      <c r="F249" s="108"/>
      <c r="G249" s="108"/>
      <c r="H249" s="108"/>
      <c r="T249" s="34"/>
    </row>
    <row r="250" spans="1:20" ht="15.75" customHeight="1" x14ac:dyDescent="0.3">
      <c r="A250" s="125" t="s">
        <v>60</v>
      </c>
      <c r="B250" s="125"/>
      <c r="C250" s="125"/>
      <c r="D250" s="125"/>
      <c r="E250" s="125"/>
      <c r="F250" s="125"/>
      <c r="G250" s="125"/>
      <c r="H250" s="125"/>
      <c r="T250" s="34"/>
    </row>
    <row r="251" spans="1:20" x14ac:dyDescent="0.3">
      <c r="A251" s="108" t="s">
        <v>61</v>
      </c>
      <c r="B251" s="108"/>
      <c r="C251" s="108"/>
      <c r="D251" s="108"/>
      <c r="E251" s="108"/>
      <c r="F251" s="108"/>
      <c r="G251" s="108"/>
      <c r="H251" s="108"/>
      <c r="T251" s="34"/>
    </row>
    <row r="252" spans="1:20" x14ac:dyDescent="0.3">
      <c r="A252" s="108" t="s">
        <v>62</v>
      </c>
      <c r="B252" s="108"/>
      <c r="C252" s="108"/>
      <c r="D252" s="108"/>
      <c r="E252" s="108"/>
      <c r="F252" s="108"/>
      <c r="G252" s="108"/>
      <c r="H252" s="108"/>
      <c r="T252" s="34"/>
    </row>
    <row r="253" spans="1:20" x14ac:dyDescent="0.3">
      <c r="A253" s="108" t="s">
        <v>122</v>
      </c>
      <c r="B253" s="108"/>
      <c r="C253" s="108"/>
      <c r="D253" s="108"/>
      <c r="E253" s="108"/>
      <c r="F253" s="108"/>
      <c r="G253" s="108"/>
      <c r="H253" s="108"/>
      <c r="T253" s="34"/>
    </row>
    <row r="254" spans="1:20" ht="33.9" customHeight="1" x14ac:dyDescent="0.3">
      <c r="A254" s="114" t="s">
        <v>123</v>
      </c>
      <c r="B254" s="114"/>
      <c r="C254" s="114"/>
      <c r="D254" s="114"/>
      <c r="E254" s="114"/>
      <c r="F254" s="114"/>
      <c r="G254" s="114"/>
      <c r="H254" s="114"/>
    </row>
    <row r="255" spans="1:20" x14ac:dyDescent="0.3">
      <c r="A255" s="154" t="s">
        <v>72</v>
      </c>
      <c r="B255" s="154"/>
      <c r="C255" s="154" t="s">
        <v>395</v>
      </c>
      <c r="D255" s="154"/>
      <c r="E255" s="154" t="s">
        <v>102</v>
      </c>
      <c r="F255" s="154"/>
      <c r="G255" s="154" t="s">
        <v>394</v>
      </c>
      <c r="H255" s="154"/>
    </row>
    <row r="256" spans="1:20" x14ac:dyDescent="0.3">
      <c r="A256" s="153" t="s">
        <v>74</v>
      </c>
      <c r="B256" s="153"/>
      <c r="C256" s="153"/>
      <c r="D256" s="153"/>
      <c r="E256" s="153"/>
      <c r="F256" s="153"/>
      <c r="G256" s="153"/>
      <c r="H256" s="153"/>
    </row>
    <row r="257" spans="1:8" x14ac:dyDescent="0.3">
      <c r="A257" s="153"/>
      <c r="B257" s="153"/>
      <c r="C257" s="153"/>
      <c r="D257" s="153"/>
      <c r="E257" s="153"/>
      <c r="F257" s="153"/>
      <c r="G257" s="153"/>
      <c r="H257" s="153"/>
    </row>
    <row r="258" spans="1:8" x14ac:dyDescent="0.3">
      <c r="A258" s="153"/>
      <c r="B258" s="153"/>
      <c r="C258" s="153"/>
      <c r="D258" s="153"/>
      <c r="E258" s="153"/>
      <c r="F258" s="153"/>
      <c r="G258" s="153"/>
      <c r="H258" s="153"/>
    </row>
    <row r="259" spans="1:8" x14ac:dyDescent="0.3">
      <c r="A259" s="153"/>
      <c r="B259" s="153"/>
      <c r="C259" s="153"/>
      <c r="D259" s="153"/>
      <c r="E259" s="153"/>
      <c r="F259" s="153"/>
      <c r="G259" s="153"/>
      <c r="H259" s="153"/>
    </row>
    <row r="260" spans="1:8" x14ac:dyDescent="0.3">
      <c r="A260" s="37" t="s">
        <v>63</v>
      </c>
      <c r="B260" s="38"/>
      <c r="C260" s="38"/>
      <c r="D260" s="37" t="str">
        <f>E9</f>
        <v>Akhand (Wing O &amp; P)</v>
      </c>
      <c r="F260" s="38"/>
      <c r="G260" s="38"/>
      <c r="H260" s="38"/>
    </row>
    <row r="261" spans="1:8" x14ac:dyDescent="0.3">
      <c r="A261" s="38"/>
      <c r="B261" s="38"/>
      <c r="C261" s="38"/>
      <c r="D261" s="38"/>
      <c r="E261" s="38"/>
      <c r="F261" s="38"/>
      <c r="G261" s="38"/>
      <c r="H261" s="38"/>
    </row>
    <row r="262" spans="1:8" x14ac:dyDescent="0.3">
      <c r="A262" s="38"/>
      <c r="B262" s="38"/>
      <c r="C262" s="38"/>
      <c r="D262" s="38"/>
      <c r="E262" s="38"/>
      <c r="F262" s="38"/>
      <c r="G262" s="38"/>
      <c r="H262" s="38"/>
    </row>
    <row r="263" spans="1:8" ht="15" customHeight="1" x14ac:dyDescent="0.3"/>
    <row r="301" spans="1:9" x14ac:dyDescent="0.3">
      <c r="A301" s="40" t="s">
        <v>162</v>
      </c>
    </row>
    <row r="304" spans="1:9" x14ac:dyDescent="0.3">
      <c r="I304"/>
    </row>
    <row r="343" spans="1:1" x14ac:dyDescent="0.3">
      <c r="A343" s="40" t="s">
        <v>64</v>
      </c>
    </row>
  </sheetData>
  <mergeCells count="425">
    <mergeCell ref="B246:H246"/>
    <mergeCell ref="E118:F118"/>
    <mergeCell ref="G118:H118"/>
    <mergeCell ref="A124:B124"/>
    <mergeCell ref="C124:D124"/>
    <mergeCell ref="E124:F124"/>
    <mergeCell ref="G124:H124"/>
    <mergeCell ref="A199:B199"/>
    <mergeCell ref="A200:B200"/>
    <mergeCell ref="A201:B201"/>
    <mergeCell ref="A202:B202"/>
    <mergeCell ref="A203:B203"/>
    <mergeCell ref="A204:B204"/>
    <mergeCell ref="A119:B119"/>
    <mergeCell ref="C119:D119"/>
    <mergeCell ref="E119:F119"/>
    <mergeCell ref="B235:H235"/>
    <mergeCell ref="B236:H236"/>
    <mergeCell ref="B238:H238"/>
    <mergeCell ref="B239:H239"/>
    <mergeCell ref="C175:H175"/>
    <mergeCell ref="B245:H245"/>
    <mergeCell ref="A167:B167"/>
    <mergeCell ref="A168:B168"/>
    <mergeCell ref="A234:H234"/>
    <mergeCell ref="A226:B226"/>
    <mergeCell ref="A227:B227"/>
    <mergeCell ref="A198:B198"/>
    <mergeCell ref="D67:H67"/>
    <mergeCell ref="A66:C67"/>
    <mergeCell ref="A131:H131"/>
    <mergeCell ref="A132:H132"/>
    <mergeCell ref="A154:H154"/>
    <mergeCell ref="A155:H155"/>
    <mergeCell ref="A173:B173"/>
    <mergeCell ref="A174:B174"/>
    <mergeCell ref="A94:B94"/>
    <mergeCell ref="A95:B95"/>
    <mergeCell ref="A96:B96"/>
    <mergeCell ref="F105:H105"/>
    <mergeCell ref="A105:E105"/>
    <mergeCell ref="D129:D130"/>
    <mergeCell ref="A107:E107"/>
    <mergeCell ref="A106:E106"/>
    <mergeCell ref="A103:E103"/>
    <mergeCell ref="G119:H119"/>
    <mergeCell ref="A118:B118"/>
    <mergeCell ref="C118:D118"/>
    <mergeCell ref="A182:B182"/>
    <mergeCell ref="A183:B183"/>
    <mergeCell ref="A184:B184"/>
    <mergeCell ref="A213:B213"/>
    <mergeCell ref="A223:B223"/>
    <mergeCell ref="A221:B221"/>
    <mergeCell ref="A186:B186"/>
    <mergeCell ref="A187:B187"/>
    <mergeCell ref="A197:H197"/>
    <mergeCell ref="B247:H247"/>
    <mergeCell ref="A108:E108"/>
    <mergeCell ref="A102:B102"/>
    <mergeCell ref="A125:B125"/>
    <mergeCell ref="E125:F125"/>
    <mergeCell ref="A113:E113"/>
    <mergeCell ref="G125:H125"/>
    <mergeCell ref="E120:F120"/>
    <mergeCell ref="G120:H120"/>
    <mergeCell ref="A120:B120"/>
    <mergeCell ref="C120:D120"/>
    <mergeCell ref="B242:H242"/>
    <mergeCell ref="A225:B225"/>
    <mergeCell ref="A214:B214"/>
    <mergeCell ref="A206:B206"/>
    <mergeCell ref="A151:H151"/>
    <mergeCell ref="A152:A153"/>
    <mergeCell ref="F152:F153"/>
    <mergeCell ref="A185:B185"/>
    <mergeCell ref="A215:B215"/>
    <mergeCell ref="A212:B212"/>
    <mergeCell ref="B244:H244"/>
    <mergeCell ref="B243:H243"/>
    <mergeCell ref="A169:B169"/>
    <mergeCell ref="C126:D126"/>
    <mergeCell ref="E126:F126"/>
    <mergeCell ref="C200:H200"/>
    <mergeCell ref="A222:H222"/>
    <mergeCell ref="A216:H216"/>
    <mergeCell ref="B240:H240"/>
    <mergeCell ref="A224:B224"/>
    <mergeCell ref="A188:B188"/>
    <mergeCell ref="C188:H188"/>
    <mergeCell ref="A189:H189"/>
    <mergeCell ref="A190:B190"/>
    <mergeCell ref="A191:B191"/>
    <mergeCell ref="A192:B192"/>
    <mergeCell ref="A193:B193"/>
    <mergeCell ref="A194:B194"/>
    <mergeCell ref="A195:B195"/>
    <mergeCell ref="A196:B196"/>
    <mergeCell ref="B237:H237"/>
    <mergeCell ref="A231:B231"/>
    <mergeCell ref="A228:H228"/>
    <mergeCell ref="A229:B229"/>
    <mergeCell ref="A230:B230"/>
    <mergeCell ref="A233:B233"/>
    <mergeCell ref="A232:B232"/>
    <mergeCell ref="L210:M210"/>
    <mergeCell ref="L209:M209"/>
    <mergeCell ref="L206:M206"/>
    <mergeCell ref="A207:B207"/>
    <mergeCell ref="L207:M207"/>
    <mergeCell ref="A208:B208"/>
    <mergeCell ref="L208:M208"/>
    <mergeCell ref="A209:B209"/>
    <mergeCell ref="G122:H122"/>
    <mergeCell ref="C129:C130"/>
    <mergeCell ref="B152:B153"/>
    <mergeCell ref="A136:H136"/>
    <mergeCell ref="A137:H137"/>
    <mergeCell ref="A139:B139"/>
    <mergeCell ref="L139:M139"/>
    <mergeCell ref="A138:B138"/>
    <mergeCell ref="L138:M138"/>
    <mergeCell ref="A140:B140"/>
    <mergeCell ref="L140:M140"/>
    <mergeCell ref="A141:B141"/>
    <mergeCell ref="L141:M141"/>
    <mergeCell ref="A142:B142"/>
    <mergeCell ref="L142:M142"/>
    <mergeCell ref="A143:B143"/>
    <mergeCell ref="A41:B41"/>
    <mergeCell ref="C41:H41"/>
    <mergeCell ref="F129:F130"/>
    <mergeCell ref="B129:B130"/>
    <mergeCell ref="A129:A130"/>
    <mergeCell ref="C152:C153"/>
    <mergeCell ref="G152:G153"/>
    <mergeCell ref="G126:H126"/>
    <mergeCell ref="C56:H56"/>
    <mergeCell ref="A78:B78"/>
    <mergeCell ref="C75:H75"/>
    <mergeCell ref="A83:B83"/>
    <mergeCell ref="A70:C70"/>
    <mergeCell ref="D70:H70"/>
    <mergeCell ref="C77:H77"/>
    <mergeCell ref="A80:B80"/>
    <mergeCell ref="A82:B82"/>
    <mergeCell ref="E78:F78"/>
    <mergeCell ref="A71:C71"/>
    <mergeCell ref="D71:H71"/>
    <mergeCell ref="A74:C74"/>
    <mergeCell ref="D74:H74"/>
    <mergeCell ref="A88:B88"/>
    <mergeCell ref="A92:B92"/>
    <mergeCell ref="A40:B40"/>
    <mergeCell ref="C40:H40"/>
    <mergeCell ref="A47:D47"/>
    <mergeCell ref="L134:M134"/>
    <mergeCell ref="A86:B86"/>
    <mergeCell ref="C123:D123"/>
    <mergeCell ref="E123:F123"/>
    <mergeCell ref="G123:H123"/>
    <mergeCell ref="A104:E104"/>
    <mergeCell ref="A133:H133"/>
    <mergeCell ref="E129:E130"/>
    <mergeCell ref="A93:B93"/>
    <mergeCell ref="A48:D48"/>
    <mergeCell ref="A49:H49"/>
    <mergeCell ref="D65:H65"/>
    <mergeCell ref="A65:C65"/>
    <mergeCell ref="A85:B85"/>
    <mergeCell ref="C91:H91"/>
    <mergeCell ref="A46:D46"/>
    <mergeCell ref="A50:B50"/>
    <mergeCell ref="C50:H50"/>
    <mergeCell ref="E79:F88"/>
    <mergeCell ref="G79:H88"/>
    <mergeCell ref="A87:B87"/>
    <mergeCell ref="A39:H39"/>
    <mergeCell ref="A38:B38"/>
    <mergeCell ref="C38:E38"/>
    <mergeCell ref="A43:D43"/>
    <mergeCell ref="E43:H43"/>
    <mergeCell ref="A42:H42"/>
    <mergeCell ref="A68:C68"/>
    <mergeCell ref="A69:C69"/>
    <mergeCell ref="D68:H68"/>
    <mergeCell ref="D69:H69"/>
    <mergeCell ref="A45:D45"/>
    <mergeCell ref="E45:H45"/>
    <mergeCell ref="E46:H46"/>
    <mergeCell ref="E47:H47"/>
    <mergeCell ref="E48:H48"/>
    <mergeCell ref="C58:H58"/>
    <mergeCell ref="C60:H60"/>
    <mergeCell ref="D66:H66"/>
    <mergeCell ref="G53:H53"/>
    <mergeCell ref="A52:B52"/>
    <mergeCell ref="A62:H62"/>
    <mergeCell ref="A63:C63"/>
    <mergeCell ref="A64:C64"/>
    <mergeCell ref="D64:H64"/>
    <mergeCell ref="F38:H38"/>
    <mergeCell ref="E28:H28"/>
    <mergeCell ref="A30:D30"/>
    <mergeCell ref="E30:H30"/>
    <mergeCell ref="A27:D27"/>
    <mergeCell ref="E27:H27"/>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A26:D26"/>
    <mergeCell ref="E26:H26"/>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F35:H35"/>
    <mergeCell ref="F36:H36"/>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A256:H259"/>
    <mergeCell ref="A255:B255"/>
    <mergeCell ref="E255:F255"/>
    <mergeCell ref="C255:D255"/>
    <mergeCell ref="G255:H255"/>
    <mergeCell ref="A116:H116"/>
    <mergeCell ref="A114:E114"/>
    <mergeCell ref="F114:H114"/>
    <mergeCell ref="A115:E115"/>
    <mergeCell ref="F115:H115"/>
    <mergeCell ref="A210:H210"/>
    <mergeCell ref="A123:B123"/>
    <mergeCell ref="A219:B219"/>
    <mergeCell ref="A251:H251"/>
    <mergeCell ref="A121:H121"/>
    <mergeCell ref="A254:H254"/>
    <mergeCell ref="A252:H252"/>
    <mergeCell ref="A248:H248"/>
    <mergeCell ref="A249:H249"/>
    <mergeCell ref="B241:H241"/>
    <mergeCell ref="G129:G130"/>
    <mergeCell ref="E122:F122"/>
    <mergeCell ref="A127:H127"/>
    <mergeCell ref="A126:B126"/>
    <mergeCell ref="A109:E109"/>
    <mergeCell ref="F109:H109"/>
    <mergeCell ref="A111:E111"/>
    <mergeCell ref="F106:H106"/>
    <mergeCell ref="A110:E110"/>
    <mergeCell ref="E93:F102"/>
    <mergeCell ref="A100:B100"/>
    <mergeCell ref="A101:B101"/>
    <mergeCell ref="G93:H102"/>
    <mergeCell ref="F103:H103"/>
    <mergeCell ref="F108:H108"/>
    <mergeCell ref="F107:H107"/>
    <mergeCell ref="A59:B60"/>
    <mergeCell ref="C59:E59"/>
    <mergeCell ref="G59:H59"/>
    <mergeCell ref="A77:B77"/>
    <mergeCell ref="A75:B75"/>
    <mergeCell ref="A84:B84"/>
    <mergeCell ref="C89:H89"/>
    <mergeCell ref="E92:F92"/>
    <mergeCell ref="G92:H92"/>
    <mergeCell ref="A91:B91"/>
    <mergeCell ref="A72:C72"/>
    <mergeCell ref="D73:H73"/>
    <mergeCell ref="A79:B79"/>
    <mergeCell ref="G78:H78"/>
    <mergeCell ref="A81:B81"/>
    <mergeCell ref="A253:H253"/>
    <mergeCell ref="A250:H250"/>
    <mergeCell ref="A211:B211"/>
    <mergeCell ref="A122:B122"/>
    <mergeCell ref="D152:D153"/>
    <mergeCell ref="E152:E153"/>
    <mergeCell ref="A97:B97"/>
    <mergeCell ref="A98:B98"/>
    <mergeCell ref="A99:B99"/>
    <mergeCell ref="F104:H104"/>
    <mergeCell ref="F110:H110"/>
    <mergeCell ref="C117:D117"/>
    <mergeCell ref="C125:D125"/>
    <mergeCell ref="A205:H205"/>
    <mergeCell ref="A220:B220"/>
    <mergeCell ref="A135:H135"/>
    <mergeCell ref="A217:B217"/>
    <mergeCell ref="A134:B134"/>
    <mergeCell ref="A170:B170"/>
    <mergeCell ref="A171:B171"/>
    <mergeCell ref="A172:H172"/>
    <mergeCell ref="A175:B175"/>
    <mergeCell ref="A176:B176"/>
    <mergeCell ref="A177:B177"/>
    <mergeCell ref="I16:P16"/>
    <mergeCell ref="F113:H113"/>
    <mergeCell ref="F111:H111"/>
    <mergeCell ref="A218:B218"/>
    <mergeCell ref="A128:H128"/>
    <mergeCell ref="G117:H117"/>
    <mergeCell ref="A112:E112"/>
    <mergeCell ref="A61:B61"/>
    <mergeCell ref="C61:E61"/>
    <mergeCell ref="D63:H63"/>
    <mergeCell ref="F112:H112"/>
    <mergeCell ref="E117:F117"/>
    <mergeCell ref="A117:B117"/>
    <mergeCell ref="C122:D122"/>
    <mergeCell ref="D72:H72"/>
    <mergeCell ref="A73:C73"/>
    <mergeCell ref="E44:H44"/>
    <mergeCell ref="A44:D44"/>
    <mergeCell ref="A89:B89"/>
    <mergeCell ref="G61:H61"/>
    <mergeCell ref="A55:B56"/>
    <mergeCell ref="C55:E55"/>
    <mergeCell ref="G55:H55"/>
    <mergeCell ref="A57:B58"/>
    <mergeCell ref="A51:B51"/>
    <mergeCell ref="C51:E51"/>
    <mergeCell ref="G51:H51"/>
    <mergeCell ref="L143:M143"/>
    <mergeCell ref="A149:B149"/>
    <mergeCell ref="L149:M149"/>
    <mergeCell ref="A150:B150"/>
    <mergeCell ref="L150:M150"/>
    <mergeCell ref="A144:H144"/>
    <mergeCell ref="A145:B145"/>
    <mergeCell ref="L145:M145"/>
    <mergeCell ref="A146:B146"/>
    <mergeCell ref="L146:M146"/>
    <mergeCell ref="A147:B147"/>
    <mergeCell ref="L147:M147"/>
    <mergeCell ref="A148:B148"/>
    <mergeCell ref="L148:M148"/>
    <mergeCell ref="G52:H52"/>
    <mergeCell ref="A53:B54"/>
    <mergeCell ref="C54:H54"/>
    <mergeCell ref="C53:E53"/>
    <mergeCell ref="C52:E52"/>
    <mergeCell ref="C57:E57"/>
    <mergeCell ref="G57:H57"/>
    <mergeCell ref="L181:M181"/>
    <mergeCell ref="A180:H180"/>
    <mergeCell ref="L156:M156"/>
    <mergeCell ref="A157:B157"/>
    <mergeCell ref="A158:B158"/>
    <mergeCell ref="A159:B159"/>
    <mergeCell ref="A160:B160"/>
    <mergeCell ref="A161:B161"/>
    <mergeCell ref="A162:B162"/>
    <mergeCell ref="A163:B163"/>
    <mergeCell ref="C163:H163"/>
    <mergeCell ref="A156:H156"/>
    <mergeCell ref="A178:B178"/>
    <mergeCell ref="A179:B179"/>
    <mergeCell ref="A181:H181"/>
    <mergeCell ref="A164:H164"/>
    <mergeCell ref="A165:B165"/>
    <mergeCell ref="A166:B16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29:E130" xr:uid="{00000000-0002-0000-0000-000003000000}">
      <formula1>"Attached Loft area,Attached Otla area,Attached Mezzanine area"</formula1>
    </dataValidation>
    <dataValidation type="list" allowBlank="1" showInputMessage="1" showErrorMessage="1" sqref="G255:H255" xr:uid="{00000000-0002-0000-0000-000004000000}">
      <formula1>"Kunal Kadam,Pranita Mhatre,Shruti Fule,Pooja Kawale,Neha Dhokale,Shruti Tathare, Hitakshi Mhatre, Sachin Sawant"</formula1>
    </dataValidation>
    <dataValidation type="list" allowBlank="1" showInputMessage="1" showErrorMessage="1" sqref="F103:H103" xr:uid="{00000000-0002-0000-0000-000005000000}">
      <formula1>"On Saleable Area,On Builtup Area,On Carpet Area,On Plot Area"</formula1>
    </dataValidation>
    <dataValidation type="list" allowBlank="1" showInputMessage="1" showErrorMessage="1" sqref="F114:H114" xr:uid="{00000000-0002-0000-0000-000006000000}">
      <formula1>OFFSET($S$103,1,MATCH($G21,$S$103:$W$103,0)-1,15,1)</formula1>
    </dataValidation>
    <dataValidation type="list" allowBlank="1" showInputMessage="1" showErrorMessage="1" sqref="B129:B130" xr:uid="{00000000-0002-0000-0000-000007000000}">
      <formula1>"Shop No. (Sale Plan),Sale / Rehab,Sale / Mhada"</formula1>
    </dataValidation>
    <dataValidation type="list" allowBlank="1" showInputMessage="1" showErrorMessage="1" sqref="B152:B153" xr:uid="{00000000-0002-0000-0000-000008000000}">
      <formula1>"Flat No. (Sale Plan),Sale / Rehab,Sale / Mhada"</formula1>
    </dataValidation>
    <dataValidation type="list" allowBlank="1" showInputMessage="1" showErrorMessage="1" sqref="C22:D22" xr:uid="{00000000-0002-0000-0000-000009000000}">
      <formula1>OFFSET($S$14,1,MATCH($G21,$S$14:$W$14,0)-1,15,1)</formula1>
    </dataValidation>
    <dataValidation type="list" allowBlank="1" showInputMessage="1" showErrorMessage="1" sqref="Y14" xr:uid="{00000000-0002-0000-0000-00000A000000}">
      <formula1>$D$5:$H$5</formula1>
    </dataValidation>
    <dataValidation type="list" allowBlank="1" showInputMessage="1" showErrorMessage="1" sqref="E152:E153" xr:uid="{00000000-0002-0000-0000-00000B000000}">
      <formula1>"Fungible area,Balcony Area,Chajja Area,Cornice Area,AP Area,WS Area"</formula1>
    </dataValidation>
    <dataValidation type="list" allowBlank="1" showInputMessage="1" showErrorMessage="1" sqref="H130 H153"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OFFSET($S$50,1,MATCH($G21,$S$50:$W$50,0)-1,15,1)</formula1>
    </dataValidation>
    <dataValidation type="whole" allowBlank="1" showInputMessage="1" showErrorMessage="1" sqref="C84" xr:uid="{00000000-0002-0000-0000-00000F000000}">
      <formula1>0</formula1>
      <formula2>H76</formula2>
    </dataValidation>
    <dataValidation type="list" allowBlank="1" showInputMessage="1" showErrorMessage="1" sqref="H129 H152" xr:uid="{00000000-0002-0000-0000-000010000000}">
      <formula1>"Saleable area Loading :,Builder Saleable Area"</formula1>
    </dataValidation>
    <dataValidation type="list" allowBlank="1" showInputMessage="1" showErrorMessage="1" sqref="D129:D130 D152:D153" xr:uid="{00000000-0002-0000-0000-000011000000}">
      <formula1>"Carpet area,RERA Carpet area"</formula1>
    </dataValidation>
  </dataValidations>
  <hyperlinks>
    <hyperlink ref="C41"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120" max="7" man="1"/>
    <brk id="259" max="16383" man="1"/>
    <brk id="300" max="16383" man="1"/>
    <brk id="34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38" t="s">
        <v>103</v>
      </c>
      <c r="C3" s="238"/>
      <c r="D3" s="238"/>
      <c r="E3" s="238"/>
      <c r="F3" s="238"/>
      <c r="G3" s="238"/>
      <c r="H3" s="238"/>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178</v>
      </c>
      <c r="E4" s="53" t="s">
        <v>188</v>
      </c>
      <c r="F4" s="53" t="s">
        <v>171</v>
      </c>
      <c r="G4" s="53" t="s">
        <v>193</v>
      </c>
      <c r="H4" s="53" t="s">
        <v>211</v>
      </c>
      <c r="J4" t="s">
        <v>193</v>
      </c>
      <c r="K4" t="s">
        <v>209</v>
      </c>
    </row>
    <row r="5" spans="2:11" x14ac:dyDescent="0.3">
      <c r="B5" s="52"/>
      <c r="C5" s="52"/>
      <c r="D5" s="53" t="s">
        <v>179</v>
      </c>
      <c r="E5" s="53" t="s">
        <v>186</v>
      </c>
      <c r="F5" s="53" t="s">
        <v>208</v>
      </c>
      <c r="G5" s="53" t="s">
        <v>194</v>
      </c>
      <c r="H5" s="53" t="s">
        <v>212</v>
      </c>
    </row>
    <row r="6" spans="2:11" x14ac:dyDescent="0.3">
      <c r="B6" s="52"/>
      <c r="C6" s="52"/>
      <c r="D6" s="53" t="s">
        <v>180</v>
      </c>
      <c r="E6" s="53" t="s">
        <v>187</v>
      </c>
      <c r="F6" s="53" t="s">
        <v>209</v>
      </c>
      <c r="G6" s="53" t="s">
        <v>195</v>
      </c>
      <c r="H6" s="53" t="s">
        <v>225</v>
      </c>
    </row>
    <row r="7" spans="2:11" x14ac:dyDescent="0.3">
      <c r="B7" s="52"/>
      <c r="C7" s="52"/>
      <c r="D7" s="53" t="s">
        <v>181</v>
      </c>
      <c r="E7" s="53" t="s">
        <v>189</v>
      </c>
      <c r="F7" s="53" t="s">
        <v>210</v>
      </c>
      <c r="G7" s="53" t="s">
        <v>196</v>
      </c>
      <c r="H7" s="53" t="s">
        <v>213</v>
      </c>
    </row>
    <row r="8" spans="2:11" x14ac:dyDescent="0.3">
      <c r="B8" s="52"/>
      <c r="C8" s="52"/>
      <c r="D8" s="53" t="s">
        <v>182</v>
      </c>
      <c r="E8" s="53" t="s">
        <v>190</v>
      </c>
      <c r="F8" s="53"/>
      <c r="G8" s="53" t="s">
        <v>197</v>
      </c>
      <c r="H8" s="53" t="s">
        <v>214</v>
      </c>
    </row>
    <row r="9" spans="2:11" x14ac:dyDescent="0.3">
      <c r="B9" s="52"/>
      <c r="C9" s="52"/>
      <c r="D9" s="53" t="s">
        <v>183</v>
      </c>
      <c r="E9" s="53" t="s">
        <v>188</v>
      </c>
      <c r="F9" s="53"/>
      <c r="G9" s="53" t="s">
        <v>198</v>
      </c>
      <c r="H9" s="53" t="s">
        <v>215</v>
      </c>
    </row>
    <row r="10" spans="2:11" x14ac:dyDescent="0.3">
      <c r="B10" s="52"/>
      <c r="C10" s="52"/>
      <c r="D10" s="53" t="s">
        <v>184</v>
      </c>
      <c r="E10" s="53" t="s">
        <v>191</v>
      </c>
      <c r="F10" s="53"/>
      <c r="G10" s="53" t="s">
        <v>199</v>
      </c>
      <c r="H10" s="53" t="s">
        <v>216</v>
      </c>
    </row>
    <row r="11" spans="2:11" x14ac:dyDescent="0.3">
      <c r="B11" s="52"/>
      <c r="C11" s="52"/>
      <c r="D11" s="53" t="s">
        <v>185</v>
      </c>
      <c r="E11" s="53" t="s">
        <v>192</v>
      </c>
      <c r="F11" s="53"/>
      <c r="G11" s="53" t="s">
        <v>200</v>
      </c>
      <c r="H11" s="53" t="s">
        <v>217</v>
      </c>
    </row>
    <row r="12" spans="2:11" x14ac:dyDescent="0.3">
      <c r="B12" s="52"/>
      <c r="C12" s="52"/>
      <c r="D12" s="53"/>
      <c r="E12" s="53"/>
      <c r="F12" s="53"/>
      <c r="G12" s="53" t="s">
        <v>201</v>
      </c>
      <c r="H12" s="53" t="s">
        <v>218</v>
      </c>
    </row>
    <row r="13" spans="2:11" x14ac:dyDescent="0.3">
      <c r="B13" s="52"/>
      <c r="C13" s="52"/>
      <c r="D13" s="53"/>
      <c r="E13" s="53"/>
      <c r="F13" s="53"/>
      <c r="G13" s="53" t="s">
        <v>202</v>
      </c>
      <c r="H13" s="53" t="s">
        <v>219</v>
      </c>
    </row>
    <row r="14" spans="2:11" x14ac:dyDescent="0.3">
      <c r="B14" s="52"/>
      <c r="C14" s="52"/>
      <c r="D14" s="53"/>
      <c r="E14" s="53"/>
      <c r="F14" s="53"/>
      <c r="G14" s="53" t="s">
        <v>203</v>
      </c>
      <c r="H14" s="53" t="s">
        <v>220</v>
      </c>
    </row>
    <row r="15" spans="2:11" x14ac:dyDescent="0.3">
      <c r="B15" s="52"/>
      <c r="C15" s="52"/>
      <c r="D15" s="53"/>
      <c r="E15" s="53"/>
      <c r="F15" s="53"/>
      <c r="G15" s="53" t="s">
        <v>204</v>
      </c>
      <c r="H15" s="53" t="s">
        <v>221</v>
      </c>
    </row>
    <row r="16" spans="2:11" x14ac:dyDescent="0.3">
      <c r="B16" s="52"/>
      <c r="C16" s="52"/>
      <c r="D16" s="53"/>
      <c r="E16" s="53"/>
      <c r="F16" s="53"/>
      <c r="G16" s="53" t="s">
        <v>205</v>
      </c>
      <c r="H16" s="53" t="s">
        <v>222</v>
      </c>
    </row>
    <row r="17" spans="2:8" x14ac:dyDescent="0.3">
      <c r="B17" s="52"/>
      <c r="C17" s="52"/>
      <c r="D17" s="53"/>
      <c r="E17" s="53"/>
      <c r="F17" s="53"/>
      <c r="G17" s="53" t="s">
        <v>206</v>
      </c>
      <c r="H17" s="53" t="s">
        <v>223</v>
      </c>
    </row>
    <row r="18" spans="2:8" x14ac:dyDescent="0.3">
      <c r="B18" s="52"/>
      <c r="C18" s="52"/>
      <c r="D18" s="53"/>
      <c r="E18" s="53"/>
      <c r="F18" s="53"/>
      <c r="G18" s="53" t="s">
        <v>207</v>
      </c>
      <c r="H18" s="53" t="s">
        <v>224</v>
      </c>
    </row>
    <row r="24" spans="2:8" x14ac:dyDescent="0.3">
      <c r="C24" t="s">
        <v>168</v>
      </c>
    </row>
    <row r="25" spans="2:8" x14ac:dyDescent="0.3">
      <c r="C25" t="s">
        <v>226</v>
      </c>
    </row>
    <row r="26" spans="2:8" x14ac:dyDescent="0.3">
      <c r="C26" t="s">
        <v>227</v>
      </c>
    </row>
    <row r="27" spans="2:8" x14ac:dyDescent="0.3">
      <c r="C27" t="s">
        <v>228</v>
      </c>
    </row>
    <row r="28" spans="2:8" x14ac:dyDescent="0.3">
      <c r="C28" t="s">
        <v>229</v>
      </c>
    </row>
    <row r="29" spans="2:8" x14ac:dyDescent="0.3">
      <c r="C29" t="s">
        <v>230</v>
      </c>
    </row>
    <row r="30" spans="2:8" x14ac:dyDescent="0.3">
      <c r="C30" t="s">
        <v>168</v>
      </c>
    </row>
    <row r="33" spans="3:11" x14ac:dyDescent="0.3">
      <c r="J33">
        <v>1</v>
      </c>
      <c r="K33">
        <v>2</v>
      </c>
    </row>
    <row r="34" spans="3:11" x14ac:dyDescent="0.3">
      <c r="C34" s="54" t="s">
        <v>236</v>
      </c>
      <c r="D34" s="53" t="s">
        <v>234</v>
      </c>
      <c r="E34" s="53" t="s">
        <v>239</v>
      </c>
      <c r="F34" s="53" t="s">
        <v>237</v>
      </c>
      <c r="G34" s="53" t="s">
        <v>238</v>
      </c>
      <c r="H34" s="53" t="s">
        <v>240</v>
      </c>
      <c r="J34" t="s">
        <v>193</v>
      </c>
      <c r="K34" t="s">
        <v>209</v>
      </c>
    </row>
    <row r="35" spans="3:11" x14ac:dyDescent="0.3">
      <c r="C35" s="52" t="s">
        <v>235</v>
      </c>
      <c r="D35" s="53" t="s">
        <v>169</v>
      </c>
      <c r="E35" s="53" t="s">
        <v>244</v>
      </c>
      <c r="F35" s="53" t="s">
        <v>246</v>
      </c>
      <c r="G35" s="53" t="s">
        <v>248</v>
      </c>
      <c r="H35" s="53"/>
    </row>
    <row r="36" spans="3:11" x14ac:dyDescent="0.3">
      <c r="C36" s="52"/>
      <c r="D36" s="53" t="s">
        <v>241</v>
      </c>
      <c r="E36" s="53" t="s">
        <v>245</v>
      </c>
      <c r="F36" s="53" t="s">
        <v>247</v>
      </c>
      <c r="G36" s="53" t="s">
        <v>249</v>
      </c>
      <c r="H36" s="53"/>
    </row>
    <row r="37" spans="3:11" x14ac:dyDescent="0.3">
      <c r="C37" s="52"/>
      <c r="D37" s="53" t="s">
        <v>242</v>
      </c>
      <c r="E37" s="53"/>
      <c r="F37" s="53"/>
      <c r="G37" s="53" t="s">
        <v>250</v>
      </c>
      <c r="H37" s="53"/>
    </row>
    <row r="38" spans="3:11" x14ac:dyDescent="0.3">
      <c r="C38" s="52"/>
      <c r="D38" s="53" t="s">
        <v>243</v>
      </c>
      <c r="E38" s="53"/>
      <c r="F38" s="53"/>
      <c r="G38" s="53" t="s">
        <v>250</v>
      </c>
      <c r="H38" s="53"/>
    </row>
    <row r="39" spans="3:11" x14ac:dyDescent="0.3">
      <c r="C39" s="52"/>
      <c r="D39" s="53"/>
      <c r="E39" s="53"/>
      <c r="F39" s="53"/>
      <c r="G39" s="53" t="s">
        <v>251</v>
      </c>
      <c r="H39" s="53"/>
    </row>
    <row r="40" spans="3:11" x14ac:dyDescent="0.3">
      <c r="C40" s="52"/>
      <c r="D40" s="53"/>
      <c r="E40" s="53"/>
      <c r="F40" s="53"/>
      <c r="G40" s="53" t="s">
        <v>252</v>
      </c>
      <c r="H40" s="53"/>
    </row>
    <row r="41" spans="3:11" x14ac:dyDescent="0.3">
      <c r="C41" s="52"/>
      <c r="D41" s="53"/>
      <c r="E41" s="53"/>
      <c r="F41" s="53"/>
      <c r="G41" s="53"/>
      <c r="H41" s="53"/>
    </row>
    <row r="43" spans="3:11" x14ac:dyDescent="0.3">
      <c r="C43" t="s">
        <v>253</v>
      </c>
    </row>
    <row r="44" spans="3:11" x14ac:dyDescent="0.3">
      <c r="C44" t="s">
        <v>171</v>
      </c>
      <c r="D44" t="s">
        <v>254</v>
      </c>
    </row>
    <row r="45" spans="3:11" x14ac:dyDescent="0.3">
      <c r="D45" t="s">
        <v>255</v>
      </c>
    </row>
    <row r="46" spans="3:11" x14ac:dyDescent="0.3">
      <c r="D46" t="s">
        <v>256</v>
      </c>
    </row>
    <row r="47" spans="3:11" x14ac:dyDescent="0.3">
      <c r="D47" t="s">
        <v>257</v>
      </c>
    </row>
    <row r="48" spans="3:11" x14ac:dyDescent="0.3">
      <c r="D48" t="s">
        <v>258</v>
      </c>
    </row>
    <row r="49" spans="3:4" x14ac:dyDescent="0.3">
      <c r="C49" t="s">
        <v>178</v>
      </c>
      <c r="D49" t="s">
        <v>259</v>
      </c>
    </row>
    <row r="50" spans="3:4" x14ac:dyDescent="0.3">
      <c r="D50" t="s">
        <v>260</v>
      </c>
    </row>
    <row r="51" spans="3:4" x14ac:dyDescent="0.3">
      <c r="D51" t="s">
        <v>261</v>
      </c>
    </row>
    <row r="52" spans="3:4" x14ac:dyDescent="0.3">
      <c r="D52" t="s">
        <v>264</v>
      </c>
    </row>
    <row r="53" spans="3:4" x14ac:dyDescent="0.3">
      <c r="D53" t="s">
        <v>262</v>
      </c>
    </row>
    <row r="54" spans="3:4" x14ac:dyDescent="0.3">
      <c r="D54" t="s">
        <v>263</v>
      </c>
    </row>
    <row r="55" spans="3:4" x14ac:dyDescent="0.3">
      <c r="D55" t="s">
        <v>265</v>
      </c>
    </row>
    <row r="56" spans="3:4" x14ac:dyDescent="0.3">
      <c r="D56" t="s">
        <v>266</v>
      </c>
    </row>
    <row r="57" spans="3:4" x14ac:dyDescent="0.3">
      <c r="D57" t="s">
        <v>267</v>
      </c>
    </row>
    <row r="58" spans="3:4" x14ac:dyDescent="0.3">
      <c r="D58" t="s">
        <v>269</v>
      </c>
    </row>
    <row r="59" spans="3:4" x14ac:dyDescent="0.3">
      <c r="D59" t="s">
        <v>278</v>
      </c>
    </row>
    <row r="60" spans="3:4" x14ac:dyDescent="0.3">
      <c r="C60" t="s">
        <v>193</v>
      </c>
      <c r="D60" t="s">
        <v>270</v>
      </c>
    </row>
    <row r="61" spans="3:4" x14ac:dyDescent="0.3">
      <c r="D61" t="s">
        <v>268</v>
      </c>
    </row>
    <row r="62" spans="3:4" x14ac:dyDescent="0.3">
      <c r="D62" t="s">
        <v>258</v>
      </c>
    </row>
    <row r="63" spans="3:4" x14ac:dyDescent="0.3">
      <c r="D63" t="s">
        <v>271</v>
      </c>
    </row>
    <row r="64" spans="3:4" x14ac:dyDescent="0.3">
      <c r="D64" t="s">
        <v>272</v>
      </c>
    </row>
    <row r="65" spans="3:4" x14ac:dyDescent="0.3">
      <c r="D65" t="s">
        <v>273</v>
      </c>
    </row>
    <row r="66" spans="3:4" x14ac:dyDescent="0.3">
      <c r="D66" t="s">
        <v>274</v>
      </c>
    </row>
    <row r="67" spans="3:4" x14ac:dyDescent="0.3">
      <c r="C67" t="s">
        <v>188</v>
      </c>
      <c r="D67" t="s">
        <v>275</v>
      </c>
    </row>
    <row r="68" spans="3:4" x14ac:dyDescent="0.3">
      <c r="D68" t="s">
        <v>276</v>
      </c>
    </row>
    <row r="69" spans="3:4" x14ac:dyDescent="0.3">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0"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5">
        <v>1</v>
      </c>
      <c r="C2" s="57" t="s">
        <v>284</v>
      </c>
    </row>
    <row r="3" spans="2:3" x14ac:dyDescent="0.3">
      <c r="B3" s="55">
        <v>2</v>
      </c>
      <c r="C3" s="56" t="s">
        <v>285</v>
      </c>
    </row>
    <row r="4" spans="2:3" x14ac:dyDescent="0.3">
      <c r="B4" s="55">
        <v>3</v>
      </c>
      <c r="C4" s="55" t="s">
        <v>286</v>
      </c>
    </row>
    <row r="5" spans="2:3" x14ac:dyDescent="0.3">
      <c r="B5" s="55">
        <v>4</v>
      </c>
      <c r="C5" s="56" t="s">
        <v>287</v>
      </c>
    </row>
    <row r="6" spans="2:3" x14ac:dyDescent="0.3">
      <c r="B6" s="55">
        <v>5</v>
      </c>
      <c r="C6" s="55" t="s">
        <v>288</v>
      </c>
    </row>
    <row r="7" spans="2:3" ht="28.8" x14ac:dyDescent="0.3">
      <c r="B7" s="55">
        <v>6</v>
      </c>
      <c r="C7" s="56" t="s">
        <v>289</v>
      </c>
    </row>
    <row r="8" spans="2:3" ht="72" x14ac:dyDescent="0.3">
      <c r="B8" s="55">
        <v>7</v>
      </c>
      <c r="C8" s="56" t="s">
        <v>290</v>
      </c>
    </row>
    <row r="9" spans="2:3" x14ac:dyDescent="0.3">
      <c r="B9" s="55">
        <v>8</v>
      </c>
      <c r="C9" s="55" t="s">
        <v>291</v>
      </c>
    </row>
    <row r="10" spans="2:3" x14ac:dyDescent="0.3">
      <c r="B10" s="55">
        <v>9</v>
      </c>
      <c r="C10" s="55" t="s">
        <v>292</v>
      </c>
    </row>
    <row r="11" spans="2:3" x14ac:dyDescent="0.3">
      <c r="B11" s="55">
        <v>10</v>
      </c>
      <c r="C11" s="55" t="s">
        <v>293</v>
      </c>
    </row>
    <row r="12" spans="2:3" x14ac:dyDescent="0.3">
      <c r="B12" s="55">
        <v>11</v>
      </c>
      <c r="C12" s="55" t="s">
        <v>294</v>
      </c>
    </row>
    <row r="13" spans="2:3" x14ac:dyDescent="0.3">
      <c r="B13" s="55">
        <v>12</v>
      </c>
      <c r="C13" s="55" t="s">
        <v>295</v>
      </c>
    </row>
    <row r="14" spans="2:3" x14ac:dyDescent="0.3">
      <c r="B14" s="55">
        <v>13</v>
      </c>
      <c r="C14" s="55" t="s">
        <v>296</v>
      </c>
    </row>
    <row r="15" spans="2:3" x14ac:dyDescent="0.3">
      <c r="B15" s="55">
        <v>14</v>
      </c>
      <c r="C15" s="55" t="s">
        <v>286</v>
      </c>
    </row>
    <row r="16" spans="2:3" x14ac:dyDescent="0.3">
      <c r="B16" s="55">
        <v>15</v>
      </c>
      <c r="C16" s="55" t="s">
        <v>298</v>
      </c>
    </row>
    <row r="17" spans="2:3" ht="31.5" customHeight="1" x14ac:dyDescent="0.3">
      <c r="B17" s="58">
        <v>16</v>
      </c>
      <c r="C17" s="60" t="s">
        <v>299</v>
      </c>
    </row>
    <row r="18" spans="2:3" x14ac:dyDescent="0.3">
      <c r="B18" s="59">
        <v>17</v>
      </c>
      <c r="C18" s="60" t="s">
        <v>300</v>
      </c>
    </row>
    <row r="19" spans="2:3" x14ac:dyDescent="0.3">
      <c r="B19" s="58">
        <v>18</v>
      </c>
      <c r="C19" s="55" t="s">
        <v>301</v>
      </c>
    </row>
    <row r="20" spans="2:3" x14ac:dyDescent="0.3">
      <c r="B20" s="59">
        <v>19</v>
      </c>
      <c r="C20" s="55" t="s">
        <v>302</v>
      </c>
    </row>
    <row r="21" spans="2:3" x14ac:dyDescent="0.3">
      <c r="B21" s="55">
        <v>20</v>
      </c>
      <c r="C21" s="55" t="s">
        <v>303</v>
      </c>
    </row>
    <row r="22" spans="2:3" x14ac:dyDescent="0.3">
      <c r="B22" s="59">
        <v>21</v>
      </c>
      <c r="C22" s="55" t="s">
        <v>301</v>
      </c>
    </row>
    <row r="23" spans="2:3" s="69" customFormat="1" ht="29.25" customHeight="1" x14ac:dyDescent="0.3">
      <c r="B23" s="68">
        <v>22</v>
      </c>
      <c r="C23" s="57" t="s">
        <v>330</v>
      </c>
    </row>
    <row r="24" spans="2:3" s="69" customFormat="1" ht="30.75" customHeight="1" x14ac:dyDescent="0.3">
      <c r="B24" s="70">
        <v>23</v>
      </c>
      <c r="C24" s="57" t="s">
        <v>331</v>
      </c>
    </row>
    <row r="25" spans="2:3" x14ac:dyDescent="0.3">
      <c r="B25" s="55">
        <v>24</v>
      </c>
      <c r="C25" s="55"/>
    </row>
    <row r="26" spans="2:3" x14ac:dyDescent="0.3">
      <c r="B26" s="59">
        <v>25</v>
      </c>
      <c r="C26"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2" t="s">
        <v>304</v>
      </c>
      <c r="C2" s="239"/>
      <c r="D2" s="239"/>
    </row>
    <row r="3" spans="1:12" x14ac:dyDescent="0.3">
      <c r="D3" s="63"/>
      <c r="E3" s="63"/>
      <c r="F3" s="63"/>
      <c r="G3" s="63"/>
      <c r="H3" s="63"/>
      <c r="I3" s="63"/>
    </row>
    <row r="4" spans="1:12" x14ac:dyDescent="0.3">
      <c r="A4" s="62" t="s">
        <v>66</v>
      </c>
      <c r="B4" s="64" t="s">
        <v>305</v>
      </c>
      <c r="C4" s="240" t="s">
        <v>306</v>
      </c>
      <c r="D4" s="240"/>
      <c r="E4" s="240"/>
      <c r="F4" s="64"/>
      <c r="G4" s="241" t="s">
        <v>307</v>
      </c>
      <c r="H4" s="241"/>
      <c r="I4" s="241"/>
      <c r="J4" s="242" t="s">
        <v>308</v>
      </c>
      <c r="K4" s="242"/>
      <c r="L4" s="242"/>
    </row>
    <row r="5" spans="1:12" x14ac:dyDescent="0.3">
      <c r="A5" s="62"/>
      <c r="B5" s="64"/>
      <c r="C5" s="64" t="s">
        <v>309</v>
      </c>
      <c r="D5" s="64" t="s">
        <v>310</v>
      </c>
      <c r="E5" s="64" t="s">
        <v>311</v>
      </c>
      <c r="F5" s="64"/>
      <c r="G5" s="64" t="s">
        <v>309</v>
      </c>
      <c r="H5" s="64" t="s">
        <v>310</v>
      </c>
      <c r="I5" s="64" t="s">
        <v>311</v>
      </c>
      <c r="J5" s="64" t="s">
        <v>309</v>
      </c>
      <c r="K5" s="64" t="s">
        <v>310</v>
      </c>
      <c r="L5" s="64" t="s">
        <v>311</v>
      </c>
    </row>
    <row r="6" spans="1:12" x14ac:dyDescent="0.3">
      <c r="B6" s="53" t="s">
        <v>312</v>
      </c>
      <c r="C6" s="53"/>
      <c r="D6" s="53"/>
      <c r="E6" s="53">
        <f>C6*D6</f>
        <v>0</v>
      </c>
      <c r="F6" s="53" t="s">
        <v>329</v>
      </c>
      <c r="G6" s="53"/>
      <c r="H6" s="53"/>
      <c r="I6" s="53">
        <f>G6*H6</f>
        <v>0</v>
      </c>
      <c r="J6" s="53"/>
      <c r="K6" s="53"/>
      <c r="L6" s="53">
        <f>J6*K6</f>
        <v>0</v>
      </c>
    </row>
    <row r="7" spans="1:12" x14ac:dyDescent="0.3">
      <c r="B7" s="53"/>
      <c r="C7" s="53"/>
      <c r="D7" s="53"/>
      <c r="E7" s="53">
        <f t="shared" ref="E7:E41" si="0">C7*D7</f>
        <v>0</v>
      </c>
      <c r="F7" s="53" t="s">
        <v>329</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313</v>
      </c>
      <c r="G9" s="53"/>
      <c r="H9" s="53"/>
      <c r="I9" s="53">
        <f t="shared" si="1"/>
        <v>0</v>
      </c>
      <c r="J9" s="53"/>
      <c r="K9" s="53"/>
      <c r="L9" s="53">
        <f t="shared" si="2"/>
        <v>0</v>
      </c>
    </row>
    <row r="10" spans="1:12" x14ac:dyDescent="0.3">
      <c r="B10" s="53" t="s">
        <v>314</v>
      </c>
      <c r="C10" s="53"/>
      <c r="D10" s="53"/>
      <c r="E10" s="53">
        <f t="shared" si="0"/>
        <v>0</v>
      </c>
      <c r="F10" s="53" t="s">
        <v>313</v>
      </c>
      <c r="G10" s="53"/>
      <c r="H10" s="53"/>
      <c r="I10" s="53">
        <f t="shared" si="1"/>
        <v>0</v>
      </c>
      <c r="J10" s="53"/>
      <c r="K10" s="53"/>
      <c r="L10" s="53">
        <f t="shared" si="2"/>
        <v>0</v>
      </c>
    </row>
    <row r="11" spans="1:12" x14ac:dyDescent="0.3">
      <c r="B11" s="53"/>
      <c r="C11" s="53"/>
      <c r="D11" s="53"/>
      <c r="E11" s="53">
        <f t="shared" si="0"/>
        <v>0</v>
      </c>
      <c r="F11" s="53" t="s">
        <v>315</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316</v>
      </c>
      <c r="C14" s="53"/>
      <c r="D14" s="53"/>
      <c r="E14" s="53">
        <f t="shared" si="0"/>
        <v>0</v>
      </c>
      <c r="F14" s="53" t="s">
        <v>313</v>
      </c>
      <c r="G14" s="53"/>
      <c r="H14" s="53"/>
      <c r="I14" s="53">
        <f t="shared" si="1"/>
        <v>0</v>
      </c>
      <c r="J14" s="53"/>
      <c r="K14" s="53"/>
      <c r="L14" s="53">
        <f t="shared" si="2"/>
        <v>0</v>
      </c>
    </row>
    <row r="15" spans="1:12" x14ac:dyDescent="0.3">
      <c r="B15" s="53"/>
      <c r="C15" s="53"/>
      <c r="D15" s="53"/>
      <c r="E15" s="53">
        <f t="shared" si="0"/>
        <v>0</v>
      </c>
      <c r="F15" s="53" t="s">
        <v>315</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317</v>
      </c>
      <c r="C18" s="53"/>
      <c r="D18" s="53"/>
      <c r="E18" s="53">
        <f t="shared" si="0"/>
        <v>0</v>
      </c>
      <c r="F18" s="53" t="s">
        <v>313</v>
      </c>
      <c r="G18" s="53"/>
      <c r="H18" s="53"/>
      <c r="I18" s="53">
        <f t="shared" si="1"/>
        <v>0</v>
      </c>
      <c r="J18" s="53"/>
      <c r="K18" s="53"/>
      <c r="L18" s="53">
        <f t="shared" si="2"/>
        <v>0</v>
      </c>
    </row>
    <row r="19" spans="2:12" x14ac:dyDescent="0.3">
      <c r="B19" s="53"/>
      <c r="C19" s="53"/>
      <c r="D19" s="53"/>
      <c r="E19" s="53">
        <f t="shared" si="0"/>
        <v>0</v>
      </c>
      <c r="F19" s="53" t="s">
        <v>315</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318</v>
      </c>
      <c r="C21" s="53"/>
      <c r="D21" s="53"/>
      <c r="E21" s="53">
        <f t="shared" si="0"/>
        <v>0</v>
      </c>
      <c r="F21" s="53" t="s">
        <v>313</v>
      </c>
      <c r="G21" s="53"/>
      <c r="H21" s="53"/>
      <c r="I21" s="53">
        <f t="shared" si="1"/>
        <v>0</v>
      </c>
      <c r="J21" s="53"/>
      <c r="K21" s="53"/>
      <c r="L21" s="53">
        <f t="shared" si="2"/>
        <v>0</v>
      </c>
    </row>
    <row r="22" spans="2:12" x14ac:dyDescent="0.3">
      <c r="B22" s="53"/>
      <c r="C22" s="53"/>
      <c r="D22" s="53"/>
      <c r="E22" s="53">
        <f t="shared" si="0"/>
        <v>0</v>
      </c>
      <c r="F22" s="53" t="s">
        <v>315</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319</v>
      </c>
      <c r="C24" s="53"/>
      <c r="D24" s="53"/>
      <c r="E24" s="53">
        <f t="shared" si="0"/>
        <v>0</v>
      </c>
      <c r="F24" s="53" t="s">
        <v>320</v>
      </c>
      <c r="G24" s="53"/>
      <c r="H24" s="53"/>
      <c r="I24" s="53">
        <f t="shared" si="1"/>
        <v>0</v>
      </c>
      <c r="J24" s="53"/>
      <c r="K24" s="53"/>
      <c r="L24" s="53">
        <f t="shared" si="2"/>
        <v>0</v>
      </c>
    </row>
    <row r="25" spans="2:12" x14ac:dyDescent="0.3">
      <c r="B25" s="53"/>
      <c r="C25" s="53"/>
      <c r="D25" s="53"/>
      <c r="E25" s="53">
        <f t="shared" ref="E25:E27" si="3">C25*D25</f>
        <v>0</v>
      </c>
      <c r="F25" s="53" t="s">
        <v>320</v>
      </c>
      <c r="G25" s="53"/>
      <c r="H25" s="53"/>
      <c r="I25" s="53">
        <f t="shared" ref="I25:I27" si="4">G25*H25</f>
        <v>0</v>
      </c>
      <c r="J25" s="53"/>
      <c r="K25" s="53"/>
      <c r="L25" s="53">
        <f t="shared" ref="L25:L27" si="5">J25*K25</f>
        <v>0</v>
      </c>
    </row>
    <row r="26" spans="2:12" x14ac:dyDescent="0.3">
      <c r="B26" s="53"/>
      <c r="C26" s="53"/>
      <c r="D26" s="53"/>
      <c r="E26" s="53">
        <f t="shared" si="3"/>
        <v>0</v>
      </c>
      <c r="F26" s="53" t="s">
        <v>320</v>
      </c>
      <c r="G26" s="53"/>
      <c r="H26" s="53"/>
      <c r="I26" s="53">
        <f t="shared" si="4"/>
        <v>0</v>
      </c>
      <c r="J26" s="53"/>
      <c r="K26" s="53"/>
      <c r="L26" s="53">
        <f t="shared" si="5"/>
        <v>0</v>
      </c>
    </row>
    <row r="27" spans="2:12" x14ac:dyDescent="0.3">
      <c r="B27" s="53"/>
      <c r="C27" s="53"/>
      <c r="D27" s="53"/>
      <c r="E27" s="53">
        <f t="shared" si="3"/>
        <v>0</v>
      </c>
      <c r="F27" s="53" t="s">
        <v>320</v>
      </c>
      <c r="G27" s="53"/>
      <c r="H27" s="53"/>
      <c r="I27" s="53">
        <f t="shared" si="4"/>
        <v>0</v>
      </c>
      <c r="J27" s="53"/>
      <c r="K27" s="53"/>
      <c r="L27" s="53">
        <f t="shared" si="5"/>
        <v>0</v>
      </c>
    </row>
    <row r="28" spans="2:12" x14ac:dyDescent="0.3">
      <c r="B28" s="53" t="s">
        <v>321</v>
      </c>
      <c r="C28" s="53"/>
      <c r="D28" s="53"/>
      <c r="E28" s="53">
        <f t="shared" si="0"/>
        <v>0</v>
      </c>
      <c r="F28" s="53" t="s">
        <v>320</v>
      </c>
      <c r="G28" s="53"/>
      <c r="H28" s="53"/>
      <c r="I28" s="53">
        <f t="shared" si="1"/>
        <v>0</v>
      </c>
      <c r="J28" s="53"/>
      <c r="K28" s="53"/>
      <c r="L28" s="53">
        <f t="shared" si="2"/>
        <v>0</v>
      </c>
    </row>
    <row r="29" spans="2:12" x14ac:dyDescent="0.3">
      <c r="B29" s="53" t="s">
        <v>322</v>
      </c>
      <c r="C29" s="53"/>
      <c r="D29" s="53"/>
      <c r="E29" s="53">
        <f t="shared" si="0"/>
        <v>0</v>
      </c>
      <c r="F29" s="53" t="s">
        <v>320</v>
      </c>
      <c r="G29" s="53"/>
      <c r="H29" s="53"/>
      <c r="I29" s="53">
        <f t="shared" si="1"/>
        <v>0</v>
      </c>
      <c r="J29" s="53"/>
      <c r="K29" s="53"/>
      <c r="L29" s="53">
        <f t="shared" si="2"/>
        <v>0</v>
      </c>
    </row>
    <row r="30" spans="2:12" x14ac:dyDescent="0.3">
      <c r="B30" s="53" t="s">
        <v>326</v>
      </c>
      <c r="C30" s="53"/>
      <c r="D30" s="53"/>
      <c r="E30" s="53">
        <f t="shared" si="0"/>
        <v>0</v>
      </c>
      <c r="F30" s="53"/>
      <c r="G30" s="53"/>
      <c r="H30" s="53"/>
      <c r="I30" s="53">
        <f t="shared" si="1"/>
        <v>0</v>
      </c>
      <c r="J30" s="53"/>
      <c r="K30" s="53"/>
      <c r="L30" s="53">
        <f t="shared" si="2"/>
        <v>0</v>
      </c>
    </row>
    <row r="31" spans="2:12" x14ac:dyDescent="0.3">
      <c r="B31" s="53"/>
      <c r="C31" s="53"/>
      <c r="D31" s="53"/>
      <c r="E31" s="53">
        <f t="shared" ref="E31:E32" si="6">C31*D31</f>
        <v>0</v>
      </c>
      <c r="F31" s="53"/>
      <c r="G31" s="53"/>
      <c r="H31" s="53"/>
      <c r="I31" s="53">
        <f t="shared" ref="I31:I32" si="7">G31*H31</f>
        <v>0</v>
      </c>
      <c r="J31" s="53"/>
      <c r="K31" s="53"/>
      <c r="L31" s="53">
        <f t="shared" ref="L31:L32" si="8">J31*K31</f>
        <v>0</v>
      </c>
    </row>
    <row r="32" spans="2:12" x14ac:dyDescent="0.3">
      <c r="B32" s="53"/>
      <c r="C32" s="53"/>
      <c r="D32" s="53"/>
      <c r="E32" s="53">
        <f t="shared" si="6"/>
        <v>0</v>
      </c>
      <c r="F32" s="53"/>
      <c r="G32" s="53"/>
      <c r="H32" s="53"/>
      <c r="I32" s="53">
        <f t="shared" si="7"/>
        <v>0</v>
      </c>
      <c r="J32" s="53"/>
      <c r="K32" s="53"/>
      <c r="L32" s="53">
        <f t="shared" si="8"/>
        <v>0</v>
      </c>
    </row>
    <row r="33" spans="2:12" x14ac:dyDescent="0.3">
      <c r="B33" s="53" t="s">
        <v>323</v>
      </c>
      <c r="C33" s="53"/>
      <c r="D33" s="53"/>
      <c r="E33" s="53">
        <f t="shared" si="0"/>
        <v>0</v>
      </c>
      <c r="F33" s="53"/>
      <c r="G33" s="53"/>
      <c r="H33" s="53"/>
      <c r="I33" s="53">
        <f t="shared" si="1"/>
        <v>0</v>
      </c>
      <c r="J33" s="53"/>
      <c r="K33" s="53"/>
      <c r="L33" s="53">
        <f t="shared" si="2"/>
        <v>0</v>
      </c>
    </row>
    <row r="34" spans="2:12" x14ac:dyDescent="0.3">
      <c r="B34" s="53" t="s">
        <v>327</v>
      </c>
      <c r="C34" s="53"/>
      <c r="D34" s="53"/>
      <c r="E34" s="53">
        <f t="shared" si="0"/>
        <v>0</v>
      </c>
      <c r="F34" s="53"/>
      <c r="G34" s="53"/>
      <c r="H34" s="53"/>
      <c r="I34" s="53">
        <f t="shared" si="1"/>
        <v>0</v>
      </c>
      <c r="J34" s="53"/>
      <c r="K34" s="53"/>
      <c r="L34" s="53">
        <f t="shared" si="2"/>
        <v>0</v>
      </c>
    </row>
    <row r="35" spans="2:12" x14ac:dyDescent="0.3">
      <c r="B35" s="53" t="s">
        <v>324</v>
      </c>
      <c r="C35" s="53"/>
      <c r="D35" s="53"/>
      <c r="E35" s="53">
        <f t="shared" si="0"/>
        <v>0</v>
      </c>
      <c r="F35" s="53"/>
      <c r="G35" s="53"/>
      <c r="H35" s="53"/>
      <c r="I35" s="53">
        <f t="shared" si="1"/>
        <v>0</v>
      </c>
      <c r="J35" s="53"/>
      <c r="K35" s="53"/>
      <c r="L35" s="53">
        <f t="shared" si="2"/>
        <v>0</v>
      </c>
    </row>
    <row r="36" spans="2:12" x14ac:dyDescent="0.3">
      <c r="B36" s="53" t="s">
        <v>325</v>
      </c>
      <c r="C36" s="53"/>
      <c r="D36" s="53"/>
      <c r="E36" s="53">
        <f t="shared" si="0"/>
        <v>0</v>
      </c>
      <c r="F36" s="53"/>
      <c r="G36" s="53"/>
      <c r="H36" s="53"/>
      <c r="I36" s="53">
        <f>G36*H36</f>
        <v>0</v>
      </c>
      <c r="J36" s="53"/>
      <c r="K36" s="53"/>
      <c r="L36" s="53">
        <f>J36*K36</f>
        <v>0</v>
      </c>
    </row>
    <row r="37" spans="2:12" x14ac:dyDescent="0.3">
      <c r="B37" s="53"/>
      <c r="C37" s="53"/>
      <c r="D37" s="53"/>
      <c r="E37" s="53">
        <f t="shared" ref="E37:E38" si="9">C37*D37</f>
        <v>0</v>
      </c>
      <c r="F37" s="53"/>
      <c r="G37" s="53"/>
      <c r="H37" s="53"/>
      <c r="I37" s="53">
        <f t="shared" ref="I37:I38" si="10">G37*H37</f>
        <v>0</v>
      </c>
      <c r="J37" s="53"/>
      <c r="K37" s="53"/>
      <c r="L37" s="53">
        <f t="shared" ref="L37:L38" si="11">J37*K37</f>
        <v>0</v>
      </c>
    </row>
    <row r="38" spans="2:12" x14ac:dyDescent="0.3">
      <c r="B38" s="53" t="s">
        <v>328</v>
      </c>
      <c r="C38" s="53"/>
      <c r="D38" s="53"/>
      <c r="E38" s="53">
        <f t="shared" si="9"/>
        <v>0</v>
      </c>
      <c r="F38" s="53"/>
      <c r="G38" s="53"/>
      <c r="H38" s="53"/>
      <c r="I38" s="53">
        <f t="shared" si="10"/>
        <v>0</v>
      </c>
      <c r="J38" s="53"/>
      <c r="K38" s="53"/>
      <c r="L38" s="53">
        <f t="shared" si="11"/>
        <v>0</v>
      </c>
    </row>
    <row r="39" spans="2:12" x14ac:dyDescent="0.3">
      <c r="B39" s="53"/>
      <c r="C39" s="53"/>
      <c r="D39" s="53"/>
      <c r="E39" s="53">
        <f t="shared" si="0"/>
        <v>0</v>
      </c>
      <c r="F39" s="53"/>
      <c r="G39" s="53"/>
      <c r="H39" s="53"/>
      <c r="I39" s="53">
        <f>G39*H39</f>
        <v>0</v>
      </c>
      <c r="J39" s="53"/>
      <c r="K39" s="53"/>
      <c r="L39" s="53">
        <f>J39*K39</f>
        <v>0</v>
      </c>
    </row>
    <row r="40" spans="2:12" x14ac:dyDescent="0.3">
      <c r="B40" s="53"/>
      <c r="C40" s="53"/>
      <c r="D40" s="53"/>
      <c r="E40" s="53">
        <f t="shared" si="0"/>
        <v>0</v>
      </c>
      <c r="F40" s="53"/>
      <c r="G40" s="53"/>
      <c r="H40" s="53"/>
      <c r="I40" s="53">
        <f>G40*H40</f>
        <v>0</v>
      </c>
      <c r="J40" s="53"/>
      <c r="K40" s="53"/>
      <c r="L40" s="53">
        <f>J40*K40</f>
        <v>0</v>
      </c>
    </row>
    <row r="41" spans="2:12" x14ac:dyDescent="0.3">
      <c r="B41" s="53"/>
      <c r="C41" s="53"/>
      <c r="D41" s="53"/>
      <c r="E41" s="53">
        <f t="shared" si="0"/>
        <v>0</v>
      </c>
      <c r="F41" s="53"/>
      <c r="G41" s="53"/>
      <c r="H41" s="53"/>
      <c r="I41" s="53">
        <f>G41*H41</f>
        <v>0</v>
      </c>
      <c r="J41" s="53"/>
      <c r="K41" s="53"/>
      <c r="L41" s="53">
        <f>J41*K41</f>
        <v>0</v>
      </c>
    </row>
    <row r="42" spans="2:12" x14ac:dyDescent="0.3">
      <c r="B42" s="53" t="s">
        <v>149</v>
      </c>
      <c r="C42" s="53"/>
      <c r="D42" s="53">
        <f>E42*10.764</f>
        <v>0</v>
      </c>
      <c r="E42" s="67">
        <f>SUM(E6:E41)</f>
        <v>0</v>
      </c>
      <c r="F42" s="53"/>
      <c r="G42" s="53"/>
      <c r="H42" s="53">
        <f>I42*10.764</f>
        <v>0</v>
      </c>
      <c r="I42" s="66">
        <f>SUM(I6:I41)</f>
        <v>0</v>
      </c>
      <c r="J42" s="53"/>
      <c r="K42" s="53">
        <f>L42*10.764</f>
        <v>0</v>
      </c>
      <c r="L42" s="65">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2025-08-20T07:56:29Z</cp:lastPrinted>
  <dcterms:created xsi:type="dcterms:W3CDTF">2019-07-16T09:29:46Z</dcterms:created>
  <dcterms:modified xsi:type="dcterms:W3CDTF">2025-08-20T07:57:14Z</dcterms:modified>
</cp:coreProperties>
</file>