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446F425A-3412-4617-B9F3-1570EF803DA1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1" i="1" l="1"/>
  <c r="D198" i="1" l="1"/>
  <c r="D197" i="1"/>
  <c r="D195" i="1"/>
  <c r="D194" i="1"/>
  <c r="J194" i="1"/>
  <c r="D183" i="1"/>
  <c r="D182" i="1"/>
  <c r="D181" i="1"/>
  <c r="D180" i="1"/>
  <c r="J167" i="1"/>
  <c r="D168" i="1"/>
  <c r="D167" i="1"/>
  <c r="I166" i="1"/>
  <c r="I159" i="1" l="1"/>
  <c r="D159" i="1" l="1"/>
  <c r="C141" i="1" s="1"/>
  <c r="C142" i="1" s="1"/>
  <c r="F198" i="1"/>
  <c r="F197" i="1"/>
  <c r="D196" i="1"/>
  <c r="F196" i="1" s="1"/>
  <c r="F195" i="1"/>
  <c r="F194" i="1"/>
  <c r="D190" i="1"/>
  <c r="F190" i="1" s="1"/>
  <c r="D189" i="1"/>
  <c r="F189" i="1" s="1"/>
  <c r="D188" i="1"/>
  <c r="F188" i="1" s="1"/>
  <c r="D187" i="1"/>
  <c r="F187" i="1" s="1"/>
  <c r="F182" i="1"/>
  <c r="F181" i="1"/>
  <c r="F180" i="1"/>
  <c r="D176" i="1"/>
  <c r="D175" i="1"/>
  <c r="C146" i="1" s="1"/>
  <c r="D171" i="1"/>
  <c r="F171" i="1" s="1"/>
  <c r="D170" i="1"/>
  <c r="F170" i="1" s="1"/>
  <c r="K170" i="1" s="1"/>
  <c r="D169" i="1"/>
  <c r="D166" i="1"/>
  <c r="I167" i="1"/>
  <c r="A195" i="1"/>
  <c r="A196" i="1" s="1"/>
  <c r="A197" i="1" s="1"/>
  <c r="A198" i="1" s="1"/>
  <c r="G194" i="1"/>
  <c r="A188" i="1"/>
  <c r="A189" i="1" s="1"/>
  <c r="A190" i="1" s="1"/>
  <c r="G187" i="1"/>
  <c r="F183" i="1"/>
  <c r="A181" i="1"/>
  <c r="A182" i="1" s="1"/>
  <c r="A183" i="1" s="1"/>
  <c r="G180" i="1"/>
  <c r="I170" i="1"/>
  <c r="E146" i="1" l="1"/>
  <c r="G147" i="1"/>
  <c r="E145" i="1"/>
  <c r="C145" i="1"/>
  <c r="G148" i="1"/>
  <c r="G149" i="1"/>
  <c r="E148" i="1"/>
  <c r="C147" i="1"/>
  <c r="C149" i="1"/>
  <c r="E141" i="1"/>
  <c r="E142" i="1" s="1"/>
  <c r="E147" i="1"/>
  <c r="E149" i="1"/>
  <c r="C148" i="1"/>
  <c r="D63" i="1"/>
  <c r="E30" i="1"/>
  <c r="B201" i="1"/>
  <c r="C69" i="1"/>
  <c r="B70" i="1" s="1"/>
  <c r="E25" i="1"/>
  <c r="C150" i="1" l="1"/>
  <c r="E150" i="1"/>
  <c r="E27" i="1"/>
  <c r="C15" i="1"/>
  <c r="E151" i="1" l="1"/>
  <c r="C151" i="1"/>
  <c r="E43" i="1" l="1"/>
  <c r="E44" i="1" s="1"/>
  <c r="F167" i="1" l="1"/>
  <c r="K167" i="1" s="1"/>
  <c r="F168" i="1"/>
  <c r="K168" i="1" s="1"/>
  <c r="F169" i="1"/>
  <c r="F166" i="1"/>
  <c r="K166" i="1" s="1"/>
  <c r="A167" i="1"/>
  <c r="A168" i="1" s="1"/>
  <c r="A169" i="1" s="1"/>
  <c r="A170" i="1" s="1"/>
  <c r="A171" i="1" s="1"/>
  <c r="G166" i="1"/>
  <c r="G145" i="1" l="1"/>
  <c r="F138" i="1"/>
  <c r="F159" i="1" l="1"/>
  <c r="G141" i="1" s="1"/>
  <c r="G142" i="1" s="1"/>
  <c r="F176" i="1" l="1"/>
  <c r="F175" i="1"/>
  <c r="G146" i="1" l="1"/>
  <c r="G150" i="1" s="1"/>
  <c r="G151" i="1" s="1"/>
  <c r="B20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2" i="1"/>
  <c r="G175" i="1"/>
  <c r="A176" i="1"/>
  <c r="G159" i="1"/>
  <c r="C97" i="1"/>
  <c r="B98" i="1" s="1"/>
  <c r="B84" i="1"/>
  <c r="D55" i="1"/>
  <c r="G50" i="1"/>
  <c r="G51" i="1" s="1"/>
  <c r="C50" i="1"/>
  <c r="C51" i="1" s="1"/>
  <c r="E7" i="1"/>
  <c r="E3" i="1"/>
  <c r="H70" i="1"/>
  <c r="D82" i="1" l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H98" i="1"/>
  <c r="H84" i="1"/>
  <c r="D91" i="1" l="1"/>
  <c r="J88" i="1"/>
  <c r="C87" i="1" s="1"/>
  <c r="D87" i="1" s="1"/>
  <c r="D95" i="1"/>
  <c r="D92" i="1"/>
  <c r="D90" i="1"/>
  <c r="J89" i="1"/>
  <c r="J90" i="1" s="1"/>
  <c r="J95" i="1" s="1"/>
  <c r="D93" i="1"/>
  <c r="D96" i="1"/>
  <c r="J83" i="1"/>
  <c r="J85" i="1" s="1"/>
  <c r="J87" i="1"/>
  <c r="D94" i="1"/>
  <c r="J86" i="1"/>
  <c r="J101" i="1"/>
  <c r="D109" i="1"/>
  <c r="D110" i="1"/>
  <c r="D108" i="1"/>
  <c r="D105" i="1"/>
  <c r="J102" i="1"/>
  <c r="C101" i="1" s="1"/>
  <c r="D101" i="1" s="1"/>
  <c r="J103" i="1"/>
  <c r="J104" i="1" s="1"/>
  <c r="J109" i="1" s="1"/>
  <c r="D107" i="1"/>
  <c r="J100" i="1"/>
  <c r="J97" i="1"/>
  <c r="J99" i="1" s="1"/>
  <c r="D106" i="1"/>
  <c r="D104" i="1"/>
  <c r="J81" i="1"/>
  <c r="J105" i="1"/>
  <c r="J106" i="1" s="1"/>
  <c r="J107" i="1" s="1"/>
  <c r="J108" i="1" s="1"/>
  <c r="J91" i="1"/>
  <c r="J92" i="1" s="1"/>
  <c r="J93" i="1" s="1"/>
  <c r="J94" i="1" s="1"/>
  <c r="J77" i="1"/>
  <c r="J78" i="1" s="1"/>
  <c r="J79" i="1" s="1"/>
  <c r="J80" i="1" s="1"/>
  <c r="D103" i="1"/>
  <c r="D89" i="1"/>
  <c r="D75" i="1"/>
  <c r="J71" i="1"/>
  <c r="D73" i="1"/>
  <c r="J110" i="1" l="1"/>
  <c r="C102" i="1" s="1"/>
  <c r="E101" i="1" s="1"/>
  <c r="B112" i="1"/>
  <c r="J82" i="1"/>
  <c r="J96" i="1"/>
  <c r="H112" i="1"/>
  <c r="J98" i="1" l="1"/>
  <c r="D102" i="1"/>
  <c r="I98" i="1" s="1"/>
  <c r="I99" i="1" s="1"/>
  <c r="G101" i="1"/>
  <c r="J116" i="1"/>
  <c r="C115" i="1" s="1"/>
  <c r="D115" i="1" s="1"/>
  <c r="J114" i="1"/>
  <c r="J111" i="1"/>
  <c r="J113" i="1" s="1"/>
  <c r="D119" i="1"/>
  <c r="J115" i="1"/>
  <c r="D118" i="1"/>
  <c r="D121" i="1"/>
  <c r="D124" i="1"/>
  <c r="D120" i="1"/>
  <c r="D122" i="1"/>
  <c r="D123" i="1"/>
  <c r="D117" i="1"/>
  <c r="J120" i="1"/>
  <c r="J117" i="1"/>
  <c r="J118" i="1" s="1"/>
  <c r="J123" i="1" s="1"/>
  <c r="J124" i="1" s="1"/>
  <c r="C116" i="1" s="1"/>
  <c r="J119" i="1"/>
  <c r="J121" i="1"/>
  <c r="J122" i="1"/>
  <c r="C88" i="1"/>
  <c r="J84" i="1" s="1"/>
  <c r="C74" i="1"/>
  <c r="G73" i="1" s="1"/>
  <c r="D67" i="1" s="1"/>
  <c r="D68" i="1" s="1"/>
  <c r="I97" i="1" l="1"/>
  <c r="C99" i="1" s="1"/>
  <c r="E115" i="1"/>
  <c r="D116" i="1"/>
  <c r="I112" i="1" s="1"/>
  <c r="I113" i="1" s="1"/>
  <c r="E87" i="1"/>
  <c r="E73" i="1"/>
  <c r="D74" i="1"/>
  <c r="I70" i="1" s="1"/>
  <c r="I71" i="1" s="1"/>
  <c r="D88" i="1"/>
  <c r="I84" i="1" s="1"/>
  <c r="I85" i="1" s="1"/>
  <c r="G87" i="1"/>
  <c r="J70" i="1"/>
  <c r="J112" i="1"/>
  <c r="G115" i="1"/>
  <c r="F68" i="1"/>
  <c r="I111" i="1" l="1"/>
  <c r="C113" i="1" s="1"/>
  <c r="I69" i="1"/>
  <c r="C71" i="1" s="1"/>
  <c r="I83" i="1"/>
  <c r="C85" i="1" s="1"/>
</calcChain>
</file>

<file path=xl/sharedStrings.xml><?xml version="1.0" encoding="utf-8"?>
<sst xmlns="http://schemas.openxmlformats.org/spreadsheetml/2006/main" count="425" uniqueCount="237">
  <si>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</si>
  <si>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</si>
  <si>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</si>
  <si>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</si>
  <si>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</si>
  <si>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</si>
  <si>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</si>
  <si>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</si>
  <si>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</si>
  <si>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</si>
  <si>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</si>
  <si>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</si>
  <si>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</si>
  <si>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</si>
  <si>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</si>
  <si>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</si>
  <si>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</si>
  <si>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</si>
  <si>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</si>
  <si>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</si>
  <si>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</si>
  <si>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</si>
  <si>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</si>
  <si>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</si>
  <si>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</si>
  <si>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</si>
  <si>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</si>
  <si>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</si>
  <si>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</si>
  <si>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</si>
  <si>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</si>
  <si>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</si>
  <si>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</si>
  <si>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</si>
  <si>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</si>
  <si>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</si>
  <si>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</si>
  <si>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</si>
  <si>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</si>
  <si>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</si>
  <si>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</si>
  <si>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</si>
  <si>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</si>
  <si>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</si>
  <si>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</si>
  <si>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</si>
  <si>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</si>
  <si>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</si>
  <si>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</si>
  <si>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</si>
  <si>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</si>
  <si>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</si>
  <si>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</si>
  <si>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</si>
  <si>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</si>
  <si>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</si>
  <si>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</si>
  <si>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</si>
  <si>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</si>
  <si>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</si>
  <si>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</si>
  <si>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</si>
  <si>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</si>
  <si>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</si>
  <si>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</si>
  <si>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</si>
  <si>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</si>
  <si>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</si>
  <si>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</si>
  <si>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</si>
  <si>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</si>
  <si>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</si>
  <si>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</si>
  <si>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</si>
  <si>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</si>
  <si>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</si>
  <si>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</si>
  <si>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</si>
  <si>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</si>
  <si>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</si>
  <si>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</si>
  <si>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</si>
  <si>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</si>
  <si>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</si>
  <si>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</si>
  <si>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</si>
  <si>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</si>
  <si>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</si>
  <si>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</si>
  <si>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</si>
  <si>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</si>
  <si>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</si>
  <si>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</si>
  <si>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</si>
  <si>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</si>
  <si>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</si>
  <si>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</si>
  <si>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</si>
  <si>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</si>
  <si>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</si>
  <si>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</si>
  <si>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</si>
  <si>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</si>
  <si>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</si>
  <si>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</si>
  <si>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</si>
  <si>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</si>
  <si>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</si>
  <si>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</si>
  <si>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</si>
  <si>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</si>
  <si>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</si>
  <si>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</si>
  <si>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</si>
  <si>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</si>
  <si>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</si>
  <si>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</si>
  <si>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</si>
  <si>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</si>
  <si>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</si>
  <si>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</si>
  <si>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</si>
  <si>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</si>
  <si>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</si>
  <si>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</si>
  <si>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</si>
  <si>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</si>
  <si>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</si>
  <si>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</si>
  <si>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</si>
  <si>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</si>
  <si>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</si>
  <si>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</si>
  <si>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</si>
  <si>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</si>
  <si>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</si>
  <si>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</si>
  <si>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</si>
  <si>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</si>
  <si>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</si>
  <si>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</si>
  <si>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</si>
  <si>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</si>
  <si>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</si>
  <si>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</si>
  <si>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</si>
  <si>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</si>
  <si>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</si>
  <si>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</si>
  <si>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</si>
  <si>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</si>
  <si>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</si>
  <si>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</si>
  <si>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</si>
  <si>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</si>
  <si>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</si>
  <si>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</si>
  <si>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</si>
  <si>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</si>
  <si>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</si>
  <si>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</si>
  <si>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</si>
  <si>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</si>
  <si>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</si>
  <si>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</si>
  <si>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</si>
  <si>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</si>
  <si>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</si>
  <si>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</si>
  <si>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</si>
  <si>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</si>
  <si>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</si>
  <si>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</si>
  <si>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</si>
  <si>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</si>
  <si>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Sanskruti Rose</t>
  </si>
  <si>
    <t>Sanskruti Builder And Developer</t>
  </si>
  <si>
    <t>P99000049176</t>
  </si>
  <si>
    <t>Survey No</t>
  </si>
  <si>
    <t>Palghar</t>
  </si>
  <si>
    <t>Vasai</t>
  </si>
  <si>
    <t>Achole</t>
  </si>
  <si>
    <t>https://goo.gl/maps/a4XxEwgNbp9MKcMD9?coh=178572&amp;entry=tt</t>
  </si>
  <si>
    <t>Name / No of the Existing Building</t>
  </si>
  <si>
    <t>Nad Brahma Asavari CHSL</t>
  </si>
  <si>
    <t>76, H.No.6, Plot No.4, Redevlopement of "Nad Brahma Asavari CHSL"</t>
  </si>
  <si>
    <t>19.409932, 72.822689</t>
  </si>
  <si>
    <t>Internal Road</t>
  </si>
  <si>
    <t>1.2 KM from Nalla Sopara Railway Station</t>
  </si>
  <si>
    <t>Nalla Sopara (East)</t>
  </si>
  <si>
    <t>Nadbrahma Madhuvanti CHS</t>
  </si>
  <si>
    <t>Shiv Darshan Apartment</t>
  </si>
  <si>
    <t>Shiv Krupa Apartment</t>
  </si>
  <si>
    <t>Bhumi Plaza</t>
  </si>
  <si>
    <t>Vasai Virar City Municipal Corporation (VVCMC)</t>
  </si>
  <si>
    <t>VVCMC/TP/CC/VP/6600/112/2022-23</t>
  </si>
  <si>
    <t>As per RERA - 31/12/2025</t>
  </si>
  <si>
    <t>Building No.1 (Wing A to E)</t>
  </si>
  <si>
    <t>05 Wings</t>
  </si>
  <si>
    <t>Building No.1</t>
  </si>
  <si>
    <t>Ground Floor For Entrance Lobby, Meter Room, Society Office, Commercial &amp; Parking</t>
  </si>
  <si>
    <t>Wing A</t>
  </si>
  <si>
    <t>Shop</t>
  </si>
  <si>
    <t>1st to 7th Floor For Residential</t>
  </si>
  <si>
    <t>1BHK</t>
  </si>
  <si>
    <t>2BHK</t>
  </si>
  <si>
    <t>Wing B</t>
  </si>
  <si>
    <t>Ground Floor For Entrance Lobby, Meter Room &amp; Parking</t>
  </si>
  <si>
    <t>Wing C</t>
  </si>
  <si>
    <t>Wing D</t>
  </si>
  <si>
    <t>Wing E</t>
  </si>
  <si>
    <t>We considered Gross carpet area = Net carpet + Enclose balcony + Chajja Area.</t>
  </si>
  <si>
    <t>Building No.1 (A to E Wing) =  G + 1st to 7th Floor</t>
  </si>
  <si>
    <t>Navnath Bhatkar</t>
  </si>
  <si>
    <t>Commercial Area Details : Building No.1</t>
  </si>
  <si>
    <t>Residential Area Details : Building No.1</t>
  </si>
  <si>
    <t>Flats</t>
  </si>
  <si>
    <t>Flats - 147, Shops - 01</t>
  </si>
  <si>
    <t>Approved Plans, CC, Sale Plans</t>
  </si>
  <si>
    <t>Landscaping &amp; Tree, Fire Fighting System, Footpaths/Pedest etc.</t>
  </si>
  <si>
    <t>Building No.1 (A Wing) = G + 1st to 7th Floor</t>
  </si>
  <si>
    <t>Building No.1 (B Wing) = G + 1st to 7th Floor</t>
  </si>
  <si>
    <t>Nad Brahma Road</t>
  </si>
  <si>
    <t>Shiv Chaya Chawl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</si>
  <si>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</si>
  <si>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Building No.1 (C Wing) = G + 1st to 7th Floor</t>
  </si>
  <si>
    <t>Building No.1 (D &amp; E Wing) = G + 1st to 7th Floor</t>
  </si>
  <si>
    <t>5000 to 5150 &amp; Other charges</t>
  </si>
  <si>
    <t>Trupti</t>
  </si>
  <si>
    <t xml:space="preserve">Cost sheet </t>
  </si>
  <si>
    <t>5000 to 5500</t>
  </si>
  <si>
    <t xml:space="preserve">Recommended Rates / Other charges of the Property have been revised on 20/03/2024.
</t>
  </si>
  <si>
    <t>Mr. Dinesh : 7420029890</t>
  </si>
  <si>
    <t>Building No.1 (B &amp; C Wing) = G + 1st to 7th Floor</t>
  </si>
  <si>
    <t>Mr. Adarsh 7420029890</t>
  </si>
  <si>
    <t>Pranita Mhatre</t>
  </si>
  <si>
    <t xml:space="preserve">Wing A, B &amp; C = Construction work is in process at the time of Visit (Slow Speed).
Wing D &amp; E = Construction stage is same as last visit dtd. 23/05/2025 but work is in process at the time of visit. (Slow Speed) Labour found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</si>
</sst>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0" fontId="7" fillId="3" borderId="0" xfId="1" applyFont="1" applyFill="1"/>
    <xf numFmtId="14" fontId="7" fillId="3" borderId="0" xfId="1" applyNumberFormat="1" applyFont="1" applyFill="1"/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5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" Type="http://schemas.openxmlformats.org/officeDocument/2006/relationships/image" Target="../media/image3.png"/><Relationship Id="rId21" Type="http://schemas.openxmlformats.org/officeDocument/2006/relationships/image" Target="../media/image19.jpeg"/><Relationship Id="rId7" Type="http://schemas.openxmlformats.org/officeDocument/2006/relationships/image" Target="../media/image6.png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0" Type="http://schemas.openxmlformats.org/officeDocument/2006/relationships/image" Target="../media/image18.jpeg"/><Relationship Id="rId29" Type="http://schemas.openxmlformats.org/officeDocument/2006/relationships/image" Target="../media/image27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9.jpeg"/><Relationship Id="rId24" Type="http://schemas.openxmlformats.org/officeDocument/2006/relationships/image" Target="../media/image22.jpeg"/><Relationship Id="rId32" Type="http://schemas.openxmlformats.org/officeDocument/2006/relationships/image" Target="../media/image30.jpeg"/><Relationship Id="rId5" Type="http://schemas.openxmlformats.org/officeDocument/2006/relationships/image" Target="../media/image5.png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31" Type="http://schemas.openxmlformats.org/officeDocument/2006/relationships/image" Target="../media/image29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268434</xdr:colOff>
      <xdr:row>13</xdr:row>
      <xdr:rowOff>8660</xdr:rowOff>
    </xdr:from>
    <xdr:to>
      <xdr:col>13</xdr:col>
      <xdr:colOff>128222</xdr:colOff>
      <xdr:row>14</xdr:row>
      <xdr:rowOff>349501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8729" y="3004705"/>
          <a:ext cx="3972857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313726</xdr:colOff>
      <xdr:row>14</xdr:row>
      <xdr:rowOff>614127</xdr:rowOff>
    </xdr:from>
    <xdr:to>
      <xdr:col>15</xdr:col>
      <xdr:colOff>416921</xdr:colOff>
      <xdr:row>19</xdr:row>
      <xdr:rowOff>14416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9341" y="3801339"/>
          <a:ext cx="5722945" cy="814385"/>
        </a:xfrm>
        <a:prstGeom prst="rect">
          <a:avLst/>
        </a:prstGeom>
      </xdr:spPr>
    </xdr:pic>
    <xdr:clientData/>
  </xdr:twoCellAnchor>
  <xdr:twoCellAnchor editAs="oneCell">
    <xdr:from>
      <xdr:col>1</xdr:col>
      <xdr:colOff>69273</xdr:colOff>
      <xdr:row>307</xdr:row>
      <xdr:rowOff>8660</xdr:rowOff>
    </xdr:from>
    <xdr:to>
      <xdr:col>6</xdr:col>
      <xdr:colOff>702155</xdr:colOff>
      <xdr:row>323</xdr:row>
      <xdr:rowOff>62115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1273" y="62345455"/>
          <a:ext cx="4780587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86526</xdr:colOff>
      <xdr:row>324</xdr:row>
      <xdr:rowOff>64895</xdr:rowOff>
    </xdr:from>
    <xdr:to>
      <xdr:col>6</xdr:col>
      <xdr:colOff>726998</xdr:colOff>
      <xdr:row>340</xdr:row>
      <xdr:rowOff>118348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8526" y="65787395"/>
          <a:ext cx="4788177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556556</xdr:colOff>
      <xdr:row>331</xdr:row>
      <xdr:rowOff>193328</xdr:rowOff>
    </xdr:from>
    <xdr:to>
      <xdr:col>4</xdr:col>
      <xdr:colOff>573874</xdr:colOff>
      <xdr:row>333</xdr:row>
      <xdr:rowOff>51652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8463281">
          <a:off x="3316042" y="66957683"/>
          <a:ext cx="256642" cy="961159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2</xdr:col>
      <xdr:colOff>379425</xdr:colOff>
      <xdr:row>280</xdr:row>
      <xdr:rowOff>139416</xdr:rowOff>
    </xdr:from>
    <xdr:to>
      <xdr:col>5</xdr:col>
      <xdr:colOff>440402</xdr:colOff>
      <xdr:row>295</xdr:row>
      <xdr:rowOff>32029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38061" y="56726575"/>
          <a:ext cx="2632727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138545</xdr:colOff>
      <xdr:row>265</xdr:row>
      <xdr:rowOff>8659</xdr:rowOff>
    </xdr:from>
    <xdr:to>
      <xdr:col>5</xdr:col>
      <xdr:colOff>681284</xdr:colOff>
      <xdr:row>279</xdr:row>
      <xdr:rowOff>100432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-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97181" y="53608432"/>
          <a:ext cx="3114489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450273</xdr:colOff>
      <xdr:row>285</xdr:row>
      <xdr:rowOff>164522</xdr:rowOff>
    </xdr:from>
    <xdr:to>
      <xdr:col>3</xdr:col>
      <xdr:colOff>597478</xdr:colOff>
      <xdr:row>286</xdr:row>
      <xdr:rowOff>77931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857500" y="57747477"/>
          <a:ext cx="147205" cy="11256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569855</xdr:colOff>
      <xdr:row>267</xdr:row>
      <xdr:rowOff>54889</xdr:rowOff>
    </xdr:from>
    <xdr:to>
      <xdr:col>3</xdr:col>
      <xdr:colOff>370276</xdr:colOff>
      <xdr:row>270</xdr:row>
      <xdr:rowOff>117035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1763863">
          <a:off x="2128491" y="54052980"/>
          <a:ext cx="649012" cy="65962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255878</xdr:colOff>
      <xdr:row>270</xdr:row>
      <xdr:rowOff>97199</xdr:rowOff>
    </xdr:from>
    <xdr:to>
      <xdr:col>3</xdr:col>
      <xdr:colOff>904890</xdr:colOff>
      <xdr:row>272</xdr:row>
      <xdr:rowOff>106483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rot="1763863">
          <a:off x="2663105" y="54692767"/>
          <a:ext cx="649012" cy="40760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877364</xdr:colOff>
      <xdr:row>271</xdr:row>
      <xdr:rowOff>165778</xdr:rowOff>
    </xdr:from>
    <xdr:to>
      <xdr:col>4</xdr:col>
      <xdr:colOff>270120</xdr:colOff>
      <xdr:row>273</xdr:row>
      <xdr:rowOff>175062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1763863">
          <a:off x="3284591" y="54960505"/>
          <a:ext cx="336597" cy="40760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234116</xdr:colOff>
      <xdr:row>273</xdr:row>
      <xdr:rowOff>24926</xdr:rowOff>
    </xdr:from>
    <xdr:to>
      <xdr:col>4</xdr:col>
      <xdr:colOff>565328</xdr:colOff>
      <xdr:row>275</xdr:row>
      <xdr:rowOff>33717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2035609">
          <a:off x="3585184" y="55217971"/>
          <a:ext cx="331212" cy="40711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486835</xdr:colOff>
      <xdr:row>275</xdr:row>
      <xdr:rowOff>11980</xdr:rowOff>
    </xdr:from>
    <xdr:to>
      <xdr:col>5</xdr:col>
      <xdr:colOff>422979</xdr:colOff>
      <xdr:row>277</xdr:row>
      <xdr:rowOff>20772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rot="2035609">
          <a:off x="3837903" y="55603344"/>
          <a:ext cx="715462" cy="40711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372343</xdr:colOff>
      <xdr:row>270</xdr:row>
      <xdr:rowOff>43295</xdr:rowOff>
    </xdr:from>
    <xdr:to>
      <xdr:col>3</xdr:col>
      <xdr:colOff>138548</xdr:colOff>
      <xdr:row>271</xdr:row>
      <xdr:rowOff>121227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 rot="1636342">
          <a:off x="1930979" y="54638863"/>
          <a:ext cx="614796" cy="2770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ysClr val="windowText" lastClr="000000"/>
              </a:solidFill>
            </a:rPr>
            <a:t>Wing A</a:t>
          </a:r>
        </a:p>
      </xdr:txBody>
    </xdr:sp>
    <xdr:clientData/>
  </xdr:twoCellAnchor>
  <xdr:twoCellAnchor>
    <xdr:from>
      <xdr:col>3</xdr:col>
      <xdr:colOff>103909</xdr:colOff>
      <xdr:row>272</xdr:row>
      <xdr:rowOff>25977</xdr:rowOff>
    </xdr:from>
    <xdr:to>
      <xdr:col>3</xdr:col>
      <xdr:colOff>718705</xdr:colOff>
      <xdr:row>273</xdr:row>
      <xdr:rowOff>103909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rot="1636342">
          <a:off x="2511136" y="55019863"/>
          <a:ext cx="614796" cy="2770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ysClr val="windowText" lastClr="000000"/>
              </a:solidFill>
            </a:rPr>
            <a:t>Wing B</a:t>
          </a:r>
        </a:p>
      </xdr:txBody>
    </xdr:sp>
    <xdr:clientData/>
  </xdr:twoCellAnchor>
  <xdr:twoCellAnchor>
    <xdr:from>
      <xdr:col>3</xdr:col>
      <xdr:colOff>554182</xdr:colOff>
      <xdr:row>273</xdr:row>
      <xdr:rowOff>95250</xdr:rowOff>
    </xdr:from>
    <xdr:to>
      <xdr:col>4</xdr:col>
      <xdr:colOff>225137</xdr:colOff>
      <xdr:row>274</xdr:row>
      <xdr:rowOff>173181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1636342">
          <a:off x="2961409" y="55288295"/>
          <a:ext cx="614796" cy="2770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ysClr val="windowText" lastClr="000000"/>
              </a:solidFill>
            </a:rPr>
            <a:t>Wing C</a:t>
          </a:r>
        </a:p>
      </xdr:txBody>
    </xdr:sp>
    <xdr:clientData/>
  </xdr:twoCellAnchor>
  <xdr:twoCellAnchor>
    <xdr:from>
      <xdr:col>3</xdr:col>
      <xdr:colOff>848590</xdr:colOff>
      <xdr:row>274</xdr:row>
      <xdr:rowOff>199158</xdr:rowOff>
    </xdr:from>
    <xdr:to>
      <xdr:col>4</xdr:col>
      <xdr:colOff>519545</xdr:colOff>
      <xdr:row>276</xdr:row>
      <xdr:rowOff>77931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rot="1636342">
          <a:off x="3255817" y="55591363"/>
          <a:ext cx="614796" cy="2770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ysClr val="windowText" lastClr="000000"/>
              </a:solidFill>
            </a:rPr>
            <a:t>Wing D</a:t>
          </a:r>
        </a:p>
      </xdr:txBody>
    </xdr:sp>
    <xdr:clientData/>
  </xdr:twoCellAnchor>
  <xdr:twoCellAnchor>
    <xdr:from>
      <xdr:col>4</xdr:col>
      <xdr:colOff>329044</xdr:colOff>
      <xdr:row>276</xdr:row>
      <xdr:rowOff>103909</xdr:rowOff>
    </xdr:from>
    <xdr:to>
      <xdr:col>5</xdr:col>
      <xdr:colOff>164522</xdr:colOff>
      <xdr:row>277</xdr:row>
      <xdr:rowOff>181841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1636342">
          <a:off x="3680112" y="55894432"/>
          <a:ext cx="614796" cy="2770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ysClr val="windowText" lastClr="000000"/>
              </a:solidFill>
            </a:rPr>
            <a:t>Wing E</a:t>
          </a:r>
        </a:p>
      </xdr:txBody>
    </xdr:sp>
    <xdr:clientData/>
  </xdr:twoCellAnchor>
  <xdr:twoCellAnchor>
    <xdr:from>
      <xdr:col>8</xdr:col>
      <xdr:colOff>158115</xdr:colOff>
      <xdr:row>223</xdr:row>
      <xdr:rowOff>158115</xdr:rowOff>
    </xdr:from>
    <xdr:to>
      <xdr:col>15</xdr:col>
      <xdr:colOff>676274</xdr:colOff>
      <xdr:row>262</xdr:row>
      <xdr:rowOff>180172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6856095" y="43355895"/>
          <a:ext cx="6301739" cy="7977337"/>
          <a:chOff x="200025" y="43138725"/>
          <a:chExt cx="6153149" cy="8451682"/>
        </a:xfrm>
      </xdr:grpSpPr>
      <xdr:grpSp>
        <xdr:nvGrpSpPr>
          <xdr:cNvPr id="63" name="Group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GrpSpPr/>
        </xdr:nvGrpSpPr>
        <xdr:grpSpPr>
          <a:xfrm>
            <a:off x="200025" y="43138725"/>
            <a:ext cx="6153149" cy="8451682"/>
            <a:chOff x="151765" y="1085896"/>
            <a:chExt cx="6799625" cy="8352899"/>
          </a:xfrm>
        </xdr:grpSpPr>
        <xdr:pic>
          <xdr:nvPicPr>
            <xdr:cNvPr id="64" name="Picture 63" descr="https://vsjcllp.vsjadon.com/upload/insp-235337-843.jpg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86427" y="1085896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9" name="Picture 68" descr="https://vsjcllp.vsjadon.com/upload/insp-235337-847.jpg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01804" y="1088302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0" name="Picture 69" descr="https://vsjcllp.vsjadon.com/upload/insp-235337-851.jpg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652402" y="3379779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" name="Picture 70" descr="https://vsjcllp.vsjadon.com/upload/insp-235337-861.jpg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1849" y="3379779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2" name="Picture 71" descr="https://vsjcllp.vsjadon.com/upload/insp-235337-860.jpg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24805" y="5671256"/>
              <a:ext cx="2397778" cy="180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3" name="Picture 72" descr="https://vsjcllp.vsjadon.com/upload/insp-235337-874.jpg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01804" y="3379779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4" name="Picture 73" descr="https://vsjcllp.vsjadon.com/upload/insp-235337-1022.jpg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693352" y="1085896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5" name="Picture 74" descr="https://vsjcllp.vsjadon.com/upload/insp-235337-922.jpg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41127" y="5668850"/>
              <a:ext cx="1348594" cy="180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6" name="Picture 75" descr="https://vsjcllp.vsjadon.com/upload/insp-235337-925.jpg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86281" y="7588506"/>
              <a:ext cx="1386271" cy="185028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7" name="Picture 76" descr="https://vsjcllp.vsjadon.com/upload/insp-235337-883.jpg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1765" y="5671256"/>
              <a:ext cx="1348594" cy="180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8" name="Picture 77" descr="https://vsjcllp.vsjadon.com/upload/insp-235337-880.jpg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602796" y="5668850"/>
              <a:ext cx="1348594" cy="180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9" name="Picture 78" descr="https://vsjcllp.vsjadon.com/upload/insp-235337-1525.jpg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2244" y="7588507"/>
              <a:ext cx="1386271" cy="185028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81" name="TextBox 16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 txBox="1"/>
        </xdr:nvSpPr>
        <xdr:spPr>
          <a:xfrm>
            <a:off x="1468647" y="44919900"/>
            <a:ext cx="714614" cy="2762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n-IN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Wing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2" name="TextBox 16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/>
        </xdr:nvSpPr>
        <xdr:spPr>
          <a:xfrm>
            <a:off x="3190875" y="44996100"/>
            <a:ext cx="714614" cy="2762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B Wing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3" name="TextBox 16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/>
        </xdr:nvSpPr>
        <xdr:spPr>
          <a:xfrm>
            <a:off x="4619625" y="44967525"/>
            <a:ext cx="714614" cy="2762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C Wing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4" name="TextBox 16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 txBox="1"/>
        </xdr:nvSpPr>
        <xdr:spPr>
          <a:xfrm>
            <a:off x="1162050" y="47215425"/>
            <a:ext cx="714614" cy="2762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D Wing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5" name="TextBox 16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2933700" y="47263050"/>
            <a:ext cx="714614" cy="2762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E Wing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175260</xdr:colOff>
      <xdr:row>222</xdr:row>
      <xdr:rowOff>106680</xdr:rowOff>
    </xdr:from>
    <xdr:to>
      <xdr:col>7</xdr:col>
      <xdr:colOff>624840</xdr:colOff>
      <xdr:row>256</xdr:row>
      <xdr:rowOff>99060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574F36FE-9C0B-A478-7611-5DF033CEC83F}"/>
            </a:ext>
          </a:extLst>
        </xdr:cNvPr>
        <xdr:cNvGrpSpPr/>
      </xdr:nvGrpSpPr>
      <xdr:grpSpPr>
        <a:xfrm>
          <a:off x="175260" y="43106340"/>
          <a:ext cx="6294120" cy="6797040"/>
          <a:chOff x="42038" y="171844"/>
          <a:chExt cx="6837500" cy="6791735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B6458F2-EF14-CE4A-8710-EBB07211F2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72738" y="5241780"/>
            <a:ext cx="1289405" cy="1720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C85EE247-2193-0C3E-DB48-C5ED99A3D2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2275" y="171844"/>
            <a:ext cx="1982285" cy="26454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6CFF052D-9E08-DE25-09ED-08F028E09E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433" y="5242279"/>
            <a:ext cx="1289779" cy="17212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1096F5BF-A9CE-22EC-31F3-F99CF86F41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0501" y="2989186"/>
            <a:ext cx="1618499" cy="21599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F1840491-0FD1-2BB3-1C8F-2A5DC08EF5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21241" y="5242279"/>
            <a:ext cx="1289779" cy="17212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27FF12BC-FC91-9162-F6C8-D596A9A213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70104" y="171844"/>
            <a:ext cx="1982285" cy="26454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2FCADE35-22F8-8AC4-CDB8-4C029D73CA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038" y="2989185"/>
            <a:ext cx="1618499" cy="21599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B7C52F63-7E29-DEA7-536A-FEAE8C6CE6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61039" y="2989185"/>
            <a:ext cx="1618499" cy="21599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A838CA37-8795-8DBD-6451-52AB6BA9DC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9481" y="5242280"/>
            <a:ext cx="1289779" cy="17212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D96775C1-933F-8FBC-DA96-5698194FDD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59465" y="2989186"/>
            <a:ext cx="1618499" cy="21599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518A3F62-5990-E2F3-9DD1-0C777312D8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4247" y="171844"/>
            <a:ext cx="1982285" cy="26454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DC433E49-236F-F2E6-0AE2-675F719C93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0012" y="5242279"/>
            <a:ext cx="1289405" cy="1720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419100</xdr:colOff>
      <xdr:row>223</xdr:row>
      <xdr:rowOff>30480</xdr:rowOff>
    </xdr:from>
    <xdr:to>
      <xdr:col>1</xdr:col>
      <xdr:colOff>366111</xdr:colOff>
      <xdr:row>224</xdr:row>
      <xdr:rowOff>106032</xdr:rowOff>
    </xdr:to>
    <xdr:sp macro="" textlink="">
      <xdr:nvSpPr>
        <xdr:cNvPr id="44" name="TextBox 16">
          <a:extLst>
            <a:ext uri="{FF2B5EF4-FFF2-40B4-BE49-F238E27FC236}">
              <a16:creationId xmlns:a16="http://schemas.microsoft.com/office/drawing/2014/main" id="{0400DED0-77E2-493B-9A96-EA09BE2A880F}"/>
            </a:ext>
          </a:extLst>
        </xdr:cNvPr>
        <xdr:cNvSpPr txBox="1"/>
      </xdr:nvSpPr>
      <xdr:spPr>
        <a:xfrm>
          <a:off x="419100" y="43045380"/>
          <a:ext cx="731871" cy="273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IN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Wing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259080</xdr:colOff>
      <xdr:row>233</xdr:row>
      <xdr:rowOff>83820</xdr:rowOff>
    </xdr:from>
    <xdr:to>
      <xdr:col>4</xdr:col>
      <xdr:colOff>23211</xdr:colOff>
      <xdr:row>234</xdr:row>
      <xdr:rowOff>159372</xdr:rowOff>
    </xdr:to>
    <xdr:sp macro="" textlink="">
      <xdr:nvSpPr>
        <xdr:cNvPr id="86" name="TextBox 16">
          <a:extLst>
            <a:ext uri="{FF2B5EF4-FFF2-40B4-BE49-F238E27FC236}">
              <a16:creationId xmlns:a16="http://schemas.microsoft.com/office/drawing/2014/main" id="{4C5DC2DC-9B4D-3832-0C39-7F69179C6682}"/>
            </a:ext>
          </a:extLst>
        </xdr:cNvPr>
        <xdr:cNvSpPr txBox="1"/>
      </xdr:nvSpPr>
      <xdr:spPr>
        <a:xfrm>
          <a:off x="2735580" y="45072300"/>
          <a:ext cx="731871" cy="273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lang="en-IN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Wing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266700</xdr:colOff>
      <xdr:row>233</xdr:row>
      <xdr:rowOff>144780</xdr:rowOff>
    </xdr:from>
    <xdr:to>
      <xdr:col>6</xdr:col>
      <xdr:colOff>198471</xdr:colOff>
      <xdr:row>235</xdr:row>
      <xdr:rowOff>22212</xdr:rowOff>
    </xdr:to>
    <xdr:sp macro="" textlink="">
      <xdr:nvSpPr>
        <xdr:cNvPr id="87" name="TextBox 16">
          <a:extLst>
            <a:ext uri="{FF2B5EF4-FFF2-40B4-BE49-F238E27FC236}">
              <a16:creationId xmlns:a16="http://schemas.microsoft.com/office/drawing/2014/main" id="{759FA4F0-E45E-73BA-E3C5-5E75BC7AE4B5}"/>
            </a:ext>
          </a:extLst>
        </xdr:cNvPr>
        <xdr:cNvSpPr txBox="1"/>
      </xdr:nvSpPr>
      <xdr:spPr>
        <a:xfrm>
          <a:off x="4511040" y="45133260"/>
          <a:ext cx="731871" cy="273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lang="en-IN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Wing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472440</xdr:colOff>
      <xdr:row>245</xdr:row>
      <xdr:rowOff>60960</xdr:rowOff>
    </xdr:from>
    <xdr:to>
      <xdr:col>1</xdr:col>
      <xdr:colOff>419451</xdr:colOff>
      <xdr:row>246</xdr:row>
      <xdr:rowOff>136512</xdr:rowOff>
    </xdr:to>
    <xdr:sp macro="" textlink="">
      <xdr:nvSpPr>
        <xdr:cNvPr id="88" name="TextBox 16">
          <a:extLst>
            <a:ext uri="{FF2B5EF4-FFF2-40B4-BE49-F238E27FC236}">
              <a16:creationId xmlns:a16="http://schemas.microsoft.com/office/drawing/2014/main" id="{EE14E671-D795-8C0A-F099-5FB596A92A8F}"/>
            </a:ext>
          </a:extLst>
        </xdr:cNvPr>
        <xdr:cNvSpPr txBox="1"/>
      </xdr:nvSpPr>
      <xdr:spPr>
        <a:xfrm>
          <a:off x="472440" y="47426880"/>
          <a:ext cx="731871" cy="273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en-IN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Wing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518160</xdr:colOff>
      <xdr:row>245</xdr:row>
      <xdr:rowOff>91440</xdr:rowOff>
    </xdr:from>
    <xdr:to>
      <xdr:col>3</xdr:col>
      <xdr:colOff>381351</xdr:colOff>
      <xdr:row>246</xdr:row>
      <xdr:rowOff>166992</xdr:rowOff>
    </xdr:to>
    <xdr:sp macro="" textlink="">
      <xdr:nvSpPr>
        <xdr:cNvPr id="89" name="TextBox 16">
          <a:extLst>
            <a:ext uri="{FF2B5EF4-FFF2-40B4-BE49-F238E27FC236}">
              <a16:creationId xmlns:a16="http://schemas.microsoft.com/office/drawing/2014/main" id="{2756F17C-427C-A8DC-06A8-9C31ADD955BE}"/>
            </a:ext>
          </a:extLst>
        </xdr:cNvPr>
        <xdr:cNvSpPr txBox="1"/>
      </xdr:nvSpPr>
      <xdr:spPr>
        <a:xfrm>
          <a:off x="2125980" y="47457360"/>
          <a:ext cx="731871" cy="273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lang="en-IN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Wing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4XxEwgNbp9MKcMD9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6"/>
  <sheetViews>
    <sheetView tabSelected="1" view="pageBreakPreview" zoomScaleNormal="100" zoomScaleSheetLayoutView="100" workbookViewId="0">
      <selection activeCell="J6" sqref="J6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69" t="s">
        <v>224</v>
      </c>
      <c r="B1" s="169"/>
      <c r="C1" s="169"/>
      <c r="D1" s="169"/>
      <c r="E1" s="169"/>
      <c r="F1" s="169"/>
      <c r="G1" s="169"/>
      <c r="H1" s="169"/>
    </row>
    <row r="2" spans="1:8" ht="16.5" customHeight="1" x14ac:dyDescent="0.3">
      <c r="A2" s="153" t="s">
        <v>0</v>
      </c>
      <c r="B2" s="153"/>
      <c r="C2" s="153"/>
      <c r="D2" s="153"/>
      <c r="E2" s="153"/>
      <c r="F2" s="153"/>
      <c r="G2" s="153"/>
      <c r="H2" s="153"/>
    </row>
    <row r="3" spans="1:8" x14ac:dyDescent="0.3">
      <c r="A3" s="129" t="s">
        <v>1</v>
      </c>
      <c r="B3" s="129"/>
      <c r="C3" s="129"/>
      <c r="D3" s="129"/>
      <c r="E3" s="129" t="str">
        <f ca="1">TEXT(TODAY(),"DD/MM/YYYY")</f>
        <v>15/08/2025</v>
      </c>
      <c r="F3" s="129"/>
      <c r="G3" s="129"/>
      <c r="H3" s="129"/>
    </row>
    <row r="4" spans="1:8" x14ac:dyDescent="0.3">
      <c r="A4" s="129" t="s">
        <v>2</v>
      </c>
      <c r="B4" s="129"/>
      <c r="C4" s="129"/>
      <c r="D4" s="129"/>
      <c r="E4" s="129" t="s">
        <v>174</v>
      </c>
      <c r="F4" s="129"/>
      <c r="G4" s="129"/>
      <c r="H4" s="129"/>
    </row>
    <row r="5" spans="1:8" x14ac:dyDescent="0.3">
      <c r="A5" s="129" t="s">
        <v>3</v>
      </c>
      <c r="B5" s="129"/>
      <c r="C5" s="129"/>
      <c r="D5" s="129"/>
      <c r="E5" s="173">
        <v>45882</v>
      </c>
      <c r="F5" s="129"/>
      <c r="G5" s="129"/>
      <c r="H5" s="129"/>
    </row>
    <row r="6" spans="1:8" ht="16.5" customHeight="1" x14ac:dyDescent="0.3">
      <c r="A6" s="129" t="s">
        <v>4</v>
      </c>
      <c r="B6" s="129"/>
      <c r="C6" s="129"/>
      <c r="D6" s="129"/>
      <c r="E6" s="129" t="s">
        <v>176</v>
      </c>
      <c r="F6" s="129"/>
      <c r="G6" s="129"/>
      <c r="H6" s="129"/>
    </row>
    <row r="7" spans="1:8" ht="15" customHeight="1" x14ac:dyDescent="0.3">
      <c r="A7" s="129" t="s">
        <v>5</v>
      </c>
      <c r="B7" s="129"/>
      <c r="C7" s="129"/>
      <c r="D7" s="129"/>
      <c r="E7" s="129" t="str">
        <f>E6</f>
        <v>Sanskruti Builder And Developer</v>
      </c>
      <c r="F7" s="129"/>
      <c r="G7" s="129"/>
      <c r="H7" s="129"/>
    </row>
    <row r="8" spans="1:8" x14ac:dyDescent="0.3">
      <c r="A8" s="129" t="s">
        <v>6</v>
      </c>
      <c r="B8" s="129"/>
      <c r="C8" s="129"/>
      <c r="D8" s="129"/>
      <c r="E8" s="170" t="s">
        <v>175</v>
      </c>
      <c r="F8" s="171"/>
      <c r="G8" s="171"/>
      <c r="H8" s="172"/>
    </row>
    <row r="9" spans="1:8" x14ac:dyDescent="0.3">
      <c r="A9" s="129" t="s">
        <v>172</v>
      </c>
      <c r="B9" s="129"/>
      <c r="C9" s="129"/>
      <c r="D9" s="129"/>
      <c r="E9" s="129" t="s">
        <v>234</v>
      </c>
      <c r="F9" s="129"/>
      <c r="G9" s="129"/>
      <c r="H9" s="129"/>
    </row>
    <row r="10" spans="1:8" hidden="1" x14ac:dyDescent="0.3">
      <c r="A10" s="129" t="s">
        <v>173</v>
      </c>
      <c r="B10" s="129"/>
      <c r="C10" s="129"/>
      <c r="D10" s="129"/>
      <c r="E10" s="129" t="s">
        <v>232</v>
      </c>
      <c r="F10" s="129"/>
      <c r="G10" s="129"/>
      <c r="H10" s="129"/>
    </row>
    <row r="11" spans="1:8" x14ac:dyDescent="0.3">
      <c r="A11" s="129" t="s">
        <v>7</v>
      </c>
      <c r="B11" s="129"/>
      <c r="C11" s="129"/>
      <c r="D11" s="129"/>
      <c r="E11" s="129" t="s">
        <v>197</v>
      </c>
      <c r="F11" s="129"/>
      <c r="G11" s="129"/>
      <c r="H11" s="129"/>
    </row>
    <row r="12" spans="1:8" x14ac:dyDescent="0.3">
      <c r="A12" s="129" t="s">
        <v>183</v>
      </c>
      <c r="B12" s="129"/>
      <c r="C12" s="129"/>
      <c r="D12" s="129"/>
      <c r="E12" s="129" t="s">
        <v>184</v>
      </c>
      <c r="F12" s="129"/>
      <c r="G12" s="129"/>
      <c r="H12" s="129"/>
    </row>
    <row r="13" spans="1:8" x14ac:dyDescent="0.3">
      <c r="A13" s="98" t="s">
        <v>8</v>
      </c>
      <c r="B13" s="98"/>
      <c r="C13" s="98"/>
      <c r="D13" s="98"/>
      <c r="E13" s="128" t="s">
        <v>218</v>
      </c>
      <c r="F13" s="128"/>
      <c r="G13" s="128"/>
      <c r="H13" s="128"/>
    </row>
    <row r="14" spans="1:8" x14ac:dyDescent="0.3">
      <c r="A14" s="98" t="s">
        <v>9</v>
      </c>
      <c r="B14" s="98"/>
      <c r="C14" s="98"/>
      <c r="D14" s="98"/>
      <c r="E14" s="128" t="s">
        <v>177</v>
      </c>
      <c r="F14" s="129"/>
      <c r="G14" s="129"/>
      <c r="H14" s="129"/>
    </row>
    <row r="15" spans="1:8" ht="48.75" customHeight="1" x14ac:dyDescent="0.3">
      <c r="A15" s="127" t="s">
        <v>10</v>
      </c>
      <c r="B15" s="127"/>
      <c r="C15" s="12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Sanskruti Rose, Survey No.76, H.No.6, Plot No.4, Redevlopement of "Nad Brahma Asavari CHSL", near Nadbrahma Madhuvanti CHS, Internal Road, Shiv Chaya Chawl, Achole, Nalla Sopara (East), Vasai, Palghar - 401209.</v>
      </c>
      <c r="D15" s="127"/>
      <c r="E15" s="127"/>
      <c r="F15" s="127"/>
      <c r="G15" s="127"/>
      <c r="H15" s="127"/>
    </row>
    <row r="16" spans="1:8" x14ac:dyDescent="0.3">
      <c r="A16" s="128" t="s">
        <v>178</v>
      </c>
      <c r="B16" s="128"/>
      <c r="C16" s="128" t="s">
        <v>185</v>
      </c>
      <c r="D16" s="128"/>
      <c r="E16" s="128"/>
      <c r="F16" s="128"/>
      <c r="G16" s="128"/>
      <c r="H16" s="128"/>
    </row>
    <row r="17" spans="1:8" ht="15.75" customHeight="1" x14ac:dyDescent="0.3">
      <c r="A17" s="128" t="s">
        <v>168</v>
      </c>
      <c r="B17" s="128"/>
      <c r="C17" s="128" t="s">
        <v>223</v>
      </c>
      <c r="D17" s="128"/>
      <c r="E17" s="128"/>
      <c r="F17" s="128"/>
      <c r="G17" s="128"/>
      <c r="H17" s="128"/>
    </row>
    <row r="18" spans="1:8" ht="15.75" customHeight="1" x14ac:dyDescent="0.3">
      <c r="A18" s="127" t="s">
        <v>11</v>
      </c>
      <c r="B18" s="127"/>
      <c r="C18" s="129" t="s">
        <v>187</v>
      </c>
      <c r="D18" s="129"/>
      <c r="E18" s="127" t="s">
        <v>74</v>
      </c>
      <c r="F18" s="127"/>
      <c r="G18" s="128" t="s">
        <v>181</v>
      </c>
      <c r="H18" s="128"/>
    </row>
    <row r="19" spans="1:8" x14ac:dyDescent="0.3">
      <c r="A19" s="98" t="s">
        <v>13</v>
      </c>
      <c r="B19" s="98"/>
      <c r="C19" s="128" t="s">
        <v>189</v>
      </c>
      <c r="D19" s="128"/>
      <c r="E19" s="127" t="s">
        <v>12</v>
      </c>
      <c r="F19" s="127"/>
      <c r="G19" s="174" t="s">
        <v>179</v>
      </c>
      <c r="H19" s="174"/>
    </row>
    <row r="20" spans="1:8" x14ac:dyDescent="0.3">
      <c r="A20" s="98" t="s">
        <v>75</v>
      </c>
      <c r="B20" s="98"/>
      <c r="C20" s="128" t="s">
        <v>180</v>
      </c>
      <c r="D20" s="128"/>
      <c r="E20" s="127" t="s">
        <v>14</v>
      </c>
      <c r="F20" s="127"/>
      <c r="G20" s="128">
        <v>401209</v>
      </c>
      <c r="H20" s="128"/>
    </row>
    <row r="21" spans="1:8" ht="32.25" customHeight="1" x14ac:dyDescent="0.3">
      <c r="A21" s="98" t="s">
        <v>125</v>
      </c>
      <c r="B21" s="98"/>
      <c r="C21" s="128" t="s">
        <v>190</v>
      </c>
      <c r="D21" s="128"/>
      <c r="E21" s="127" t="s">
        <v>15</v>
      </c>
      <c r="F21" s="127"/>
      <c r="G21" s="128" t="s">
        <v>188</v>
      </c>
      <c r="H21" s="128"/>
    </row>
    <row r="22" spans="1:8" ht="15" customHeight="1" x14ac:dyDescent="0.3">
      <c r="A22" s="127" t="s">
        <v>77</v>
      </c>
      <c r="B22" s="127"/>
      <c r="C22" s="127"/>
      <c r="D22" s="127"/>
      <c r="E22" s="129" t="s">
        <v>16</v>
      </c>
      <c r="F22" s="129"/>
      <c r="G22" s="129"/>
      <c r="H22" s="129"/>
    </row>
    <row r="23" spans="1:8" ht="18.75" customHeight="1" x14ac:dyDescent="0.3">
      <c r="A23" s="127"/>
      <c r="B23" s="127"/>
      <c r="C23" s="127"/>
      <c r="D23" s="127"/>
      <c r="E23" s="129"/>
      <c r="F23" s="129"/>
      <c r="G23" s="129"/>
      <c r="H23" s="129"/>
    </row>
    <row r="24" spans="1:8" ht="15" customHeight="1" x14ac:dyDescent="0.3">
      <c r="A24" s="127" t="s">
        <v>17</v>
      </c>
      <c r="B24" s="127"/>
      <c r="C24" s="127"/>
      <c r="D24" s="127"/>
      <c r="E24" s="128" t="s">
        <v>18</v>
      </c>
      <c r="F24" s="128"/>
      <c r="G24" s="128"/>
      <c r="H24" s="128"/>
    </row>
    <row r="25" spans="1:8" ht="15" customHeight="1" x14ac:dyDescent="0.3">
      <c r="A25" s="98" t="s">
        <v>19</v>
      </c>
      <c r="B25" s="98"/>
      <c r="C25" s="98"/>
      <c r="D25" s="98"/>
      <c r="E25" s="128" t="str">
        <f>IF(AND(G19="Mumbai"),"Upper Class","Middle Class")</f>
        <v>Middle Class</v>
      </c>
      <c r="F25" s="128"/>
      <c r="G25" s="128"/>
      <c r="H25" s="128"/>
    </row>
    <row r="26" spans="1:8" x14ac:dyDescent="0.3">
      <c r="A26" s="98" t="s">
        <v>20</v>
      </c>
      <c r="B26" s="98"/>
      <c r="C26" s="98"/>
      <c r="D26" s="98"/>
      <c r="E26" s="128" t="s">
        <v>21</v>
      </c>
      <c r="F26" s="128"/>
      <c r="G26" s="128"/>
      <c r="H26" s="128"/>
    </row>
    <row r="27" spans="1:8" ht="15.75" customHeight="1" x14ac:dyDescent="0.3">
      <c r="A27" s="98" t="s">
        <v>22</v>
      </c>
      <c r="B27" s="98"/>
      <c r="C27" s="98"/>
      <c r="D27" s="98"/>
      <c r="E27" s="128" t="str">
        <f>IF(AND(G19="Mumbai"),"Developed","Developing")</f>
        <v>Developing</v>
      </c>
      <c r="F27" s="128"/>
      <c r="G27" s="128"/>
      <c r="H27" s="128"/>
    </row>
    <row r="28" spans="1:8" x14ac:dyDescent="0.3">
      <c r="A28" s="98" t="s">
        <v>23</v>
      </c>
      <c r="B28" s="98"/>
      <c r="C28" s="98"/>
      <c r="D28" s="98"/>
      <c r="E28" s="128" t="s">
        <v>24</v>
      </c>
      <c r="F28" s="128"/>
      <c r="G28" s="128"/>
      <c r="H28" s="128"/>
    </row>
    <row r="29" spans="1:8" ht="15.75" customHeight="1" x14ac:dyDescent="0.3">
      <c r="A29" s="98" t="s">
        <v>82</v>
      </c>
      <c r="B29" s="98"/>
      <c r="C29" s="98"/>
      <c r="D29" s="98"/>
      <c r="E29" s="128" t="s">
        <v>83</v>
      </c>
      <c r="F29" s="128"/>
      <c r="G29" s="128"/>
      <c r="H29" s="128"/>
    </row>
    <row r="30" spans="1:8" ht="15" customHeight="1" x14ac:dyDescent="0.3">
      <c r="A30" s="98" t="s">
        <v>33</v>
      </c>
      <c r="B30" s="98"/>
      <c r="C30" s="98"/>
      <c r="D30" s="98"/>
      <c r="E30" s="12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28"/>
      <c r="G30" s="128"/>
      <c r="H30" s="128"/>
    </row>
    <row r="31" spans="1:8" ht="15.75" customHeight="1" x14ac:dyDescent="0.3">
      <c r="A31" s="98" t="s">
        <v>94</v>
      </c>
      <c r="B31" s="98"/>
      <c r="C31" s="98"/>
      <c r="D31" s="98"/>
      <c r="E31" s="128" t="s">
        <v>34</v>
      </c>
      <c r="F31" s="128"/>
      <c r="G31" s="128"/>
      <c r="H31" s="128"/>
    </row>
    <row r="32" spans="1:8" s="22" customFormat="1" x14ac:dyDescent="0.3">
      <c r="A32" s="178" t="s">
        <v>95</v>
      </c>
      <c r="B32" s="178"/>
      <c r="C32" s="177" t="s">
        <v>29</v>
      </c>
      <c r="D32" s="177"/>
      <c r="E32" s="177"/>
      <c r="F32" s="177" t="s">
        <v>31</v>
      </c>
      <c r="G32" s="177"/>
      <c r="H32" s="177"/>
    </row>
    <row r="33" spans="1:8" s="22" customFormat="1" x14ac:dyDescent="0.3">
      <c r="A33" s="175" t="s">
        <v>25</v>
      </c>
      <c r="B33" s="175" t="s">
        <v>30</v>
      </c>
      <c r="C33" s="176" t="s">
        <v>30</v>
      </c>
      <c r="D33" s="176"/>
      <c r="E33" s="176"/>
      <c r="F33" s="176" t="s">
        <v>191</v>
      </c>
      <c r="G33" s="176"/>
      <c r="H33" s="176"/>
    </row>
    <row r="34" spans="1:8" x14ac:dyDescent="0.3">
      <c r="A34" s="175" t="s">
        <v>26</v>
      </c>
      <c r="B34" s="175" t="s">
        <v>30</v>
      </c>
      <c r="C34" s="176" t="s">
        <v>30</v>
      </c>
      <c r="D34" s="176"/>
      <c r="E34" s="176"/>
      <c r="F34" s="176" t="s">
        <v>222</v>
      </c>
      <c r="G34" s="176"/>
      <c r="H34" s="176"/>
    </row>
    <row r="35" spans="1:8" s="22" customFormat="1" x14ac:dyDescent="0.3">
      <c r="A35" s="175" t="s">
        <v>28</v>
      </c>
      <c r="B35" s="175" t="s">
        <v>30</v>
      </c>
      <c r="C35" s="176" t="s">
        <v>30</v>
      </c>
      <c r="D35" s="176"/>
      <c r="E35" s="176"/>
      <c r="F35" s="176" t="s">
        <v>192</v>
      </c>
      <c r="G35" s="176"/>
      <c r="H35" s="176"/>
    </row>
    <row r="36" spans="1:8" x14ac:dyDescent="0.3">
      <c r="A36" s="175" t="s">
        <v>27</v>
      </c>
      <c r="B36" s="175" t="s">
        <v>30</v>
      </c>
      <c r="C36" s="176" t="s">
        <v>30</v>
      </c>
      <c r="D36" s="176"/>
      <c r="E36" s="176"/>
      <c r="F36" s="176" t="s">
        <v>193</v>
      </c>
      <c r="G36" s="176"/>
      <c r="H36" s="176"/>
    </row>
    <row r="37" spans="1:8" x14ac:dyDescent="0.3">
      <c r="A37" s="98" t="s">
        <v>32</v>
      </c>
      <c r="B37" s="98"/>
      <c r="C37" s="98"/>
      <c r="D37" s="98"/>
      <c r="E37" s="98"/>
      <c r="F37" s="98"/>
      <c r="G37" s="98"/>
      <c r="H37" s="98"/>
    </row>
    <row r="38" spans="1:8" ht="15.75" customHeight="1" x14ac:dyDescent="0.3">
      <c r="A38" s="98" t="s">
        <v>170</v>
      </c>
      <c r="B38" s="98"/>
      <c r="C38" s="159" t="s">
        <v>186</v>
      </c>
      <c r="D38" s="159"/>
      <c r="E38" s="159"/>
      <c r="F38" s="159"/>
      <c r="G38" s="159"/>
      <c r="H38" s="159"/>
    </row>
    <row r="39" spans="1:8" x14ac:dyDescent="0.3">
      <c r="A39" s="98" t="s">
        <v>167</v>
      </c>
      <c r="B39" s="98"/>
      <c r="C39" s="192" t="s">
        <v>182</v>
      </c>
      <c r="D39" s="128"/>
      <c r="E39" s="128"/>
      <c r="F39" s="128"/>
      <c r="G39" s="128"/>
      <c r="H39" s="128"/>
    </row>
    <row r="40" spans="1:8" x14ac:dyDescent="0.3">
      <c r="A40" s="159" t="s">
        <v>35</v>
      </c>
      <c r="B40" s="159"/>
      <c r="C40" s="159"/>
      <c r="D40" s="159"/>
      <c r="E40" s="159"/>
      <c r="F40" s="159"/>
      <c r="G40" s="159"/>
      <c r="H40" s="159"/>
    </row>
    <row r="41" spans="1:8" x14ac:dyDescent="0.3">
      <c r="A41" s="98" t="s">
        <v>36</v>
      </c>
      <c r="B41" s="98"/>
      <c r="C41" s="98"/>
      <c r="D41" s="98"/>
      <c r="E41" s="179">
        <v>2440.9699999999998</v>
      </c>
      <c r="F41" s="179"/>
      <c r="G41" s="179"/>
      <c r="H41" s="179"/>
    </row>
    <row r="42" spans="1:8" x14ac:dyDescent="0.3">
      <c r="A42" s="98" t="s">
        <v>37</v>
      </c>
      <c r="B42" s="98"/>
      <c r="C42" s="98"/>
      <c r="D42" s="98"/>
      <c r="E42" s="97">
        <v>1.1000000000000001</v>
      </c>
      <c r="F42" s="97"/>
      <c r="G42" s="97"/>
      <c r="H42" s="97"/>
    </row>
    <row r="43" spans="1:8" x14ac:dyDescent="0.3">
      <c r="A43" s="98" t="s">
        <v>38</v>
      </c>
      <c r="B43" s="98"/>
      <c r="C43" s="98"/>
      <c r="D43" s="98"/>
      <c r="E43" s="97">
        <f>E45/E41-E42</f>
        <v>2.1267213443835855</v>
      </c>
      <c r="F43" s="97"/>
      <c r="G43" s="97"/>
      <c r="H43" s="97"/>
    </row>
    <row r="44" spans="1:8" x14ac:dyDescent="0.3">
      <c r="A44" s="98" t="s">
        <v>39</v>
      </c>
      <c r="B44" s="98"/>
      <c r="C44" s="98"/>
      <c r="D44" s="98"/>
      <c r="E44" s="97">
        <f>E42+E43</f>
        <v>3.2267213443835856</v>
      </c>
      <c r="F44" s="97"/>
      <c r="G44" s="97"/>
      <c r="H44" s="97"/>
    </row>
    <row r="45" spans="1:8" x14ac:dyDescent="0.3">
      <c r="A45" s="98" t="s">
        <v>93</v>
      </c>
      <c r="B45" s="98"/>
      <c r="C45" s="98"/>
      <c r="D45" s="98"/>
      <c r="E45" s="182">
        <v>7876.33</v>
      </c>
      <c r="F45" s="182"/>
      <c r="G45" s="182"/>
      <c r="H45" s="182"/>
    </row>
    <row r="46" spans="1:8" x14ac:dyDescent="0.3">
      <c r="A46" s="129" t="s">
        <v>40</v>
      </c>
      <c r="B46" s="129"/>
      <c r="C46" s="129"/>
      <c r="D46" s="129"/>
      <c r="E46" s="129" t="s">
        <v>198</v>
      </c>
      <c r="F46" s="129"/>
      <c r="G46" s="129"/>
      <c r="H46" s="129"/>
    </row>
    <row r="47" spans="1:8" x14ac:dyDescent="0.3">
      <c r="A47" s="159" t="s">
        <v>41</v>
      </c>
      <c r="B47" s="159"/>
      <c r="C47" s="159"/>
      <c r="D47" s="159"/>
      <c r="E47" s="159"/>
      <c r="F47" s="159"/>
      <c r="G47" s="159"/>
      <c r="H47" s="159"/>
    </row>
    <row r="48" spans="1:8" ht="33.75" customHeight="1" x14ac:dyDescent="0.3">
      <c r="A48" s="115" t="s">
        <v>154</v>
      </c>
      <c r="B48" s="116"/>
      <c r="C48" s="170" t="s">
        <v>194</v>
      </c>
      <c r="D48" s="171"/>
      <c r="E48" s="171"/>
      <c r="F48" s="171"/>
      <c r="G48" s="171"/>
      <c r="H48" s="172"/>
    </row>
    <row r="49" spans="1:14" ht="15.75" customHeight="1" x14ac:dyDescent="0.3">
      <c r="A49" s="115" t="s">
        <v>42</v>
      </c>
      <c r="B49" s="116"/>
      <c r="C49" s="115" t="s">
        <v>195</v>
      </c>
      <c r="D49" s="117"/>
      <c r="E49" s="116"/>
      <c r="F49" s="18" t="s">
        <v>43</v>
      </c>
      <c r="G49" s="118">
        <v>44756</v>
      </c>
      <c r="H49" s="116"/>
    </row>
    <row r="50" spans="1:14" x14ac:dyDescent="0.3">
      <c r="A50" s="115" t="s">
        <v>44</v>
      </c>
      <c r="B50" s="116"/>
      <c r="C50" s="115" t="str">
        <f>C49</f>
        <v>VVCMC/TP/CC/VP/6600/112/2022-23</v>
      </c>
      <c r="D50" s="117"/>
      <c r="E50" s="116"/>
      <c r="F50" s="18" t="s">
        <v>43</v>
      </c>
      <c r="G50" s="118">
        <f>G49</f>
        <v>44756</v>
      </c>
      <c r="H50" s="119"/>
    </row>
    <row r="51" spans="1:14" s="23" customFormat="1" ht="15.75" customHeight="1" x14ac:dyDescent="0.3">
      <c r="A51" s="133" t="s">
        <v>158</v>
      </c>
      <c r="B51" s="134"/>
      <c r="C51" s="115" t="str">
        <f>C50</f>
        <v>VVCMC/TP/CC/VP/6600/112/2022-23</v>
      </c>
      <c r="D51" s="117"/>
      <c r="E51" s="116"/>
      <c r="F51" s="18" t="s">
        <v>43</v>
      </c>
      <c r="G51" s="118">
        <f>G50</f>
        <v>44756</v>
      </c>
      <c r="H51" s="119"/>
    </row>
    <row r="52" spans="1:14" s="23" customFormat="1" x14ac:dyDescent="0.3">
      <c r="A52" s="135"/>
      <c r="B52" s="136"/>
      <c r="C52" s="115" t="s">
        <v>212</v>
      </c>
      <c r="D52" s="117"/>
      <c r="E52" s="117"/>
      <c r="F52" s="117"/>
      <c r="G52" s="117"/>
      <c r="H52" s="116"/>
    </row>
    <row r="53" spans="1:14" x14ac:dyDescent="0.3">
      <c r="A53" s="123" t="s">
        <v>45</v>
      </c>
      <c r="B53" s="124"/>
      <c r="C53" s="123" t="s">
        <v>107</v>
      </c>
      <c r="D53" s="125"/>
      <c r="E53" s="124"/>
      <c r="F53" s="46" t="s">
        <v>43</v>
      </c>
      <c r="G53" s="130" t="s">
        <v>30</v>
      </c>
      <c r="H53" s="131"/>
    </row>
    <row r="54" spans="1:14" x14ac:dyDescent="0.3">
      <c r="A54" s="126" t="s">
        <v>47</v>
      </c>
      <c r="B54" s="126"/>
      <c r="C54" s="126"/>
      <c r="D54" s="126"/>
      <c r="E54" s="126"/>
      <c r="F54" s="126"/>
      <c r="G54" s="126"/>
      <c r="H54" s="126"/>
    </row>
    <row r="55" spans="1:14" x14ac:dyDescent="0.3">
      <c r="A55" s="127" t="s">
        <v>92</v>
      </c>
      <c r="B55" s="127"/>
      <c r="C55" s="127"/>
      <c r="D55" s="98">
        <f>E45</f>
        <v>7876.33</v>
      </c>
      <c r="E55" s="98"/>
      <c r="F55" s="98"/>
      <c r="G55" s="98"/>
      <c r="H55" s="98"/>
    </row>
    <row r="56" spans="1:14" x14ac:dyDescent="0.3">
      <c r="A56" s="128" t="s">
        <v>48</v>
      </c>
      <c r="B56" s="129"/>
      <c r="C56" s="129"/>
      <c r="D56" s="129" t="s">
        <v>217</v>
      </c>
      <c r="E56" s="129"/>
      <c r="F56" s="129"/>
      <c r="G56" s="129"/>
      <c r="H56" s="129"/>
      <c r="I56" s="24"/>
    </row>
    <row r="57" spans="1:14" x14ac:dyDescent="0.3">
      <c r="A57" s="67" t="s">
        <v>49</v>
      </c>
      <c r="B57" s="68"/>
      <c r="C57" s="132"/>
      <c r="D57" s="167" t="s">
        <v>212</v>
      </c>
      <c r="E57" s="194"/>
      <c r="F57" s="194"/>
      <c r="G57" s="194"/>
      <c r="H57" s="194"/>
    </row>
    <row r="58" spans="1:14" ht="15.75" customHeight="1" x14ac:dyDescent="0.3">
      <c r="A58" s="67" t="s">
        <v>90</v>
      </c>
      <c r="B58" s="68"/>
      <c r="C58" s="68"/>
      <c r="D58" s="120" t="s">
        <v>220</v>
      </c>
      <c r="E58" s="121"/>
      <c r="F58" s="121"/>
      <c r="G58" s="121"/>
      <c r="H58" s="122"/>
    </row>
    <row r="59" spans="1:14" ht="15.75" customHeight="1" x14ac:dyDescent="0.3">
      <c r="A59" s="69"/>
      <c r="B59" s="70"/>
      <c r="C59" s="70"/>
      <c r="D59" s="87" t="s">
        <v>221</v>
      </c>
      <c r="E59" s="88"/>
      <c r="F59" s="88"/>
      <c r="G59" s="88"/>
      <c r="H59" s="89"/>
    </row>
    <row r="60" spans="1:14" ht="15.75" customHeight="1" x14ac:dyDescent="0.3">
      <c r="A60" s="69"/>
      <c r="B60" s="70"/>
      <c r="C60" s="70"/>
      <c r="D60" s="87" t="s">
        <v>225</v>
      </c>
      <c r="E60" s="88"/>
      <c r="F60" s="88"/>
      <c r="G60" s="88"/>
      <c r="H60" s="89"/>
    </row>
    <row r="61" spans="1:14" ht="15.75" customHeight="1" x14ac:dyDescent="0.3">
      <c r="A61" s="71"/>
      <c r="B61" s="72"/>
      <c r="C61" s="72"/>
      <c r="D61" s="64" t="s">
        <v>226</v>
      </c>
      <c r="E61" s="65"/>
      <c r="F61" s="65"/>
      <c r="G61" s="65"/>
      <c r="H61" s="66"/>
    </row>
    <row r="62" spans="1:14" ht="15.75" customHeight="1" x14ac:dyDescent="0.3">
      <c r="A62" s="98" t="s">
        <v>46</v>
      </c>
      <c r="B62" s="98"/>
      <c r="C62" s="98"/>
      <c r="D62" s="180" t="s">
        <v>196</v>
      </c>
      <c r="E62" s="180"/>
      <c r="F62" s="180"/>
      <c r="G62" s="180"/>
      <c r="H62" s="180"/>
      <c r="J62" s="25"/>
      <c r="K62" s="24"/>
      <c r="N62" s="24"/>
    </row>
    <row r="63" spans="1:14" ht="15.75" customHeight="1" x14ac:dyDescent="0.3">
      <c r="A63" s="98" t="s">
        <v>88</v>
      </c>
      <c r="B63" s="98"/>
      <c r="C63" s="98"/>
      <c r="D63" s="181" t="str">
        <f>(IF(G53="NA","60 Years After Completion",IF(G53&lt;&gt;"NA",""&amp;60-ROUNDDOWN((E3-G53)/360,0)&amp;" Years"," ")))</f>
        <v>60 Years After Completion</v>
      </c>
      <c r="E63" s="181"/>
      <c r="F63" s="181"/>
      <c r="G63" s="181"/>
      <c r="H63" s="181"/>
      <c r="N63" s="24"/>
    </row>
    <row r="64" spans="1:14" ht="15.75" customHeight="1" x14ac:dyDescent="0.3">
      <c r="A64" s="98" t="s">
        <v>89</v>
      </c>
      <c r="B64" s="98"/>
      <c r="C64" s="98"/>
      <c r="D64" s="127" t="s">
        <v>24</v>
      </c>
      <c r="E64" s="127"/>
      <c r="F64" s="127"/>
      <c r="G64" s="127"/>
      <c r="H64" s="127"/>
      <c r="J64" s="26"/>
      <c r="K64" s="26"/>
    </row>
    <row r="65" spans="1:14" x14ac:dyDescent="0.3">
      <c r="A65" s="98" t="s">
        <v>76</v>
      </c>
      <c r="B65" s="98"/>
      <c r="C65" s="98"/>
      <c r="D65" s="129" t="s">
        <v>219</v>
      </c>
      <c r="E65" s="98"/>
      <c r="F65" s="98"/>
      <c r="G65" s="98"/>
      <c r="H65" s="98"/>
    </row>
    <row r="66" spans="1:14" x14ac:dyDescent="0.3">
      <c r="A66" s="127" t="s">
        <v>151</v>
      </c>
      <c r="B66" s="127"/>
      <c r="C66" s="127"/>
      <c r="D66" s="127" t="s">
        <v>30</v>
      </c>
      <c r="E66" s="127"/>
      <c r="F66" s="127"/>
      <c r="G66" s="127"/>
      <c r="H66" s="127"/>
      <c r="I66" s="27"/>
      <c r="J66" s="27"/>
      <c r="K66" s="27"/>
      <c r="L66" s="27"/>
      <c r="M66" s="27"/>
      <c r="N66" s="27"/>
    </row>
    <row r="67" spans="1:14" ht="15.75" customHeight="1" x14ac:dyDescent="0.3">
      <c r="A67" s="168" t="s">
        <v>87</v>
      </c>
      <c r="B67" s="168"/>
      <c r="C67" s="168"/>
      <c r="D67" s="167" t="str">
        <f ca="1">(IF(G73&gt;95%,"Nothing",IF(G73&gt;0%,"Cement, Aggregate, Steel, etc",IF(G73=0%,"Work not yet Started"))))</f>
        <v>Cement, Aggregate, Steel, etc</v>
      </c>
      <c r="E67" s="167"/>
      <c r="F67" s="167"/>
      <c r="G67" s="167"/>
      <c r="H67" s="167"/>
      <c r="J67" s="26"/>
    </row>
    <row r="68" spans="1:14" ht="33.75" customHeight="1" thickBot="1" x14ac:dyDescent="0.35">
      <c r="A68" s="166" t="s">
        <v>120</v>
      </c>
      <c r="B68" s="166"/>
      <c r="C68" s="166"/>
      <c r="D68" s="167" t="str">
        <f ca="1">(IF(D67="Nothing","Yes",IF(D67="Cement, Aggregate, Steel, etc","Under Construction",IF(D67="Work not yet Started","Work not yet Started"))))</f>
        <v>Under Construction</v>
      </c>
      <c r="E68" s="167"/>
      <c r="F68" s="167" t="str">
        <f ca="1">(IF(D67="Nothing","Yes",IF(D67="Cement, Aggregate, Steel, etc","Under Construction",IF(D67="Work not yet Started","Work not yet Started"))))</f>
        <v>Under Construction</v>
      </c>
      <c r="G68" s="167"/>
      <c r="H68" s="167"/>
    </row>
    <row r="69" spans="1:14" ht="15.75" customHeight="1" x14ac:dyDescent="0.3">
      <c r="A69" s="92" t="s">
        <v>143</v>
      </c>
      <c r="B69" s="93"/>
      <c r="C69" s="94" t="str">
        <f>D58</f>
        <v>Building No.1 (A Wing) = G + 1st to 7th Floor</v>
      </c>
      <c r="D69" s="95"/>
      <c r="E69" s="95"/>
      <c r="F69" s="95"/>
      <c r="G69" s="95"/>
      <c r="H69" s="96"/>
      <c r="I69" s="50" t="str">
        <f ca="1">IF(D82=100%,"All work Completed. Possession granted to the Building.",IF(D81=100%,"All work Completed, Waiting for OC",I70&amp;""&amp;I71&amp;""&amp;J70&amp;""&amp;J69&amp;" "&amp;J71))</f>
        <v>Excavation, Plinth, RCC Slab, Brickwork Completed, Internal Plaster upto 6 Floor, External Plaster upto 5 Floor Completed</v>
      </c>
      <c r="J69" s="51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Internal Plaster upto 6 Floor, External Plaster upto 5 Floor</v>
      </c>
    </row>
    <row r="70" spans="1:14" x14ac:dyDescent="0.3">
      <c r="A70" s="16" t="s">
        <v>145</v>
      </c>
      <c r="B70" s="48">
        <f>IF(AND(ISNUMBER(SEARCH("1B",C69))),1,IF(AND(ISNUMBER(SEARCH("2B",C69))),2,IF(AND(ISNUMBER(SEARCH("3B",C69))),3,IF(AND(ISNUMBER(SEARCH("4B",C69))),4,IF(ISNUMBER(SEARCH("5B",C69)),5,0)))))</f>
        <v>0</v>
      </c>
      <c r="C70" s="48" t="s">
        <v>73</v>
      </c>
      <c r="D70" s="48">
        <v>1</v>
      </c>
      <c r="E70" s="48" t="s">
        <v>72</v>
      </c>
      <c r="F70" s="48">
        <v>0</v>
      </c>
      <c r="G70" s="49" t="s">
        <v>81</v>
      </c>
      <c r="H70" s="17">
        <f ca="1">--TRIM(RIGHT(SUBSTITUTE(LEFT(C69,_xlfn.AGGREGATE(16,6,FIND({0,1,2,3,4,5,6,7,8,9},C69,ROW(INDIRECT("1:"&amp;LEN(C69)))),1))," ",REPT(" ",LEN(C69))),LEN(C69)))</f>
        <v>7</v>
      </c>
      <c r="I70" s="52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</v>
      </c>
      <c r="J70" s="53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2.25" customHeight="1" x14ac:dyDescent="0.3">
      <c r="A71" s="90" t="s">
        <v>91</v>
      </c>
      <c r="B71" s="91"/>
      <c r="C71" s="113" t="str">
        <f ca="1">I69</f>
        <v>Excavation, Plinth, RCC Slab, Brickwork Completed, Internal Plaster upto 6 Floor, External Plaster upto 5 Floor Completed</v>
      </c>
      <c r="D71" s="113"/>
      <c r="E71" s="113"/>
      <c r="F71" s="113"/>
      <c r="G71" s="113"/>
      <c r="H71" s="114"/>
      <c r="I71" s="52" t="str">
        <f ca="1">IF(I70&lt;&gt;""," Completed","")</f>
        <v xml:space="preserve"> Completed</v>
      </c>
      <c r="J71" s="53" t="str">
        <f ca="1">IF(J69&lt;&gt;"","Completed","")</f>
        <v>Completed</v>
      </c>
    </row>
    <row r="72" spans="1:14" ht="15.75" customHeight="1" x14ac:dyDescent="0.3">
      <c r="A72" s="75" t="s">
        <v>50</v>
      </c>
      <c r="B72" s="73"/>
      <c r="C72" s="44" t="s">
        <v>142</v>
      </c>
      <c r="D72" s="44" t="s">
        <v>84</v>
      </c>
      <c r="E72" s="73" t="s">
        <v>86</v>
      </c>
      <c r="F72" s="73"/>
      <c r="G72" s="73" t="s">
        <v>85</v>
      </c>
      <c r="H72" s="74"/>
      <c r="I72" s="14" t="s">
        <v>144</v>
      </c>
      <c r="J72" s="28">
        <f ca="1">H70*25%</f>
        <v>1.75</v>
      </c>
    </row>
    <row r="73" spans="1:14" x14ac:dyDescent="0.3">
      <c r="A73" s="75" t="s">
        <v>131</v>
      </c>
      <c r="B73" s="73"/>
      <c r="C73" s="54">
        <f ca="1">J74</f>
        <v>7</v>
      </c>
      <c r="D73" s="19">
        <f ca="1">((100/H70)*C73)/100</f>
        <v>1</v>
      </c>
      <c r="E73" s="76">
        <f ca="1">(((C74/H70*10)+(40/(D70+F70+H70)*C75)+(7.5/(H70)*C76)+(7.5/(H70)*C77)+(10/H70*C78)+(10/H70*C79)+(5/H70*C80)+(5/H70*C81)+(5/H70*C82))/100)</f>
        <v>0.71071428571428574</v>
      </c>
      <c r="F73" s="77"/>
      <c r="G73" s="76">
        <f ca="1">((((C73/H70)*20)+((C74/H70)*25)+(30/(H70+F70+D70)*C75)+(5/H70*C76)+(5/H70*C77)+(5/H70*C78)+(5/H70*C79)+(0/H70*C80)+(0/H70*C81)+(5/H70*C82))/100)</f>
        <v>0.87857142857142856</v>
      </c>
      <c r="H73" s="82"/>
      <c r="I73" s="14" t="s">
        <v>102</v>
      </c>
      <c r="J73" s="29">
        <f ca="1">H70*50%</f>
        <v>3.5</v>
      </c>
    </row>
    <row r="74" spans="1:14" x14ac:dyDescent="0.3">
      <c r="A74" s="75" t="s">
        <v>51</v>
      </c>
      <c r="B74" s="73"/>
      <c r="C74" s="54">
        <f ca="1">J82</f>
        <v>7</v>
      </c>
      <c r="D74" s="19">
        <f ca="1">((100/H70)*C74)/100</f>
        <v>1</v>
      </c>
      <c r="E74" s="78"/>
      <c r="F74" s="79"/>
      <c r="G74" s="78"/>
      <c r="H74" s="83"/>
      <c r="I74" s="14" t="s">
        <v>103</v>
      </c>
      <c r="J74" s="29">
        <f ca="1">H70</f>
        <v>7</v>
      </c>
    </row>
    <row r="75" spans="1:14" ht="15.75" customHeight="1" x14ac:dyDescent="0.3">
      <c r="A75" s="75" t="s">
        <v>132</v>
      </c>
      <c r="B75" s="73"/>
      <c r="C75" s="44">
        <v>8</v>
      </c>
      <c r="D75" s="19">
        <f ca="1">((100/(D70+F70+H70))*C75)/100</f>
        <v>1</v>
      </c>
      <c r="E75" s="78"/>
      <c r="F75" s="79"/>
      <c r="G75" s="78"/>
      <c r="H75" s="83"/>
      <c r="I75" s="14" t="s">
        <v>104</v>
      </c>
      <c r="J75" s="30">
        <f ca="1">(IF(B70&gt;1,(H70/(B70+2)),H70/4))</f>
        <v>1.75</v>
      </c>
    </row>
    <row r="76" spans="1:14" ht="15.75" customHeight="1" x14ac:dyDescent="0.3">
      <c r="A76" s="75" t="s">
        <v>139</v>
      </c>
      <c r="B76" s="73" t="s">
        <v>133</v>
      </c>
      <c r="C76" s="44">
        <v>7</v>
      </c>
      <c r="D76" s="19">
        <f ca="1">((100/H70)*C76)/100</f>
        <v>1</v>
      </c>
      <c r="E76" s="78"/>
      <c r="F76" s="79"/>
      <c r="G76" s="78"/>
      <c r="H76" s="83"/>
      <c r="I76" s="14" t="s">
        <v>105</v>
      </c>
      <c r="J76" s="30">
        <f ca="1">(IF(B70&gt;1,(H70/(B70+2)+J75),H70/4+J75))</f>
        <v>3.5</v>
      </c>
    </row>
    <row r="77" spans="1:14" ht="15.75" customHeight="1" x14ac:dyDescent="0.3">
      <c r="A77" s="75" t="s">
        <v>140</v>
      </c>
      <c r="B77" s="73" t="s">
        <v>133</v>
      </c>
      <c r="C77" s="44">
        <v>6</v>
      </c>
      <c r="D77" s="19">
        <f ca="1">((100/H70)*C77)/100</f>
        <v>0.85714285714285721</v>
      </c>
      <c r="E77" s="78"/>
      <c r="F77" s="79"/>
      <c r="G77" s="78"/>
      <c r="H77" s="83"/>
      <c r="I77" s="14" t="s">
        <v>149</v>
      </c>
      <c r="J77" s="30">
        <f>(IF(B70&gt;1,(H70/(B70+2)+J76),0))</f>
        <v>0</v>
      </c>
    </row>
    <row r="78" spans="1:14" ht="15" customHeight="1" x14ac:dyDescent="0.3">
      <c r="A78" s="75" t="s">
        <v>138</v>
      </c>
      <c r="B78" s="73" t="s">
        <v>135</v>
      </c>
      <c r="C78" s="44">
        <v>5</v>
      </c>
      <c r="D78" s="19">
        <f ca="1">((100/(H70))*C78)/100</f>
        <v>0.7142857142857143</v>
      </c>
      <c r="E78" s="78"/>
      <c r="F78" s="79"/>
      <c r="G78" s="78"/>
      <c r="H78" s="83"/>
      <c r="I78" s="14" t="s">
        <v>146</v>
      </c>
      <c r="J78" s="30">
        <f>(IF(B70&gt;2,(H70/(B70+2)+J77),0))</f>
        <v>0</v>
      </c>
    </row>
    <row r="79" spans="1:14" ht="15.75" customHeight="1" x14ac:dyDescent="0.3">
      <c r="A79" s="75" t="s">
        <v>134</v>
      </c>
      <c r="B79" s="73" t="s">
        <v>134</v>
      </c>
      <c r="C79" s="44">
        <v>0</v>
      </c>
      <c r="D79" s="19">
        <f ca="1">((100/H70)*C79)/100</f>
        <v>0</v>
      </c>
      <c r="E79" s="78"/>
      <c r="F79" s="79"/>
      <c r="G79" s="78"/>
      <c r="H79" s="83"/>
      <c r="I79" s="14" t="s">
        <v>147</v>
      </c>
      <c r="J79" s="31">
        <f>(IF(B70&gt;3,(H70/(B70+2)+J78),0))</f>
        <v>0</v>
      </c>
    </row>
    <row r="80" spans="1:14" ht="15.75" customHeight="1" x14ac:dyDescent="0.3">
      <c r="A80" s="75" t="s">
        <v>141</v>
      </c>
      <c r="B80" s="73"/>
      <c r="C80" s="44">
        <v>0</v>
      </c>
      <c r="D80" s="19">
        <f ca="1">((100/H70)*C80)/100</f>
        <v>0</v>
      </c>
      <c r="E80" s="78"/>
      <c r="F80" s="79"/>
      <c r="G80" s="78"/>
      <c r="H80" s="83"/>
      <c r="I80" s="14" t="s">
        <v>148</v>
      </c>
      <c r="J80" s="30">
        <f>(IF(B70&gt;4,(H70/(B70+2)+J79),0))</f>
        <v>0</v>
      </c>
    </row>
    <row r="81" spans="1:10" ht="15.75" customHeight="1" x14ac:dyDescent="0.3">
      <c r="A81" s="75" t="s">
        <v>136</v>
      </c>
      <c r="B81" s="73" t="s">
        <v>136</v>
      </c>
      <c r="C81" s="44">
        <v>0</v>
      </c>
      <c r="D81" s="19">
        <f ca="1">((100/(H70))*C81)/100</f>
        <v>0</v>
      </c>
      <c r="E81" s="78"/>
      <c r="F81" s="79"/>
      <c r="G81" s="78"/>
      <c r="H81" s="83"/>
      <c r="I81" s="14" t="s">
        <v>150</v>
      </c>
      <c r="J81" s="30">
        <f ca="1">(IF(B70=1,(H70/(B70+3)+J76),IF(B70=0,(H70/4+J76),IF(B70&gt;1,0))))</f>
        <v>5.25</v>
      </c>
    </row>
    <row r="82" spans="1:10" ht="16.2" thickBot="1" x14ac:dyDescent="0.35">
      <c r="A82" s="85" t="s">
        <v>137</v>
      </c>
      <c r="B82" s="86"/>
      <c r="C82" s="45">
        <v>0</v>
      </c>
      <c r="D82" s="20">
        <f ca="1">((100/(H70))*C82)/100</f>
        <v>0</v>
      </c>
      <c r="E82" s="80"/>
      <c r="F82" s="81"/>
      <c r="G82" s="80"/>
      <c r="H82" s="84"/>
      <c r="I82" s="15" t="s">
        <v>106</v>
      </c>
      <c r="J82" s="32">
        <f ca="1">(IF(B70&gt;1.5,(H70/(B70+2)+J76+MAX(0,J77-J76)+MAX(0,J78-J77)+MAX(0,J79-J78)+MAX(0,J80-J79)+MAX(0,J81-J80)),IF(B70=1,(H70/(B70+3)+J81),IF(B70=0,H70/4+J81))))</f>
        <v>7</v>
      </c>
    </row>
    <row r="83" spans="1:10" ht="15.75" customHeight="1" x14ac:dyDescent="0.3">
      <c r="A83" s="92" t="s">
        <v>143</v>
      </c>
      <c r="B83" s="93"/>
      <c r="C83" s="94" t="s">
        <v>233</v>
      </c>
      <c r="D83" s="95"/>
      <c r="E83" s="95"/>
      <c r="F83" s="95"/>
      <c r="G83" s="95"/>
      <c r="H83" s="96"/>
      <c r="I83" s="50" t="str">
        <f ca="1">IF(D96=100%,"All work Completed. Possession granted to the Building.",IF(D95=100%,"All work Completed, Waiting for OC",I84&amp;""&amp;I85&amp;""&amp;J84&amp;""&amp;J83&amp;" "&amp;J85))</f>
        <v>Excavation, Plinth, RCC Slab, Brickwork Completed, Internal Plaster upto 6 Floor, External Plaster upto 5 Floor Completed</v>
      </c>
      <c r="J83" s="51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Internal Plaster upto 6 Floor, External Plaster upto 5 Floor</v>
      </c>
    </row>
    <row r="84" spans="1:10" x14ac:dyDescent="0.3">
      <c r="A84" s="16" t="s">
        <v>145</v>
      </c>
      <c r="B84" s="48">
        <f>IF(AND(ISNUMBER(SEARCH("1B",C83))),1,IF(AND(ISNUMBER(SEARCH("2B",C83))),2,IF(AND(ISNUMBER(SEARCH("3B",C83))),3,IF(AND(ISNUMBER(SEARCH("4B",C83))),4,IF(ISNUMBER(SEARCH("5B",C83)),5,0)))))</f>
        <v>0</v>
      </c>
      <c r="C84" s="48" t="s">
        <v>73</v>
      </c>
      <c r="D84" s="48">
        <v>1</v>
      </c>
      <c r="E84" s="48" t="s">
        <v>72</v>
      </c>
      <c r="F84" s="48">
        <v>0</v>
      </c>
      <c r="G84" s="49" t="s">
        <v>81</v>
      </c>
      <c r="H84" s="17">
        <f ca="1">--TRIM(RIGHT(SUBSTITUTE(LEFT(C83,_xlfn.AGGREGATE(16,6,FIND({0,1,2,3,4,5,6,7,8,9},C83,ROW(INDIRECT("1:"&amp;LEN(C83)))),1))," ",REPT(" ",LEN(C83))),LEN(C83)))</f>
        <v>7</v>
      </c>
      <c r="I84" s="52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Slab, Brickwork</v>
      </c>
      <c r="J84" s="53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2.25" customHeight="1" x14ac:dyDescent="0.3">
      <c r="A85" s="90" t="s">
        <v>91</v>
      </c>
      <c r="B85" s="91"/>
      <c r="C85" s="113" t="str">
        <f ca="1">(IF($G$53="NA",I83,"All work Completed. OC Received."))</f>
        <v>Excavation, Plinth, RCC Slab, Brickwork Completed, Internal Plaster upto 6 Floor, External Plaster upto 5 Floor Completed</v>
      </c>
      <c r="D85" s="113"/>
      <c r="E85" s="113"/>
      <c r="F85" s="113"/>
      <c r="G85" s="113"/>
      <c r="H85" s="114"/>
      <c r="I85" s="52" t="str">
        <f ca="1">IF(I84&lt;&gt;""," Completed","")</f>
        <v xml:space="preserve"> Completed</v>
      </c>
      <c r="J85" s="53" t="str">
        <f ca="1">IF(J83&lt;&gt;"","Completed","")</f>
        <v>Completed</v>
      </c>
    </row>
    <row r="86" spans="1:10" ht="15.75" customHeight="1" x14ac:dyDescent="0.3">
      <c r="A86" s="75" t="s">
        <v>50</v>
      </c>
      <c r="B86" s="73"/>
      <c r="C86" s="44" t="s">
        <v>142</v>
      </c>
      <c r="D86" s="44" t="s">
        <v>84</v>
      </c>
      <c r="E86" s="73" t="s">
        <v>86</v>
      </c>
      <c r="F86" s="73"/>
      <c r="G86" s="73" t="s">
        <v>85</v>
      </c>
      <c r="H86" s="74"/>
      <c r="I86" s="14" t="s">
        <v>144</v>
      </c>
      <c r="J86" s="28">
        <f ca="1">H84*25%</f>
        <v>1.75</v>
      </c>
    </row>
    <row r="87" spans="1:10" x14ac:dyDescent="0.3">
      <c r="A87" s="75" t="s">
        <v>131</v>
      </c>
      <c r="B87" s="73"/>
      <c r="C87" s="44">
        <f ca="1">J88</f>
        <v>7</v>
      </c>
      <c r="D87" s="19">
        <f ca="1">((100/H84)*C87)/100</f>
        <v>1</v>
      </c>
      <c r="E87" s="76">
        <f ca="1">(((C88/H84*10)+(40/(D84+F84+H84)*C89)+(7.5/(H84)*C90)+(7.5/(H84)*C91)+(10/H84*C92)+(10/H84*C93)+(5/H84*C94)+(5/H84*C95)+(5/H84*C96))/100)</f>
        <v>0.71071428571428574</v>
      </c>
      <c r="F87" s="77"/>
      <c r="G87" s="76">
        <f ca="1">((((C87/H84)*20)+((C88/H84)*25)+(30/(H84+F84+D84)*C89)+(5/H84*C90)+(5/H84*C91)+(5/H84*C92)+(5/H84*C93)+(0/H84*C94)+(0/H84*C95)+(5/H84*C96))/100)</f>
        <v>0.87857142857142856</v>
      </c>
      <c r="H87" s="82"/>
      <c r="I87" s="14" t="s">
        <v>102</v>
      </c>
      <c r="J87" s="29">
        <f ca="1">H84*50%</f>
        <v>3.5</v>
      </c>
    </row>
    <row r="88" spans="1:10" x14ac:dyDescent="0.3">
      <c r="A88" s="75" t="s">
        <v>51</v>
      </c>
      <c r="B88" s="73"/>
      <c r="C88" s="54">
        <f ca="1">J96</f>
        <v>7</v>
      </c>
      <c r="D88" s="19">
        <f ca="1">((100/H84)*C88)/100</f>
        <v>1</v>
      </c>
      <c r="E88" s="78"/>
      <c r="F88" s="79"/>
      <c r="G88" s="78"/>
      <c r="H88" s="83"/>
      <c r="I88" s="14" t="s">
        <v>103</v>
      </c>
      <c r="J88" s="29">
        <f ca="1">H84</f>
        <v>7</v>
      </c>
    </row>
    <row r="89" spans="1:10" ht="15.75" customHeight="1" x14ac:dyDescent="0.3">
      <c r="A89" s="75" t="s">
        <v>132</v>
      </c>
      <c r="B89" s="73"/>
      <c r="C89" s="44">
        <v>8</v>
      </c>
      <c r="D89" s="19">
        <f ca="1">((100/(D84+F84+H84))*C89)/100</f>
        <v>1</v>
      </c>
      <c r="E89" s="78"/>
      <c r="F89" s="79"/>
      <c r="G89" s="78"/>
      <c r="H89" s="83"/>
      <c r="I89" s="14" t="s">
        <v>104</v>
      </c>
      <c r="J89" s="30">
        <f ca="1">(IF(B84&gt;1,(H84/(B84+2)),H84/4))</f>
        <v>1.75</v>
      </c>
    </row>
    <row r="90" spans="1:10" ht="15.75" customHeight="1" x14ac:dyDescent="0.3">
      <c r="A90" s="75" t="s">
        <v>139</v>
      </c>
      <c r="B90" s="73" t="s">
        <v>133</v>
      </c>
      <c r="C90" s="44">
        <v>7</v>
      </c>
      <c r="D90" s="19">
        <f ca="1">((100/H84)*C90)/100</f>
        <v>1</v>
      </c>
      <c r="E90" s="78"/>
      <c r="F90" s="79"/>
      <c r="G90" s="78"/>
      <c r="H90" s="83"/>
      <c r="I90" s="14" t="s">
        <v>105</v>
      </c>
      <c r="J90" s="30">
        <f ca="1">(IF(B84&gt;1,(H84/(B84+2)+J89),H84/4+J89))</f>
        <v>3.5</v>
      </c>
    </row>
    <row r="91" spans="1:10" ht="15.75" customHeight="1" x14ac:dyDescent="0.3">
      <c r="A91" s="75" t="s">
        <v>140</v>
      </c>
      <c r="B91" s="73" t="s">
        <v>133</v>
      </c>
      <c r="C91" s="44">
        <v>6</v>
      </c>
      <c r="D91" s="19">
        <f ca="1">((100/H84)*C91)/100</f>
        <v>0.85714285714285721</v>
      </c>
      <c r="E91" s="78"/>
      <c r="F91" s="79"/>
      <c r="G91" s="78"/>
      <c r="H91" s="83"/>
      <c r="I91" s="14" t="s">
        <v>149</v>
      </c>
      <c r="J91" s="30">
        <f>(IF(B84&gt;1,(H84/(B84+2)+J90),0))</f>
        <v>0</v>
      </c>
    </row>
    <row r="92" spans="1:10" ht="15" customHeight="1" x14ac:dyDescent="0.3">
      <c r="A92" s="75" t="s">
        <v>138</v>
      </c>
      <c r="B92" s="73" t="s">
        <v>135</v>
      </c>
      <c r="C92" s="44">
        <v>5</v>
      </c>
      <c r="D92" s="19">
        <f ca="1">((100/(H84))*C92)/100</f>
        <v>0.7142857142857143</v>
      </c>
      <c r="E92" s="78"/>
      <c r="F92" s="79"/>
      <c r="G92" s="78"/>
      <c r="H92" s="83"/>
      <c r="I92" s="14" t="s">
        <v>146</v>
      </c>
      <c r="J92" s="30">
        <f>(IF(B84&gt;2,(H84/(B84+2)+J91),0))</f>
        <v>0</v>
      </c>
    </row>
    <row r="93" spans="1:10" ht="15.75" customHeight="1" x14ac:dyDescent="0.3">
      <c r="A93" s="75" t="s">
        <v>134</v>
      </c>
      <c r="B93" s="73" t="s">
        <v>134</v>
      </c>
      <c r="C93" s="44">
        <v>0</v>
      </c>
      <c r="D93" s="19">
        <f ca="1">((100/H84)*C93)/100</f>
        <v>0</v>
      </c>
      <c r="E93" s="78"/>
      <c r="F93" s="79"/>
      <c r="G93" s="78"/>
      <c r="H93" s="83"/>
      <c r="I93" s="14" t="s">
        <v>147</v>
      </c>
      <c r="J93" s="31">
        <f>(IF(B84&gt;3,(H84/(B84+2)+J92),0))</f>
        <v>0</v>
      </c>
    </row>
    <row r="94" spans="1:10" ht="15.75" customHeight="1" x14ac:dyDescent="0.3">
      <c r="A94" s="75" t="s">
        <v>141</v>
      </c>
      <c r="B94" s="73"/>
      <c r="C94" s="44">
        <v>0</v>
      </c>
      <c r="D94" s="19">
        <f ca="1">((100/H84)*C94)/100</f>
        <v>0</v>
      </c>
      <c r="E94" s="78"/>
      <c r="F94" s="79"/>
      <c r="G94" s="78"/>
      <c r="H94" s="83"/>
      <c r="I94" s="14" t="s">
        <v>148</v>
      </c>
      <c r="J94" s="30">
        <f>(IF(B84&gt;4,(H84/(B84+2)+J93),0))</f>
        <v>0</v>
      </c>
    </row>
    <row r="95" spans="1:10" ht="15.75" customHeight="1" x14ac:dyDescent="0.3">
      <c r="A95" s="75" t="s">
        <v>136</v>
      </c>
      <c r="B95" s="73" t="s">
        <v>136</v>
      </c>
      <c r="C95" s="44">
        <v>0</v>
      </c>
      <c r="D95" s="19">
        <f ca="1">((100/(H84))*C95)/100</f>
        <v>0</v>
      </c>
      <c r="E95" s="78"/>
      <c r="F95" s="79"/>
      <c r="G95" s="78"/>
      <c r="H95" s="83"/>
      <c r="I95" s="14" t="s">
        <v>150</v>
      </c>
      <c r="J95" s="30">
        <f ca="1">(IF(B84=1,(H84/(B84+3)+J90),IF(B84=0,(H84/4+J90),IF(B84&gt;1,0))))</f>
        <v>5.25</v>
      </c>
    </row>
    <row r="96" spans="1:10" ht="16.2" thickBot="1" x14ac:dyDescent="0.35">
      <c r="A96" s="85" t="s">
        <v>137</v>
      </c>
      <c r="B96" s="86"/>
      <c r="C96" s="45">
        <v>0</v>
      </c>
      <c r="D96" s="20">
        <f ca="1">((100/(H84))*C96)/100</f>
        <v>0</v>
      </c>
      <c r="E96" s="80"/>
      <c r="F96" s="81"/>
      <c r="G96" s="80"/>
      <c r="H96" s="84"/>
      <c r="I96" s="15" t="s">
        <v>106</v>
      </c>
      <c r="J96" s="32">
        <f ca="1">(IF(B84&gt;1.5,(H84/(B84+2)+J90+MAX(0,J91-J90)+MAX(0,J92-J91)+MAX(0,J93-J92)+MAX(0,J94-J93)+MAX(0,J95-J94)),IF(B84=1,(H84/(B84+3)+J95),IF(B84=0,H84/4+J95))))</f>
        <v>7</v>
      </c>
    </row>
    <row r="97" spans="1:10" ht="15.75" hidden="1" customHeight="1" x14ac:dyDescent="0.3">
      <c r="A97" s="92" t="s">
        <v>143</v>
      </c>
      <c r="B97" s="93"/>
      <c r="C97" s="94" t="str">
        <f>D60</f>
        <v>Building No.1 (C Wing) = G + 1st to 7th Floor</v>
      </c>
      <c r="D97" s="95"/>
      <c r="E97" s="95"/>
      <c r="F97" s="95"/>
      <c r="G97" s="95"/>
      <c r="H97" s="96"/>
      <c r="I97" s="50" t="str">
        <f ca="1">IF(D110=100%,"All work Completed. Possession granted to the Building.",IF(D109=100%,"All work Completed, Waiting for OC",I98&amp;""&amp;I99&amp;""&amp;J98&amp;""&amp;J97&amp;" "&amp;J99))</f>
        <v>Excavation, Plinth, RCC Slab Completed, Brickwork upto 6 Floor Completed</v>
      </c>
      <c r="J97" s="51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Brickwork upto 6 Floor</v>
      </c>
    </row>
    <row r="98" spans="1:10" hidden="1" x14ac:dyDescent="0.3">
      <c r="A98" s="16" t="s">
        <v>145</v>
      </c>
      <c r="B98" s="48">
        <f>IF(AND(ISNUMBER(SEARCH("1B",C97))),1,IF(AND(ISNUMBER(SEARCH("2B",C97))),2,IF(AND(ISNUMBER(SEARCH("3B",C97))),3,IF(AND(ISNUMBER(SEARCH("4B",C97))),4,IF(ISNUMBER(SEARCH("5B",C97)),5,0)))))</f>
        <v>0</v>
      </c>
      <c r="C98" s="48" t="s">
        <v>73</v>
      </c>
      <c r="D98" s="48">
        <v>1</v>
      </c>
      <c r="E98" s="48" t="s">
        <v>72</v>
      </c>
      <c r="F98" s="48">
        <v>0</v>
      </c>
      <c r="G98" s="49" t="s">
        <v>81</v>
      </c>
      <c r="H98" s="17">
        <f ca="1">--TRIM(RIGHT(SUBSTITUTE(LEFT(C97,_xlfn.AGGREGATE(16,6,FIND({0,1,2,3,4,5,6,7,8,9},C97,ROW(INDIRECT("1:"&amp;LEN(C97)))),1))," ",REPT(" ",LEN(C97))),LEN(C97)))</f>
        <v>7</v>
      </c>
      <c r="I98" s="52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</v>
      </c>
      <c r="J98" s="53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hidden="1" x14ac:dyDescent="0.3">
      <c r="A99" s="90" t="s">
        <v>91</v>
      </c>
      <c r="B99" s="91"/>
      <c r="C99" s="113" t="str">
        <f ca="1">(IF($G$53="NA",I97,"All work Completed. OC Received."))</f>
        <v>Excavation, Plinth, RCC Slab Completed, Brickwork upto 6 Floor Completed</v>
      </c>
      <c r="D99" s="113"/>
      <c r="E99" s="113"/>
      <c r="F99" s="113"/>
      <c r="G99" s="113"/>
      <c r="H99" s="114"/>
      <c r="I99" s="52" t="str">
        <f ca="1">IF(I98&lt;&gt;""," Completed","")</f>
        <v xml:space="preserve"> Completed</v>
      </c>
      <c r="J99" s="53" t="str">
        <f ca="1">IF(J97&lt;&gt;"","Completed","")</f>
        <v>Completed</v>
      </c>
    </row>
    <row r="100" spans="1:10" ht="15.75" hidden="1" customHeight="1" x14ac:dyDescent="0.3">
      <c r="A100" s="75" t="s">
        <v>50</v>
      </c>
      <c r="B100" s="73"/>
      <c r="C100" s="44" t="s">
        <v>142</v>
      </c>
      <c r="D100" s="44" t="s">
        <v>84</v>
      </c>
      <c r="E100" s="73" t="s">
        <v>86</v>
      </c>
      <c r="F100" s="73"/>
      <c r="G100" s="73" t="s">
        <v>85</v>
      </c>
      <c r="H100" s="74"/>
      <c r="I100" s="14" t="s">
        <v>144</v>
      </c>
      <c r="J100" s="28">
        <f ca="1">H98*25%</f>
        <v>1.75</v>
      </c>
    </row>
    <row r="101" spans="1:10" hidden="1" x14ac:dyDescent="0.3">
      <c r="A101" s="75" t="s">
        <v>131</v>
      </c>
      <c r="B101" s="73"/>
      <c r="C101" s="44">
        <f ca="1">J102</f>
        <v>7</v>
      </c>
      <c r="D101" s="19">
        <f ca="1">((100/H98)*C101)/100</f>
        <v>1</v>
      </c>
      <c r="E101" s="76">
        <f ca="1">(((C102/H98*10)+(40/(D98+F98+H98)*C103)+(7.5/(H98)*C104)+(7.5/(H98)*C105)+(10/H98*C106)+(10/H98*C107)+(5/H98*C108)+(5/H98*C109)+(5/H98*C110))/100)</f>
        <v>0.56428571428571428</v>
      </c>
      <c r="F101" s="77"/>
      <c r="G101" s="76">
        <f ca="1">((((C101/H98)*20)+((C102/H98)*25)+(30/(H98+F98+D98)*C103)+(5/H98*C104)+(5/H98*C105)+(5/H98*C106)+(5/H98*C107)+(0/H98*C108)+(0/H98*C109)+(5/H98*C110))/100)</f>
        <v>0.79285714285714293</v>
      </c>
      <c r="H101" s="82"/>
      <c r="I101" s="14" t="s">
        <v>102</v>
      </c>
      <c r="J101" s="29">
        <f ca="1">H98*50%</f>
        <v>3.5</v>
      </c>
    </row>
    <row r="102" spans="1:10" hidden="1" x14ac:dyDescent="0.3">
      <c r="A102" s="75" t="s">
        <v>51</v>
      </c>
      <c r="B102" s="73"/>
      <c r="C102" s="44">
        <f ca="1">J110</f>
        <v>7</v>
      </c>
      <c r="D102" s="19">
        <f ca="1">((100/H98)*C102)/100</f>
        <v>1</v>
      </c>
      <c r="E102" s="78"/>
      <c r="F102" s="79"/>
      <c r="G102" s="78"/>
      <c r="H102" s="83"/>
      <c r="I102" s="14" t="s">
        <v>103</v>
      </c>
      <c r="J102" s="29">
        <f ca="1">H98</f>
        <v>7</v>
      </c>
    </row>
    <row r="103" spans="1:10" ht="15.75" hidden="1" customHeight="1" x14ac:dyDescent="0.3">
      <c r="A103" s="75" t="s">
        <v>132</v>
      </c>
      <c r="B103" s="73"/>
      <c r="C103" s="44">
        <v>8</v>
      </c>
      <c r="D103" s="19">
        <f ca="1">((100/(D98+F98+H98))*C103)/100</f>
        <v>1</v>
      </c>
      <c r="E103" s="78"/>
      <c r="F103" s="79"/>
      <c r="G103" s="78"/>
      <c r="H103" s="83"/>
      <c r="I103" s="14" t="s">
        <v>104</v>
      </c>
      <c r="J103" s="30">
        <f ca="1">(IF(B98&gt;1,(H98/(B98+2)),H98/4))</f>
        <v>1.75</v>
      </c>
    </row>
    <row r="104" spans="1:10" ht="15.75" hidden="1" customHeight="1" x14ac:dyDescent="0.3">
      <c r="A104" s="75" t="s">
        <v>139</v>
      </c>
      <c r="B104" s="73" t="s">
        <v>133</v>
      </c>
      <c r="C104" s="44">
        <v>6</v>
      </c>
      <c r="D104" s="19">
        <f ca="1">((100/H98)*C104)/100</f>
        <v>0.85714285714285721</v>
      </c>
      <c r="E104" s="78"/>
      <c r="F104" s="79"/>
      <c r="G104" s="78"/>
      <c r="H104" s="83"/>
      <c r="I104" s="14" t="s">
        <v>105</v>
      </c>
      <c r="J104" s="30">
        <f ca="1">(IF(B98&gt;1,(H98/(B98+2)+J103),H98/4+J103))</f>
        <v>3.5</v>
      </c>
    </row>
    <row r="105" spans="1:10" ht="15.75" hidden="1" customHeight="1" x14ac:dyDescent="0.3">
      <c r="A105" s="75" t="s">
        <v>140</v>
      </c>
      <c r="B105" s="73" t="s">
        <v>133</v>
      </c>
      <c r="C105" s="44">
        <v>0</v>
      </c>
      <c r="D105" s="19">
        <f ca="1">((100/H98)*C105)/100</f>
        <v>0</v>
      </c>
      <c r="E105" s="78"/>
      <c r="F105" s="79"/>
      <c r="G105" s="78"/>
      <c r="H105" s="83"/>
      <c r="I105" s="14" t="s">
        <v>149</v>
      </c>
      <c r="J105" s="30">
        <f>(IF(B98&gt;1,(H98/(B98+2)+J104),0))</f>
        <v>0</v>
      </c>
    </row>
    <row r="106" spans="1:10" ht="15" hidden="1" customHeight="1" x14ac:dyDescent="0.3">
      <c r="A106" s="75" t="s">
        <v>138</v>
      </c>
      <c r="B106" s="73" t="s">
        <v>135</v>
      </c>
      <c r="C106" s="44">
        <v>0</v>
      </c>
      <c r="D106" s="19">
        <f ca="1">((100/(H98))*C106)/100</f>
        <v>0</v>
      </c>
      <c r="E106" s="78"/>
      <c r="F106" s="79"/>
      <c r="G106" s="78"/>
      <c r="H106" s="83"/>
      <c r="I106" s="14" t="s">
        <v>146</v>
      </c>
      <c r="J106" s="30">
        <f>(IF(B98&gt;2,(H98/(B98+2)+J105),0))</f>
        <v>0</v>
      </c>
    </row>
    <row r="107" spans="1:10" ht="15.75" hidden="1" customHeight="1" x14ac:dyDescent="0.3">
      <c r="A107" s="75" t="s">
        <v>134</v>
      </c>
      <c r="B107" s="73" t="s">
        <v>134</v>
      </c>
      <c r="C107" s="44">
        <v>0</v>
      </c>
      <c r="D107" s="19">
        <f ca="1">((100/H98)*C107)/100</f>
        <v>0</v>
      </c>
      <c r="E107" s="78"/>
      <c r="F107" s="79"/>
      <c r="G107" s="78"/>
      <c r="H107" s="83"/>
      <c r="I107" s="14" t="s">
        <v>147</v>
      </c>
      <c r="J107" s="31">
        <f>(IF(B98&gt;3,(H98/(B98+2)+J106),0))</f>
        <v>0</v>
      </c>
    </row>
    <row r="108" spans="1:10" ht="15.75" hidden="1" customHeight="1" x14ac:dyDescent="0.3">
      <c r="A108" s="75" t="s">
        <v>141</v>
      </c>
      <c r="B108" s="73"/>
      <c r="C108" s="44">
        <v>0</v>
      </c>
      <c r="D108" s="19">
        <f ca="1">((100/H98)*C108)/100</f>
        <v>0</v>
      </c>
      <c r="E108" s="78"/>
      <c r="F108" s="79"/>
      <c r="G108" s="78"/>
      <c r="H108" s="83"/>
      <c r="I108" s="14" t="s">
        <v>148</v>
      </c>
      <c r="J108" s="30">
        <f>(IF(B98&gt;4,(H98/(B98+2)+J107),0))</f>
        <v>0</v>
      </c>
    </row>
    <row r="109" spans="1:10" ht="15.75" hidden="1" customHeight="1" x14ac:dyDescent="0.3">
      <c r="A109" s="75" t="s">
        <v>136</v>
      </c>
      <c r="B109" s="73" t="s">
        <v>136</v>
      </c>
      <c r="C109" s="44">
        <v>0</v>
      </c>
      <c r="D109" s="19">
        <f ca="1">((100/(H98))*C109)/100</f>
        <v>0</v>
      </c>
      <c r="E109" s="78"/>
      <c r="F109" s="79"/>
      <c r="G109" s="78"/>
      <c r="H109" s="83"/>
      <c r="I109" s="14" t="s">
        <v>150</v>
      </c>
      <c r="J109" s="30">
        <f ca="1">(IF(B98=1,(H98/(B98+3)+J104),IF(B98=0,(H98/4+J104),IF(B98&gt;1,0))))</f>
        <v>5.25</v>
      </c>
    </row>
    <row r="110" spans="1:10" ht="16.2" hidden="1" thickBot="1" x14ac:dyDescent="0.35">
      <c r="A110" s="85" t="s">
        <v>137</v>
      </c>
      <c r="B110" s="86"/>
      <c r="C110" s="45">
        <v>0</v>
      </c>
      <c r="D110" s="20">
        <f ca="1">((100/(H98))*C110)/100</f>
        <v>0</v>
      </c>
      <c r="E110" s="80"/>
      <c r="F110" s="81"/>
      <c r="G110" s="80"/>
      <c r="H110" s="84"/>
      <c r="I110" s="15" t="s">
        <v>106</v>
      </c>
      <c r="J110" s="32">
        <f ca="1">(IF(B98&gt;1.5,(H98/(B98+2)+J104+MAX(0,J105-J104)+MAX(0,J106-J105)+MAX(0,J107-J106)+MAX(0,J108-J107)+MAX(0,J109-J108)),IF(B98=1,(H98/(B98+3)+J109),IF(B98=0,H98/4+J109))))</f>
        <v>7</v>
      </c>
    </row>
    <row r="111" spans="1:10" ht="15.75" customHeight="1" x14ac:dyDescent="0.3">
      <c r="A111" s="92" t="s">
        <v>143</v>
      </c>
      <c r="B111" s="93"/>
      <c r="C111" s="94" t="str">
        <f>D61</f>
        <v>Building No.1 (D &amp; E Wing) = G + 1st to 7th Floor</v>
      </c>
      <c r="D111" s="95"/>
      <c r="E111" s="95"/>
      <c r="F111" s="95"/>
      <c r="G111" s="95"/>
      <c r="H111" s="96"/>
      <c r="I111" s="50" t="str">
        <f ca="1">IF(D124=100%,"All work Completed. Possession granted to the Building.",IF(D123=100%,"All work Completed, Waiting for OC",I112&amp;""&amp;I113&amp;""&amp;J112&amp;""&amp;J111&amp;" "&amp;J113))</f>
        <v>Excavation, Plinth, RCC Slab, Brickwork, Internal Plaster, External Plaster Completed, Flooring upto 4 Floor, Painting upto 3 Floor Completed</v>
      </c>
      <c r="J111" s="51" t="str">
        <f ca="1">(IF(C117=(D112+F112+H112),"",IF(C117&gt;0,", RCC upto "&amp;C117&amp;" Slab","")))&amp;(IF(C118=H112,"",IF(C118&gt;0,", Brickwork upto "&amp;C118&amp;" Floor","")))&amp;(IF(C119=H112,"",IF(C119&gt;0,", Internal Plaster upto "&amp;C119&amp;" Floor","")))&amp;(IF(C120=H112,"",IF(C120&gt;0,", External Plaster upto "&amp;C120&amp;" Floor","")))&amp;(IF(C121=H112,"",IF(C121&gt;0,", Flooring upto "&amp;C121&amp;" Floor","")))&amp;(IF(C122=H112,"",IF(C122&gt;0,", Painting upto "&amp;C122&amp;" Floor","")))&amp;(IF(C123=H112,"",IF(C123&gt;0,", Finishing upto "&amp;C123&amp;" Floor","")))&amp;(IF(C124=H112,"",IF(C124&gt;0,", Possession upto "&amp;C124&amp;" Floor","")))</f>
        <v>, Flooring upto 4 Floor, Painting upto 3 Floor</v>
      </c>
    </row>
    <row r="112" spans="1:10" x14ac:dyDescent="0.3">
      <c r="A112" s="16" t="s">
        <v>145</v>
      </c>
      <c r="B112" s="48">
        <f>IF(AND(ISNUMBER(SEARCH("1B",C111))),1,IF(AND(ISNUMBER(SEARCH("2B",C111))),2,IF(AND(ISNUMBER(SEARCH("3B",C111))),3,IF(AND(ISNUMBER(SEARCH("4B",C111))),4,IF(ISNUMBER(SEARCH("5B",C111)),5,0)))))</f>
        <v>0</v>
      </c>
      <c r="C112" s="48" t="s">
        <v>73</v>
      </c>
      <c r="D112" s="48">
        <v>1</v>
      </c>
      <c r="E112" s="48" t="s">
        <v>72</v>
      </c>
      <c r="F112" s="48">
        <v>0</v>
      </c>
      <c r="G112" s="49" t="s">
        <v>81</v>
      </c>
      <c r="H112" s="17">
        <f ca="1">--TRIM(RIGHT(SUBSTITUTE(LEFT(C111,_xlfn.AGGREGATE(16,6,FIND({0,1,2,3,4,5,6,7,8,9},C111,ROW(INDIRECT("1:"&amp;LEN(C111)))),1))," ",REPT(" ",LEN(C111))),LEN(C111)))</f>
        <v>7</v>
      </c>
      <c r="I112" s="52" t="str">
        <f ca="1">IF(D115=100%,"Excavation","")&amp;IF(D116=100%,", Plinth","")&amp;IF(D117=100%,", RCC Slab","")&amp;IF(D118=100%,", Brickwork","")&amp;IF(D119=100%,", Internal Plaster","")&amp;IF(D120=100%,", External Plaster","")&amp;IF(D121=100%,", Flooring","")&amp;IF(D122=100%,", Painting","")&amp;IF(D123=100%,", Building common Amenities","")</f>
        <v>Excavation, Plinth, RCC Slab, Brickwork, Internal Plaster, External Plaster</v>
      </c>
      <c r="J112" s="53" t="str">
        <f ca="1">(IF(C115=0,"Work not yet Started.",IF(D115=25%,"Piling work in process",IF(D115=50%,"Excavation work in process",IF(D115=100%,"","0")))))&amp;(IF(C116=0%,"",IF(C116=J117,", Footing work is process",IF(C116=J118,", Footing work Completed",IF(C116=J119,", 1st Basement Completed",IF(C116=J120,", 1st &amp; 2nd Basement Completed",IF(C116=J121,", 1st to 3rd Basement Completed",IF(C116=J122,", 1st to 4th Basement Completed",IF(C116=J123,", Plinth work is process",IF(C116=J124,"","0"))))))))))</f>
        <v/>
      </c>
    </row>
    <row r="113" spans="1:13" ht="33" customHeight="1" x14ac:dyDescent="0.3">
      <c r="A113" s="90" t="s">
        <v>91</v>
      </c>
      <c r="B113" s="91"/>
      <c r="C113" s="113" t="str">
        <f ca="1">(IF($G$53="NA",I111,"All work Completed. OC Received."))</f>
        <v>Excavation, Plinth, RCC Slab, Brickwork, Internal Plaster, External Plaster Completed, Flooring upto 4 Floor, Painting upto 3 Floor Completed</v>
      </c>
      <c r="D113" s="113"/>
      <c r="E113" s="113"/>
      <c r="F113" s="113"/>
      <c r="G113" s="113"/>
      <c r="H113" s="114"/>
      <c r="I113" s="52" t="str">
        <f ca="1">IF(I112&lt;&gt;""," Completed","")</f>
        <v xml:space="preserve"> Completed</v>
      </c>
      <c r="J113" s="53" t="str">
        <f ca="1">IF(J111&lt;&gt;"","Completed","")</f>
        <v>Completed</v>
      </c>
    </row>
    <row r="114" spans="1:13" ht="15.75" customHeight="1" x14ac:dyDescent="0.3">
      <c r="A114" s="75" t="s">
        <v>50</v>
      </c>
      <c r="B114" s="73"/>
      <c r="C114" s="44" t="s">
        <v>142</v>
      </c>
      <c r="D114" s="44" t="s">
        <v>84</v>
      </c>
      <c r="E114" s="73" t="s">
        <v>86</v>
      </c>
      <c r="F114" s="73"/>
      <c r="G114" s="73" t="s">
        <v>85</v>
      </c>
      <c r="H114" s="74"/>
      <c r="I114" s="14" t="s">
        <v>144</v>
      </c>
      <c r="J114" s="28">
        <f ca="1">H112*25%</f>
        <v>1.75</v>
      </c>
    </row>
    <row r="115" spans="1:13" x14ac:dyDescent="0.3">
      <c r="A115" s="75" t="s">
        <v>131</v>
      </c>
      <c r="B115" s="73"/>
      <c r="C115" s="44">
        <f ca="1">J116</f>
        <v>7</v>
      </c>
      <c r="D115" s="19">
        <f ca="1">((100/H112)*C115)/100</f>
        <v>1</v>
      </c>
      <c r="E115" s="76">
        <f ca="1">(((C116/H112*10)+(40/(D112+F112+H112)*C117)+(7.5/(H112)*C118)+(7.5/(H112)*C119)+(10/H112*C120)+(10/H112*C121)+(5/H112*C122)+(5/H112*C123)+(5/H112*C124))/100)</f>
        <v>0.82857142857142851</v>
      </c>
      <c r="F115" s="77"/>
      <c r="G115" s="76">
        <f ca="1">((((C115/H112)*20)+((C116/H112)*25)+(30/(H112+F112+D112)*C117)+(5/H112*C118)+(5/H112*C119)+(5/H112*C120)+(5/H112*C121)+(0/H112*C122)+(0/H112*C123)+(5/H112*C124))/100)</f>
        <v>0.9285714285714286</v>
      </c>
      <c r="H115" s="82"/>
      <c r="I115" s="14" t="s">
        <v>102</v>
      </c>
      <c r="J115" s="29">
        <f ca="1">H112*50%</f>
        <v>3.5</v>
      </c>
    </row>
    <row r="116" spans="1:13" x14ac:dyDescent="0.3">
      <c r="A116" s="75" t="s">
        <v>51</v>
      </c>
      <c r="B116" s="73"/>
      <c r="C116" s="44">
        <f ca="1">J124</f>
        <v>7</v>
      </c>
      <c r="D116" s="19">
        <f ca="1">((100/H112)*C116)/100</f>
        <v>1</v>
      </c>
      <c r="E116" s="78"/>
      <c r="F116" s="79"/>
      <c r="G116" s="78"/>
      <c r="H116" s="83"/>
      <c r="I116" s="14" t="s">
        <v>103</v>
      </c>
      <c r="J116" s="29">
        <f ca="1">H112</f>
        <v>7</v>
      </c>
    </row>
    <row r="117" spans="1:13" ht="15.75" customHeight="1" x14ac:dyDescent="0.3">
      <c r="A117" s="75" t="s">
        <v>132</v>
      </c>
      <c r="B117" s="73"/>
      <c r="C117" s="44">
        <v>8</v>
      </c>
      <c r="D117" s="19">
        <f ca="1">((100/(D112+F112+H112))*C117)/100</f>
        <v>1</v>
      </c>
      <c r="E117" s="78"/>
      <c r="F117" s="79"/>
      <c r="G117" s="78"/>
      <c r="H117" s="83"/>
      <c r="I117" s="14" t="s">
        <v>104</v>
      </c>
      <c r="J117" s="30">
        <f ca="1">(IF(B112&gt;1,(H112/(B112+2)),H112/4))</f>
        <v>1.75</v>
      </c>
    </row>
    <row r="118" spans="1:13" ht="15.75" customHeight="1" x14ac:dyDescent="0.3">
      <c r="A118" s="75" t="s">
        <v>139</v>
      </c>
      <c r="B118" s="73" t="s">
        <v>133</v>
      </c>
      <c r="C118" s="44">
        <v>7</v>
      </c>
      <c r="D118" s="19">
        <f ca="1">((100/H112)*C118)/100</f>
        <v>1</v>
      </c>
      <c r="E118" s="78"/>
      <c r="F118" s="79"/>
      <c r="G118" s="78"/>
      <c r="H118" s="83"/>
      <c r="I118" s="14" t="s">
        <v>105</v>
      </c>
      <c r="J118" s="30">
        <f ca="1">(IF(B112&gt;1,(H112/(B112+2)+J117),H112/4+J117))</f>
        <v>3.5</v>
      </c>
    </row>
    <row r="119" spans="1:13" ht="15.75" customHeight="1" x14ac:dyDescent="0.3">
      <c r="A119" s="75" t="s">
        <v>140</v>
      </c>
      <c r="B119" s="73" t="s">
        <v>133</v>
      </c>
      <c r="C119" s="44">
        <v>7</v>
      </c>
      <c r="D119" s="19">
        <f ca="1">((100/H112)*C119)/100</f>
        <v>1</v>
      </c>
      <c r="E119" s="78"/>
      <c r="F119" s="79"/>
      <c r="G119" s="78"/>
      <c r="H119" s="83"/>
      <c r="I119" s="14" t="s">
        <v>149</v>
      </c>
      <c r="J119" s="30">
        <f>(IF(B112&gt;1,(H112/(B112+2)+J118),0))</f>
        <v>0</v>
      </c>
    </row>
    <row r="120" spans="1:13" ht="15" customHeight="1" x14ac:dyDescent="0.3">
      <c r="A120" s="75" t="s">
        <v>138</v>
      </c>
      <c r="B120" s="73" t="s">
        <v>135</v>
      </c>
      <c r="C120" s="44">
        <v>7</v>
      </c>
      <c r="D120" s="19">
        <f ca="1">((100/(H112))*C120)/100</f>
        <v>1</v>
      </c>
      <c r="E120" s="78"/>
      <c r="F120" s="79"/>
      <c r="G120" s="78"/>
      <c r="H120" s="83"/>
      <c r="I120" s="14" t="s">
        <v>146</v>
      </c>
      <c r="J120" s="30">
        <f>(IF(B112&gt;2,(H112/(B112+2)+J119),0))</f>
        <v>0</v>
      </c>
    </row>
    <row r="121" spans="1:13" ht="15.75" customHeight="1" x14ac:dyDescent="0.3">
      <c r="A121" s="75" t="s">
        <v>134</v>
      </c>
      <c r="B121" s="73" t="s">
        <v>134</v>
      </c>
      <c r="C121" s="44">
        <v>4</v>
      </c>
      <c r="D121" s="19">
        <f ca="1">((100/H112)*C121)/100</f>
        <v>0.57142857142857151</v>
      </c>
      <c r="E121" s="78"/>
      <c r="F121" s="79"/>
      <c r="G121" s="78"/>
      <c r="H121" s="83"/>
      <c r="I121" s="14" t="s">
        <v>147</v>
      </c>
      <c r="J121" s="31">
        <f>(IF(B112&gt;3,(H112/(B112+2)+J120),0))</f>
        <v>0</v>
      </c>
    </row>
    <row r="122" spans="1:13" ht="15.75" customHeight="1" x14ac:dyDescent="0.3">
      <c r="A122" s="75" t="s">
        <v>141</v>
      </c>
      <c r="B122" s="73"/>
      <c r="C122" s="44">
        <v>3</v>
      </c>
      <c r="D122" s="19">
        <f ca="1">((100/H112)*C122)/100</f>
        <v>0.4285714285714286</v>
      </c>
      <c r="E122" s="78"/>
      <c r="F122" s="79"/>
      <c r="G122" s="78"/>
      <c r="H122" s="83"/>
      <c r="I122" s="14" t="s">
        <v>148</v>
      </c>
      <c r="J122" s="30">
        <f>(IF(B112&gt;4,(H112/(B112+2)+J121),0))</f>
        <v>0</v>
      </c>
    </row>
    <row r="123" spans="1:13" ht="15.75" customHeight="1" x14ac:dyDescent="0.3">
      <c r="A123" s="75" t="s">
        <v>136</v>
      </c>
      <c r="B123" s="73" t="s">
        <v>136</v>
      </c>
      <c r="C123" s="44">
        <v>0</v>
      </c>
      <c r="D123" s="19">
        <f ca="1">((100/(H112))*C123)/100</f>
        <v>0</v>
      </c>
      <c r="E123" s="78"/>
      <c r="F123" s="79"/>
      <c r="G123" s="78"/>
      <c r="H123" s="83"/>
      <c r="I123" s="14" t="s">
        <v>150</v>
      </c>
      <c r="J123" s="30">
        <f ca="1">(IF(B112=1,(H112/(B112+3)+J118),IF(B112=0,(H112/4+J118),IF(B112&gt;1,0))))</f>
        <v>5.25</v>
      </c>
    </row>
    <row r="124" spans="1:13" ht="16.2" thickBot="1" x14ac:dyDescent="0.35">
      <c r="A124" s="85" t="s">
        <v>137</v>
      </c>
      <c r="B124" s="86"/>
      <c r="C124" s="45">
        <v>0</v>
      </c>
      <c r="D124" s="20">
        <f ca="1">((100/(H112))*C124)/100</f>
        <v>0</v>
      </c>
      <c r="E124" s="80"/>
      <c r="F124" s="81"/>
      <c r="G124" s="80"/>
      <c r="H124" s="84"/>
      <c r="I124" s="15" t="s">
        <v>106</v>
      </c>
      <c r="J124" s="32">
        <f ca="1">(IF(B112&gt;1.5,(H112/(B112+2)+J118+MAX(0,J119-J118)+MAX(0,J120-J119)+MAX(0,J121-J120)+MAX(0,J122-J121)+MAX(0,J123-J122)),IF(B112=1,(H112/(B112+3)+J123),IF(B112=0,H112/4+J123))))</f>
        <v>7</v>
      </c>
    </row>
    <row r="125" spans="1:13" ht="15.6" customHeight="1" x14ac:dyDescent="0.3">
      <c r="A125" s="193" t="s">
        <v>160</v>
      </c>
      <c r="B125" s="193"/>
      <c r="C125" s="193"/>
      <c r="D125" s="193"/>
      <c r="E125" s="193"/>
      <c r="F125" s="155" t="s">
        <v>165</v>
      </c>
      <c r="G125" s="155"/>
      <c r="H125" s="155"/>
    </row>
    <row r="126" spans="1:13" x14ac:dyDescent="0.3">
      <c r="A126" s="98" t="s">
        <v>163</v>
      </c>
      <c r="B126" s="98"/>
      <c r="C126" s="98"/>
      <c r="D126" s="98"/>
      <c r="E126" s="98"/>
      <c r="F126" s="110">
        <v>5500</v>
      </c>
      <c r="G126" s="110"/>
      <c r="H126" s="110"/>
      <c r="I126" s="57" t="s">
        <v>227</v>
      </c>
      <c r="J126" s="57"/>
      <c r="K126" s="57" t="s">
        <v>228</v>
      </c>
      <c r="L126" s="57" t="s">
        <v>229</v>
      </c>
      <c r="M126" s="58">
        <v>45349</v>
      </c>
    </row>
    <row r="127" spans="1:13" ht="15.6" customHeight="1" x14ac:dyDescent="0.3">
      <c r="A127" s="98" t="s">
        <v>162</v>
      </c>
      <c r="B127" s="98"/>
      <c r="C127" s="98"/>
      <c r="D127" s="98"/>
      <c r="E127" s="98"/>
      <c r="F127" s="110">
        <v>9000</v>
      </c>
      <c r="G127" s="110"/>
      <c r="H127" s="110"/>
      <c r="I127" s="59" t="s">
        <v>230</v>
      </c>
      <c r="J127" s="59"/>
      <c r="K127" s="59" t="s">
        <v>228</v>
      </c>
      <c r="L127" s="59" t="s">
        <v>229</v>
      </c>
      <c r="M127" s="60">
        <v>45371</v>
      </c>
    </row>
    <row r="128" spans="1:13" ht="15.6" hidden="1" customHeight="1" x14ac:dyDescent="0.3">
      <c r="A128" s="98" t="s">
        <v>164</v>
      </c>
      <c r="B128" s="98"/>
      <c r="C128" s="98"/>
      <c r="D128" s="98"/>
      <c r="E128" s="98"/>
      <c r="F128" s="110"/>
      <c r="G128" s="110"/>
      <c r="H128" s="110"/>
    </row>
    <row r="129" spans="1:8" s="33" customFormat="1" ht="15.6" hidden="1" customHeight="1" x14ac:dyDescent="0.25">
      <c r="A129" s="98" t="s">
        <v>161</v>
      </c>
      <c r="B129" s="98"/>
      <c r="C129" s="98"/>
      <c r="D129" s="98"/>
      <c r="E129" s="98"/>
      <c r="F129" s="110"/>
      <c r="G129" s="110"/>
      <c r="H129" s="110"/>
    </row>
    <row r="130" spans="1:8" s="33" customFormat="1" x14ac:dyDescent="0.25">
      <c r="A130" s="98" t="s">
        <v>96</v>
      </c>
      <c r="B130" s="98"/>
      <c r="C130" s="98"/>
      <c r="D130" s="98"/>
      <c r="E130" s="98"/>
      <c r="F130" s="110">
        <v>150000</v>
      </c>
      <c r="G130" s="110"/>
      <c r="H130" s="110"/>
    </row>
    <row r="131" spans="1:8" s="33" customFormat="1" ht="15.6" hidden="1" customHeight="1" x14ac:dyDescent="0.25">
      <c r="A131" s="98" t="s">
        <v>97</v>
      </c>
      <c r="B131" s="98"/>
      <c r="C131" s="98"/>
      <c r="D131" s="98"/>
      <c r="E131" s="98"/>
      <c r="F131" s="110"/>
      <c r="G131" s="110"/>
      <c r="H131" s="110"/>
    </row>
    <row r="132" spans="1:8" s="33" customFormat="1" ht="15.6" hidden="1" customHeight="1" x14ac:dyDescent="0.25">
      <c r="A132" s="98" t="s">
        <v>166</v>
      </c>
      <c r="B132" s="98"/>
      <c r="C132" s="98"/>
      <c r="D132" s="98"/>
      <c r="E132" s="98"/>
      <c r="F132" s="110"/>
      <c r="G132" s="110"/>
      <c r="H132" s="110"/>
    </row>
    <row r="133" spans="1:8" s="33" customFormat="1" ht="15.6" hidden="1" customHeight="1" x14ac:dyDescent="0.25">
      <c r="A133" s="98" t="s">
        <v>98</v>
      </c>
      <c r="B133" s="98"/>
      <c r="C133" s="98"/>
      <c r="D133" s="98"/>
      <c r="E133" s="98"/>
      <c r="F133" s="110"/>
      <c r="G133" s="110"/>
      <c r="H133" s="110"/>
    </row>
    <row r="134" spans="1:8" s="33" customFormat="1" ht="15.6" hidden="1" customHeight="1" x14ac:dyDescent="0.25">
      <c r="A134" s="98" t="s">
        <v>99</v>
      </c>
      <c r="B134" s="98"/>
      <c r="C134" s="98"/>
      <c r="D134" s="98"/>
      <c r="E134" s="98"/>
      <c r="F134" s="110"/>
      <c r="G134" s="110"/>
      <c r="H134" s="110"/>
    </row>
    <row r="135" spans="1:8" s="33" customFormat="1" x14ac:dyDescent="0.25">
      <c r="A135" s="98" t="s">
        <v>100</v>
      </c>
      <c r="B135" s="98"/>
      <c r="C135" s="98"/>
      <c r="D135" s="98"/>
      <c r="E135" s="98"/>
      <c r="F135" s="110">
        <v>50000</v>
      </c>
      <c r="G135" s="110"/>
      <c r="H135" s="110"/>
    </row>
    <row r="136" spans="1:8" s="33" customFormat="1" ht="15.6" hidden="1" customHeight="1" x14ac:dyDescent="0.25">
      <c r="A136" s="98" t="s">
        <v>101</v>
      </c>
      <c r="B136" s="98"/>
      <c r="C136" s="98"/>
      <c r="D136" s="98"/>
      <c r="E136" s="98"/>
      <c r="F136" s="110"/>
      <c r="G136" s="110"/>
      <c r="H136" s="110"/>
    </row>
    <row r="137" spans="1:8" x14ac:dyDescent="0.3">
      <c r="A137" s="98" t="s">
        <v>52</v>
      </c>
      <c r="B137" s="98"/>
      <c r="C137" s="98"/>
      <c r="D137" s="98"/>
      <c r="E137" s="98"/>
      <c r="F137" s="110">
        <v>200000</v>
      </c>
      <c r="G137" s="110"/>
      <c r="H137" s="110"/>
    </row>
    <row r="138" spans="1:8" s="34" customFormat="1" x14ac:dyDescent="0.3">
      <c r="A138" s="159" t="s">
        <v>53</v>
      </c>
      <c r="B138" s="159"/>
      <c r="C138" s="159"/>
      <c r="D138" s="159"/>
      <c r="E138" s="159"/>
      <c r="F138" s="110">
        <f>F126*0.8</f>
        <v>4400</v>
      </c>
      <c r="G138" s="110"/>
      <c r="H138" s="110"/>
    </row>
    <row r="139" spans="1:8" s="35" customFormat="1" ht="15.75" customHeight="1" x14ac:dyDescent="0.3">
      <c r="A139" s="158" t="s">
        <v>214</v>
      </c>
      <c r="B139" s="158"/>
      <c r="C139" s="158"/>
      <c r="D139" s="158"/>
      <c r="E139" s="158"/>
      <c r="F139" s="158"/>
      <c r="G139" s="158"/>
      <c r="H139" s="158"/>
    </row>
    <row r="140" spans="1:8" s="35" customFormat="1" ht="15.75" customHeight="1" x14ac:dyDescent="0.3">
      <c r="A140" s="101" t="s">
        <v>54</v>
      </c>
      <c r="B140" s="101"/>
      <c r="C140" s="154" t="s">
        <v>79</v>
      </c>
      <c r="D140" s="154"/>
      <c r="E140" s="142" t="s">
        <v>55</v>
      </c>
      <c r="F140" s="142"/>
      <c r="G140" s="101" t="s">
        <v>56</v>
      </c>
      <c r="H140" s="101"/>
    </row>
    <row r="141" spans="1:8" s="35" customFormat="1" x14ac:dyDescent="0.3">
      <c r="A141" s="47" t="s">
        <v>201</v>
      </c>
      <c r="B141" s="47" t="s">
        <v>202</v>
      </c>
      <c r="C141" s="143">
        <f>COUNT(D159)</f>
        <v>1</v>
      </c>
      <c r="D141" s="184"/>
      <c r="E141" s="111">
        <f>SUM(D159)</f>
        <v>659.18736000000001</v>
      </c>
      <c r="F141" s="112"/>
      <c r="G141" s="111">
        <f>SUM(F159)</f>
        <v>1021.740408</v>
      </c>
      <c r="H141" s="112"/>
    </row>
    <row r="142" spans="1:8" s="35" customFormat="1" hidden="1" x14ac:dyDescent="0.3">
      <c r="A142" s="158" t="s">
        <v>153</v>
      </c>
      <c r="B142" s="158"/>
      <c r="C142" s="197">
        <f>SUM(C141)</f>
        <v>1</v>
      </c>
      <c r="D142" s="154"/>
      <c r="E142" s="197">
        <f t="shared" ref="E142" si="0">SUM(E141)</f>
        <v>659.18736000000001</v>
      </c>
      <c r="F142" s="154"/>
      <c r="G142" s="197">
        <f t="shared" ref="G142" si="1">SUM(G141)</f>
        <v>1021.740408</v>
      </c>
      <c r="H142" s="154"/>
    </row>
    <row r="143" spans="1:8" s="35" customFormat="1" x14ac:dyDescent="0.3">
      <c r="A143" s="158" t="s">
        <v>215</v>
      </c>
      <c r="B143" s="158"/>
      <c r="C143" s="158"/>
      <c r="D143" s="158"/>
      <c r="E143" s="158"/>
      <c r="F143" s="158"/>
      <c r="G143" s="158"/>
      <c r="H143" s="158"/>
    </row>
    <row r="144" spans="1:8" s="35" customFormat="1" ht="15.75" customHeight="1" x14ac:dyDescent="0.3">
      <c r="A144" s="101" t="s">
        <v>54</v>
      </c>
      <c r="B144" s="101"/>
      <c r="C144" s="154" t="s">
        <v>79</v>
      </c>
      <c r="D144" s="154"/>
      <c r="E144" s="142" t="s">
        <v>55</v>
      </c>
      <c r="F144" s="142"/>
      <c r="G144" s="101" t="s">
        <v>56</v>
      </c>
      <c r="H144" s="101"/>
    </row>
    <row r="145" spans="1:14" s="35" customFormat="1" x14ac:dyDescent="0.3">
      <c r="A145" s="47" t="s">
        <v>201</v>
      </c>
      <c r="B145" s="144" t="s">
        <v>216</v>
      </c>
      <c r="C145" s="143">
        <f>COUNT(D166:D171)*7</f>
        <v>42</v>
      </c>
      <c r="D145" s="143"/>
      <c r="E145" s="111">
        <f t="shared" ref="E145" si="2">SUM(D166:D171)*7</f>
        <v>21050.724240000003</v>
      </c>
      <c r="F145" s="111"/>
      <c r="G145" s="111">
        <f>SUM(F166:F171)*7</f>
        <v>31576.086359999994</v>
      </c>
      <c r="H145" s="111"/>
    </row>
    <row r="146" spans="1:14" s="35" customFormat="1" x14ac:dyDescent="0.3">
      <c r="A146" s="47" t="s">
        <v>206</v>
      </c>
      <c r="B146" s="145"/>
      <c r="C146" s="143">
        <f>COUNT(D175:D176)*7</f>
        <v>14</v>
      </c>
      <c r="D146" s="143"/>
      <c r="E146" s="111">
        <f>SUM(D175:D176)*7</f>
        <v>6482.3768100000007</v>
      </c>
      <c r="F146" s="111"/>
      <c r="G146" s="111">
        <f>SUM(F175:F176)*7</f>
        <v>9723.5652150000024</v>
      </c>
      <c r="H146" s="111"/>
    </row>
    <row r="147" spans="1:14" s="35" customFormat="1" x14ac:dyDescent="0.3">
      <c r="A147" s="47" t="s">
        <v>208</v>
      </c>
      <c r="B147" s="145"/>
      <c r="C147" s="143">
        <f>COUNT(D180:D183)*7</f>
        <v>28</v>
      </c>
      <c r="D147" s="143"/>
      <c r="E147" s="111">
        <f>SUM(D180:D183)*7</f>
        <v>14038.274249999999</v>
      </c>
      <c r="F147" s="111"/>
      <c r="G147" s="111">
        <f>SUM(F180:F183)*7</f>
        <v>21057.411374999996</v>
      </c>
      <c r="H147" s="111"/>
    </row>
    <row r="148" spans="1:14" s="35" customFormat="1" x14ac:dyDescent="0.3">
      <c r="A148" s="47" t="s">
        <v>209</v>
      </c>
      <c r="B148" s="145"/>
      <c r="C148" s="143">
        <f>COUNT(D187:D190)*7</f>
        <v>28</v>
      </c>
      <c r="D148" s="143"/>
      <c r="E148" s="111">
        <f>SUM(D187:D190)*7</f>
        <v>16758.525419999998</v>
      </c>
      <c r="F148" s="111"/>
      <c r="G148" s="111">
        <f>SUM(F187:F190)*7</f>
        <v>25137.788129999997</v>
      </c>
      <c r="H148" s="111"/>
    </row>
    <row r="149" spans="1:14" s="35" customFormat="1" x14ac:dyDescent="0.3">
      <c r="A149" s="47" t="s">
        <v>210</v>
      </c>
      <c r="B149" s="146"/>
      <c r="C149" s="143">
        <f>COUNT(D194:D198)*7</f>
        <v>35</v>
      </c>
      <c r="D149" s="143"/>
      <c r="E149" s="111">
        <f>SUM(D194:D198)*7</f>
        <v>18947.384819999999</v>
      </c>
      <c r="F149" s="111"/>
      <c r="G149" s="111">
        <f>SUM(F194:F198)*7</f>
        <v>28421.077229999999</v>
      </c>
      <c r="H149" s="111"/>
    </row>
    <row r="150" spans="1:14" s="35" customFormat="1" ht="16.2" thickBot="1" x14ac:dyDescent="0.35">
      <c r="A150" s="195" t="s">
        <v>153</v>
      </c>
      <c r="B150" s="195"/>
      <c r="C150" s="137">
        <f>SUM(C145:C149)</f>
        <v>147</v>
      </c>
      <c r="D150" s="138"/>
      <c r="E150" s="137">
        <f t="shared" ref="E150" si="3">SUM(E145:E149)</f>
        <v>77277.285539999997</v>
      </c>
      <c r="F150" s="138"/>
      <c r="G150" s="137">
        <f t="shared" ref="G150" si="4">SUM(G145:G149)</f>
        <v>115915.92830999999</v>
      </c>
      <c r="H150" s="138"/>
    </row>
    <row r="151" spans="1:14" s="35" customFormat="1" ht="16.2" thickBot="1" x14ac:dyDescent="0.35">
      <c r="A151" s="147" t="s">
        <v>171</v>
      </c>
      <c r="B151" s="148"/>
      <c r="C151" s="149">
        <f>C142+C150</f>
        <v>148</v>
      </c>
      <c r="D151" s="149"/>
      <c r="E151" s="150">
        <f>E142+E150</f>
        <v>77936.472899999993</v>
      </c>
      <c r="F151" s="150"/>
      <c r="G151" s="151">
        <f>G142+G150</f>
        <v>116937.66871799999</v>
      </c>
      <c r="H151" s="152"/>
    </row>
    <row r="152" spans="1:14" s="34" customFormat="1" x14ac:dyDescent="0.3">
      <c r="A152" s="155" t="s">
        <v>57</v>
      </c>
      <c r="B152" s="155"/>
      <c r="C152" s="155"/>
      <c r="D152" s="155"/>
      <c r="E152" s="155"/>
      <c r="F152" s="155"/>
      <c r="G152" s="155"/>
      <c r="H152" s="155"/>
    </row>
    <row r="153" spans="1:14" x14ac:dyDescent="0.3">
      <c r="A153" s="153" t="s">
        <v>58</v>
      </c>
      <c r="B153" s="153"/>
      <c r="C153" s="153"/>
      <c r="D153" s="153"/>
      <c r="E153" s="153"/>
      <c r="F153" s="153"/>
      <c r="G153" s="153"/>
      <c r="H153" s="153"/>
    </row>
    <row r="154" spans="1:14" ht="47.25" customHeight="1" x14ac:dyDescent="0.3">
      <c r="A154" s="102" t="s">
        <v>122</v>
      </c>
      <c r="B154" s="102" t="s">
        <v>121</v>
      </c>
      <c r="C154" s="102" t="s">
        <v>59</v>
      </c>
      <c r="D154" s="102" t="s">
        <v>60</v>
      </c>
      <c r="E154" s="104" t="s">
        <v>159</v>
      </c>
      <c r="F154" s="43" t="s">
        <v>152</v>
      </c>
      <c r="G154" s="106" t="s">
        <v>62</v>
      </c>
      <c r="H154" s="107"/>
    </row>
    <row r="155" spans="1:14" s="37" customFormat="1" x14ac:dyDescent="0.3">
      <c r="A155" s="103"/>
      <c r="B155" s="103"/>
      <c r="C155" s="103"/>
      <c r="D155" s="103"/>
      <c r="E155" s="105"/>
      <c r="F155" s="13">
        <v>0.55000000000000004</v>
      </c>
      <c r="G155" s="108"/>
      <c r="H155" s="109"/>
    </row>
    <row r="156" spans="1:14" s="37" customFormat="1" ht="15.75" customHeight="1" x14ac:dyDescent="0.3">
      <c r="A156" s="139" t="s">
        <v>199</v>
      </c>
      <c r="B156" s="140"/>
      <c r="C156" s="140"/>
      <c r="D156" s="140"/>
      <c r="E156" s="140"/>
      <c r="F156" s="140"/>
      <c r="G156" s="140"/>
      <c r="H156" s="141"/>
      <c r="J156" s="36"/>
    </row>
    <row r="157" spans="1:14" s="37" customFormat="1" ht="15.75" customHeight="1" x14ac:dyDescent="0.3">
      <c r="A157" s="139" t="s">
        <v>201</v>
      </c>
      <c r="B157" s="140"/>
      <c r="C157" s="140"/>
      <c r="D157" s="140"/>
      <c r="E157" s="140"/>
      <c r="F157" s="140"/>
      <c r="G157" s="140"/>
      <c r="H157" s="141"/>
      <c r="J157" s="36"/>
    </row>
    <row r="158" spans="1:14" s="37" customFormat="1" ht="15.75" customHeight="1" x14ac:dyDescent="0.3">
      <c r="A158" s="139" t="s">
        <v>200</v>
      </c>
      <c r="B158" s="140"/>
      <c r="C158" s="140"/>
      <c r="D158" s="140"/>
      <c r="E158" s="140"/>
      <c r="F158" s="140"/>
      <c r="G158" s="140"/>
      <c r="H158" s="141"/>
      <c r="J158" s="36"/>
    </row>
    <row r="159" spans="1:14" s="37" customFormat="1" x14ac:dyDescent="0.3">
      <c r="A159" s="161">
        <v>1</v>
      </c>
      <c r="B159" s="162"/>
      <c r="C159" s="42" t="s">
        <v>202</v>
      </c>
      <c r="D159" s="56">
        <f>(61.24)*(10.764)</f>
        <v>659.18736000000001</v>
      </c>
      <c r="E159" s="42">
        <v>0</v>
      </c>
      <c r="F159" s="42">
        <f>(D159+E159)*(($F$155)+1)</f>
        <v>1021.740408</v>
      </c>
      <c r="G159" s="161" t="str">
        <f>A158</f>
        <v>Ground Floor For Entrance Lobby, Meter Room, Society Office, Commercial &amp; Parking</v>
      </c>
      <c r="H159" s="162"/>
      <c r="I159" s="36">
        <f>5.84*4.9+4.5*3.05+1.2*2+2*1.2+4.2*3.2</f>
        <v>60.581000000000003</v>
      </c>
      <c r="L159" s="183"/>
      <c r="M159" s="183"/>
      <c r="N159" s="36"/>
    </row>
    <row r="160" spans="1:14" s="37" customFormat="1" x14ac:dyDescent="0.3">
      <c r="A160" s="161"/>
      <c r="B160" s="196"/>
      <c r="C160" s="196"/>
      <c r="D160" s="196"/>
      <c r="E160" s="196"/>
      <c r="F160" s="196"/>
      <c r="G160" s="196"/>
      <c r="H160" s="162"/>
      <c r="I160" s="36"/>
      <c r="N160" s="36"/>
    </row>
    <row r="161" spans="1:14" ht="47.25" customHeight="1" x14ac:dyDescent="0.3">
      <c r="A161" s="106" t="s">
        <v>123</v>
      </c>
      <c r="B161" s="106" t="s">
        <v>124</v>
      </c>
      <c r="C161" s="102" t="s">
        <v>59</v>
      </c>
      <c r="D161" s="102" t="s">
        <v>60</v>
      </c>
      <c r="E161" s="104" t="s">
        <v>61</v>
      </c>
      <c r="F161" s="43" t="s">
        <v>152</v>
      </c>
      <c r="G161" s="106" t="s">
        <v>62</v>
      </c>
      <c r="H161" s="107"/>
      <c r="I161" s="36"/>
    </row>
    <row r="162" spans="1:14" s="37" customFormat="1" x14ac:dyDescent="0.3">
      <c r="A162" s="108"/>
      <c r="B162" s="108"/>
      <c r="C162" s="103"/>
      <c r="D162" s="103"/>
      <c r="E162" s="105"/>
      <c r="F162" s="13">
        <v>0.5</v>
      </c>
      <c r="G162" s="108"/>
      <c r="H162" s="109"/>
      <c r="I162" s="36"/>
    </row>
    <row r="163" spans="1:14" s="37" customFormat="1" x14ac:dyDescent="0.3">
      <c r="A163" s="139" t="s">
        <v>199</v>
      </c>
      <c r="B163" s="140"/>
      <c r="C163" s="140"/>
      <c r="D163" s="140"/>
      <c r="E163" s="140"/>
      <c r="F163" s="140"/>
      <c r="G163" s="140"/>
      <c r="H163" s="141"/>
      <c r="J163" s="36"/>
    </row>
    <row r="164" spans="1:14" s="37" customFormat="1" x14ac:dyDescent="0.3">
      <c r="A164" s="139" t="s">
        <v>201</v>
      </c>
      <c r="B164" s="140"/>
      <c r="C164" s="140"/>
      <c r="D164" s="140"/>
      <c r="E164" s="140"/>
      <c r="F164" s="140"/>
      <c r="G164" s="140"/>
      <c r="H164" s="141"/>
      <c r="J164" s="36"/>
    </row>
    <row r="165" spans="1:14" s="37" customFormat="1" x14ac:dyDescent="0.3">
      <c r="A165" s="139" t="s">
        <v>203</v>
      </c>
      <c r="B165" s="140"/>
      <c r="C165" s="140"/>
      <c r="D165" s="140"/>
      <c r="E165" s="140"/>
      <c r="F165" s="140"/>
      <c r="G165" s="140"/>
      <c r="H165" s="141"/>
      <c r="J165" s="36"/>
    </row>
    <row r="166" spans="1:14" s="37" customFormat="1" ht="15.75" customHeight="1" x14ac:dyDescent="0.3">
      <c r="A166" s="161">
        <v>1</v>
      </c>
      <c r="B166" s="162"/>
      <c r="C166" s="42" t="s">
        <v>205</v>
      </c>
      <c r="D166" s="56">
        <f>(37.64+1.5*2.75+0.75*(2.75+2.45+3.8+1.8))*(10.764)</f>
        <v>536.74685999999997</v>
      </c>
      <c r="E166" s="42">
        <v>0</v>
      </c>
      <c r="F166" s="42">
        <f t="shared" ref="F166:F171" si="5">D166*(($F$162)+1)+(IF(E166&lt;101,E166,IF(E166&lt;201,E166/2,IF(E166&lt;=301,E166/3,E166/4))))</f>
        <v>805.12028999999995</v>
      </c>
      <c r="G166" s="186" t="str">
        <f>A165</f>
        <v>1st to 7th Floor For Residential</v>
      </c>
      <c r="H166" s="187"/>
      <c r="I166" s="36">
        <f>2.75*3+2.45*2.4+1.8*1.2+3.15*2.1+3.15*2.75+1.8*1.2+1.3*1.3</f>
        <v>35.417500000000004</v>
      </c>
      <c r="J166" s="55"/>
      <c r="K166" s="37">
        <f>4127346/F166</f>
        <v>5126.3718617748418</v>
      </c>
      <c r="L166" s="183"/>
      <c r="M166" s="183"/>
      <c r="N166" s="36"/>
    </row>
    <row r="167" spans="1:14" s="37" customFormat="1" ht="15.75" customHeight="1" x14ac:dyDescent="0.3">
      <c r="A167" s="161">
        <f t="shared" ref="A167:A171" si="6">A166+1</f>
        <v>2</v>
      </c>
      <c r="B167" s="162"/>
      <c r="C167" s="42" t="s">
        <v>204</v>
      </c>
      <c r="D167" s="56">
        <f>(38.8+1.5*2.75+0.75*(2.75+2.2+2.9))*(10.764)</f>
        <v>525.41774999999996</v>
      </c>
      <c r="E167" s="42">
        <v>0</v>
      </c>
      <c r="F167" s="42">
        <f t="shared" si="5"/>
        <v>788.12662499999988</v>
      </c>
      <c r="G167" s="188"/>
      <c r="H167" s="189"/>
      <c r="I167" s="56">
        <f>10.764</f>
        <v>10.763999999999999</v>
      </c>
      <c r="J167" s="37">
        <f>(2.75*3.35+1.5*2.75+2.2*2.05+1.2*2+2.9*3+1.75*1.5+0.9*2+1.2*0.8+2.2+2.9)</f>
        <v>39.432499999999997</v>
      </c>
      <c r="K167" s="37">
        <f>4793057/F167</f>
        <v>6081.5823853178426</v>
      </c>
      <c r="L167" s="183"/>
      <c r="M167" s="183"/>
      <c r="N167" s="36"/>
    </row>
    <row r="168" spans="1:14" s="37" customFormat="1" ht="15.75" customHeight="1" x14ac:dyDescent="0.3">
      <c r="A168" s="161">
        <f t="shared" si="6"/>
        <v>3</v>
      </c>
      <c r="B168" s="162"/>
      <c r="C168" s="42" t="s">
        <v>204</v>
      </c>
      <c r="D168" s="56">
        <f>(28.42+1.2*2.75+0.75*(5.2+2.75))*(10.764)</f>
        <v>405.61443000000003</v>
      </c>
      <c r="E168" s="42">
        <v>0</v>
      </c>
      <c r="F168" s="42">
        <f t="shared" si="5"/>
        <v>608.42164500000001</v>
      </c>
      <c r="G168" s="188"/>
      <c r="H168" s="189"/>
      <c r="I168" s="36"/>
      <c r="K168" s="37">
        <f>3140883/F168</f>
        <v>5162.3459254149311</v>
      </c>
      <c r="L168" s="183"/>
      <c r="M168" s="183"/>
      <c r="N168" s="36"/>
    </row>
    <row r="169" spans="1:14" s="37" customFormat="1" ht="15.75" customHeight="1" x14ac:dyDescent="0.3">
      <c r="A169" s="161">
        <f t="shared" si="6"/>
        <v>4</v>
      </c>
      <c r="B169" s="162"/>
      <c r="C169" s="42" t="s">
        <v>205</v>
      </c>
      <c r="D169" s="56">
        <f>(46.28+1.8*2.75+1.2*(2.15+2.75+3.05)+0.75*(8.25+3))*(10.764)</f>
        <v>744.9495300000001</v>
      </c>
      <c r="E169" s="42">
        <v>0</v>
      </c>
      <c r="F169" s="42">
        <f t="shared" si="5"/>
        <v>1117.4242950000003</v>
      </c>
      <c r="G169" s="188"/>
      <c r="H169" s="189"/>
      <c r="I169" s="36"/>
      <c r="L169" s="183"/>
      <c r="M169" s="183"/>
      <c r="N169" s="36"/>
    </row>
    <row r="170" spans="1:14" s="37" customFormat="1" ht="15.75" customHeight="1" x14ac:dyDescent="0.3">
      <c r="A170" s="161">
        <f t="shared" si="6"/>
        <v>5</v>
      </c>
      <c r="B170" s="162"/>
      <c r="C170" s="42" t="s">
        <v>204</v>
      </c>
      <c r="D170" s="56">
        <f>(29.75+0.75*(2.75+2.45+2.45))*(10.764)</f>
        <v>381.98744999999997</v>
      </c>
      <c r="E170" s="42">
        <v>0</v>
      </c>
      <c r="F170" s="42">
        <f t="shared" si="5"/>
        <v>572.98117499999989</v>
      </c>
      <c r="G170" s="188"/>
      <c r="H170" s="189"/>
      <c r="I170" s="36">
        <f>3.35*2.75+2.75*2.45+1.2*2+2.45*2.15+1.2*1.5+0.9*2.75</f>
        <v>27.892500000000002</v>
      </c>
      <c r="K170" s="37">
        <f>3068260/F170</f>
        <v>5354.9054207583704</v>
      </c>
      <c r="L170" s="183"/>
      <c r="M170" s="183"/>
      <c r="N170" s="36"/>
    </row>
    <row r="171" spans="1:14" s="37" customFormat="1" ht="15.75" customHeight="1" x14ac:dyDescent="0.3">
      <c r="A171" s="161">
        <f t="shared" si="6"/>
        <v>6</v>
      </c>
      <c r="B171" s="162"/>
      <c r="C171" s="42" t="s">
        <v>204</v>
      </c>
      <c r="D171" s="56">
        <f>(26.2+1.2*2.75+1*2.75+0.75*(2.75+5.35))*(10.764)</f>
        <v>412.53030000000001</v>
      </c>
      <c r="E171" s="42">
        <v>0</v>
      </c>
      <c r="F171" s="42">
        <f t="shared" si="5"/>
        <v>618.79545000000007</v>
      </c>
      <c r="G171" s="190"/>
      <c r="H171" s="191"/>
      <c r="I171" s="36"/>
      <c r="L171" s="183"/>
      <c r="M171" s="183"/>
      <c r="N171" s="36"/>
    </row>
    <row r="172" spans="1:14" s="37" customFormat="1" x14ac:dyDescent="0.3">
      <c r="A172" s="160" t="s">
        <v>206</v>
      </c>
      <c r="B172" s="160"/>
      <c r="C172" s="160"/>
      <c r="D172" s="160"/>
      <c r="E172" s="160"/>
      <c r="F172" s="160"/>
      <c r="G172" s="160"/>
      <c r="H172" s="160"/>
      <c r="I172" s="36"/>
      <c r="L172" s="183"/>
      <c r="M172" s="183"/>
    </row>
    <row r="173" spans="1:14" s="37" customFormat="1" x14ac:dyDescent="0.3">
      <c r="A173" s="160" t="s">
        <v>207</v>
      </c>
      <c r="B173" s="160"/>
      <c r="C173" s="160"/>
      <c r="D173" s="160"/>
      <c r="E173" s="160"/>
      <c r="F173" s="160"/>
      <c r="G173" s="160"/>
      <c r="H173" s="160"/>
      <c r="I173" s="36"/>
      <c r="L173" s="183"/>
      <c r="M173" s="183"/>
    </row>
    <row r="174" spans="1:14" s="37" customFormat="1" x14ac:dyDescent="0.3">
      <c r="A174" s="160" t="s">
        <v>203</v>
      </c>
      <c r="B174" s="160"/>
      <c r="C174" s="160"/>
      <c r="D174" s="160"/>
      <c r="E174" s="160"/>
      <c r="F174" s="160"/>
      <c r="G174" s="160"/>
      <c r="H174" s="160"/>
      <c r="I174" s="36"/>
      <c r="L174" s="183"/>
      <c r="M174" s="183"/>
    </row>
    <row r="175" spans="1:14" s="37" customFormat="1" ht="15.75" customHeight="1" x14ac:dyDescent="0.3">
      <c r="A175" s="100">
        <v>1</v>
      </c>
      <c r="B175" s="100"/>
      <c r="C175" s="42" t="s">
        <v>204</v>
      </c>
      <c r="D175" s="56">
        <f>(28.23+1.5*2.75+1*(2.15+2.45)+0.75*(2.15+2.75+2.45))*(10.764)</f>
        <v>457.12017000000009</v>
      </c>
      <c r="E175" s="42">
        <v>0</v>
      </c>
      <c r="F175" s="42">
        <f t="shared" ref="F175:F176" si="7">D175*(($F$162)+1)+(IF(E175&lt;101,E175,IF(E175&lt;201,E175/2,IF(E175&lt;=301,E175/3,E175/4))))</f>
        <v>685.6802550000001</v>
      </c>
      <c r="G175" s="186" t="str">
        <f>A174</f>
        <v>1st to 7th Floor For Residential</v>
      </c>
      <c r="H175" s="187"/>
      <c r="I175" s="36"/>
      <c r="N175" s="36"/>
    </row>
    <row r="176" spans="1:14" s="37" customFormat="1" ht="15.75" customHeight="1" x14ac:dyDescent="0.3">
      <c r="A176" s="100">
        <f>A175+1</f>
        <v>2</v>
      </c>
      <c r="B176" s="100"/>
      <c r="C176" s="42" t="s">
        <v>204</v>
      </c>
      <c r="D176" s="56">
        <f>(28.19+1.5*3+1*(2.25+2.55)+0.75*(5.55+2.55))*(10.764)</f>
        <v>468.93365999999997</v>
      </c>
      <c r="E176" s="42">
        <v>0</v>
      </c>
      <c r="F176" s="42">
        <f t="shared" si="7"/>
        <v>703.40048999999999</v>
      </c>
      <c r="G176" s="190"/>
      <c r="H176" s="191"/>
      <c r="I176" s="36"/>
      <c r="N176" s="36"/>
    </row>
    <row r="177" spans="1:14" s="37" customFormat="1" x14ac:dyDescent="0.3">
      <c r="A177" s="160" t="s">
        <v>208</v>
      </c>
      <c r="B177" s="160"/>
      <c r="C177" s="160"/>
      <c r="D177" s="160"/>
      <c r="E177" s="160"/>
      <c r="F177" s="160"/>
      <c r="G177" s="160"/>
      <c r="H177" s="160"/>
      <c r="I177" s="36"/>
      <c r="L177" s="183"/>
      <c r="M177" s="183"/>
    </row>
    <row r="178" spans="1:14" s="37" customFormat="1" x14ac:dyDescent="0.3">
      <c r="A178" s="160" t="s">
        <v>207</v>
      </c>
      <c r="B178" s="160"/>
      <c r="C178" s="160"/>
      <c r="D178" s="160"/>
      <c r="E178" s="160"/>
      <c r="F178" s="160"/>
      <c r="G178" s="160"/>
      <c r="H178" s="160"/>
      <c r="I178" s="36"/>
      <c r="L178" s="183"/>
      <c r="M178" s="183"/>
    </row>
    <row r="179" spans="1:14" s="37" customFormat="1" x14ac:dyDescent="0.3">
      <c r="A179" s="160" t="s">
        <v>203</v>
      </c>
      <c r="B179" s="160"/>
      <c r="C179" s="160"/>
      <c r="D179" s="160"/>
      <c r="E179" s="160"/>
      <c r="F179" s="160"/>
      <c r="G179" s="160"/>
      <c r="H179" s="160"/>
      <c r="I179" s="36"/>
      <c r="L179" s="183"/>
      <c r="M179" s="183"/>
    </row>
    <row r="180" spans="1:14" s="37" customFormat="1" ht="15.75" customHeight="1" x14ac:dyDescent="0.3">
      <c r="A180" s="100">
        <v>1</v>
      </c>
      <c r="B180" s="100"/>
      <c r="C180" s="42" t="s">
        <v>204</v>
      </c>
      <c r="D180" s="56">
        <f>(28.29+1.5*2.75+1*(2.15+2.75)+0.75*(2.75+2.15+2.75))*(10.764)</f>
        <v>463.41710999999992</v>
      </c>
      <c r="E180" s="42">
        <v>0</v>
      </c>
      <c r="F180" s="42">
        <f t="shared" ref="F180:F181" si="8">D180*(($F$162)+1)+(IF(E180&lt;101,E180,IF(E180&lt;201,E180/2,IF(E180&lt;=301,E180/3,E180/4))))</f>
        <v>695.12566499999991</v>
      </c>
      <c r="G180" s="186" t="str">
        <f>A179</f>
        <v>1st to 7th Floor For Residential</v>
      </c>
      <c r="H180" s="187"/>
      <c r="I180" s="36"/>
      <c r="N180" s="36"/>
    </row>
    <row r="181" spans="1:14" s="37" customFormat="1" ht="15.75" customHeight="1" x14ac:dyDescent="0.3">
      <c r="A181" s="100">
        <f>A180+1</f>
        <v>2</v>
      </c>
      <c r="B181" s="100"/>
      <c r="C181" s="42" t="s">
        <v>204</v>
      </c>
      <c r="D181" s="56">
        <f>(29.52+1.5*2.75+1*2.15+1.2*3.05+0.75*(2.75+5.61))*(10.764)</f>
        <v>492.18389999999988</v>
      </c>
      <c r="E181" s="42">
        <v>0</v>
      </c>
      <c r="F181" s="42">
        <f t="shared" si="8"/>
        <v>738.27584999999976</v>
      </c>
      <c r="G181" s="188"/>
      <c r="H181" s="189"/>
      <c r="I181" s="36"/>
      <c r="N181" s="36"/>
    </row>
    <row r="182" spans="1:14" s="37" customFormat="1" ht="15.75" customHeight="1" x14ac:dyDescent="0.3">
      <c r="A182" s="100">
        <f>A181+1</f>
        <v>3</v>
      </c>
      <c r="B182" s="100"/>
      <c r="C182" s="42" t="s">
        <v>204</v>
      </c>
      <c r="D182" s="56">
        <f>(28.2+1*(4.3+2.9+2.15)+0.75*(4.3+2.15+2.9))*(10.764)</f>
        <v>479.67075</v>
      </c>
      <c r="E182" s="42">
        <v>0</v>
      </c>
      <c r="F182" s="42">
        <f>D182*(($F$162)+1)+(IF(E182&lt;101,E182,IF(E182&lt;201,E182/2,IF(E182&lt;=301,E182/3,E182/4))))</f>
        <v>719.506125</v>
      </c>
      <c r="G182" s="188"/>
      <c r="H182" s="189"/>
      <c r="I182" s="36"/>
      <c r="N182" s="36"/>
    </row>
    <row r="183" spans="1:14" s="37" customFormat="1" ht="15.75" customHeight="1" x14ac:dyDescent="0.3">
      <c r="A183" s="100">
        <f>A182+1</f>
        <v>4</v>
      </c>
      <c r="B183" s="100"/>
      <c r="C183" s="42" t="s">
        <v>204</v>
      </c>
      <c r="D183" s="56">
        <f>(34.37+1.5*3.2+1*2.95+1.2*3.2+0.75*(3.2+2.95+3.2))*(10.764)</f>
        <v>570.19599000000005</v>
      </c>
      <c r="E183" s="42">
        <v>0</v>
      </c>
      <c r="F183" s="42">
        <f>D183*(($F$162)+1)+(IF(E183&lt;101,E183,IF(E183&lt;201,E183/2,IF(E183&lt;=301,E183/3,E183/4))))</f>
        <v>855.29398500000002</v>
      </c>
      <c r="G183" s="190"/>
      <c r="H183" s="191"/>
      <c r="I183" s="36"/>
      <c r="N183" s="36"/>
    </row>
    <row r="184" spans="1:14" s="37" customFormat="1" x14ac:dyDescent="0.3">
      <c r="A184" s="160" t="s">
        <v>209</v>
      </c>
      <c r="B184" s="160"/>
      <c r="C184" s="160"/>
      <c r="D184" s="160"/>
      <c r="E184" s="160"/>
      <c r="F184" s="160"/>
      <c r="G184" s="160"/>
      <c r="H184" s="160"/>
      <c r="I184" s="36"/>
      <c r="L184" s="183"/>
      <c r="M184" s="183"/>
    </row>
    <row r="185" spans="1:14" s="37" customFormat="1" x14ac:dyDescent="0.3">
      <c r="A185" s="160" t="s">
        <v>207</v>
      </c>
      <c r="B185" s="160"/>
      <c r="C185" s="160"/>
      <c r="D185" s="160"/>
      <c r="E185" s="160"/>
      <c r="F185" s="160"/>
      <c r="G185" s="160"/>
      <c r="H185" s="160"/>
      <c r="I185" s="36"/>
      <c r="L185" s="183"/>
      <c r="M185" s="183"/>
    </row>
    <row r="186" spans="1:14" s="37" customFormat="1" x14ac:dyDescent="0.3">
      <c r="A186" s="160" t="s">
        <v>203</v>
      </c>
      <c r="B186" s="160"/>
      <c r="C186" s="160"/>
      <c r="D186" s="160"/>
      <c r="E186" s="160"/>
      <c r="F186" s="160"/>
      <c r="G186" s="160"/>
      <c r="H186" s="160"/>
      <c r="I186" s="36"/>
      <c r="L186" s="183"/>
      <c r="M186" s="183"/>
    </row>
    <row r="187" spans="1:14" s="37" customFormat="1" ht="15.75" customHeight="1" x14ac:dyDescent="0.3">
      <c r="A187" s="100">
        <v>1</v>
      </c>
      <c r="B187" s="100"/>
      <c r="C187" s="42" t="s">
        <v>204</v>
      </c>
      <c r="D187" s="56">
        <f>(31.64+1.8*2.75+1*2.15+1.2*2.75+0.75*8.25)*(10.764)</f>
        <v>519.12081000000001</v>
      </c>
      <c r="E187" s="42">
        <v>0</v>
      </c>
      <c r="F187" s="42">
        <f t="shared" ref="F187:F188" si="9">D187*(($F$162)+1)+(IF(E187&lt;101,E187,IF(E187&lt;201,E187/2,IF(E187&lt;=301,E187/3,E187/4))))</f>
        <v>778.68121500000007</v>
      </c>
      <c r="G187" s="186" t="str">
        <f>A186</f>
        <v>1st to 7th Floor For Residential</v>
      </c>
      <c r="H187" s="187"/>
      <c r="I187" s="36"/>
      <c r="N187" s="36"/>
    </row>
    <row r="188" spans="1:14" s="37" customFormat="1" ht="15.75" customHeight="1" x14ac:dyDescent="0.3">
      <c r="A188" s="100">
        <f>A187+1</f>
        <v>2</v>
      </c>
      <c r="B188" s="100"/>
      <c r="C188" s="42" t="s">
        <v>204</v>
      </c>
      <c r="D188" s="56">
        <f>(34.27+1.8*2.75+1*2.15+1.2*2.75)*(10.764)</f>
        <v>480.82787999999999</v>
      </c>
      <c r="E188" s="42">
        <v>0</v>
      </c>
      <c r="F188" s="42">
        <f t="shared" si="9"/>
        <v>721.24181999999996</v>
      </c>
      <c r="G188" s="188"/>
      <c r="H188" s="189"/>
      <c r="I188" s="36"/>
      <c r="N188" s="36"/>
    </row>
    <row r="189" spans="1:14" s="37" customFormat="1" ht="15.75" customHeight="1" x14ac:dyDescent="0.3">
      <c r="A189" s="100">
        <f>A188+1</f>
        <v>3</v>
      </c>
      <c r="B189" s="100"/>
      <c r="C189" s="42" t="s">
        <v>205</v>
      </c>
      <c r="D189" s="56">
        <f>(43.47+1.8*2.9+1*(2.15+2.75+2.75)+0.75*11.15)*(10.764)</f>
        <v>696.45771000000002</v>
      </c>
      <c r="E189" s="42">
        <v>0</v>
      </c>
      <c r="F189" s="42">
        <f>D189*(($F$162)+1)+(IF(E189&lt;101,E189,IF(E189&lt;201,E189/2,IF(E189&lt;=301,E189/3,E189/4))))</f>
        <v>1044.686565</v>
      </c>
      <c r="G189" s="188"/>
      <c r="H189" s="189"/>
      <c r="I189" s="36"/>
      <c r="N189" s="36"/>
    </row>
    <row r="190" spans="1:14" s="37" customFormat="1" ht="15.75" customHeight="1" x14ac:dyDescent="0.3">
      <c r="A190" s="100">
        <f>A189+1</f>
        <v>4</v>
      </c>
      <c r="B190" s="100"/>
      <c r="C190" s="42" t="s">
        <v>205</v>
      </c>
      <c r="D190" s="56">
        <f>(43.47+1.8*2.9+1*(2.15+2.75+2.75)+0.75*11.3)*(10.764)</f>
        <v>697.66865999999993</v>
      </c>
      <c r="E190" s="42">
        <v>0</v>
      </c>
      <c r="F190" s="42">
        <f>D190*(($F$162)+1)+(IF(E190&lt;101,E190,IF(E190&lt;201,E190/2,IF(E190&lt;=301,E190/3,E190/4))))</f>
        <v>1046.50299</v>
      </c>
      <c r="G190" s="190"/>
      <c r="H190" s="191"/>
      <c r="I190" s="36"/>
      <c r="N190" s="36"/>
    </row>
    <row r="191" spans="1:14" s="37" customFormat="1" x14ac:dyDescent="0.3">
      <c r="A191" s="160" t="s">
        <v>210</v>
      </c>
      <c r="B191" s="160"/>
      <c r="C191" s="160"/>
      <c r="D191" s="160"/>
      <c r="E191" s="160"/>
      <c r="F191" s="160"/>
      <c r="G191" s="160"/>
      <c r="H191" s="160"/>
      <c r="I191" s="36"/>
      <c r="L191" s="183"/>
      <c r="M191" s="183"/>
    </row>
    <row r="192" spans="1:14" s="37" customFormat="1" x14ac:dyDescent="0.3">
      <c r="A192" s="160" t="s">
        <v>207</v>
      </c>
      <c r="B192" s="160"/>
      <c r="C192" s="160"/>
      <c r="D192" s="160"/>
      <c r="E192" s="160"/>
      <c r="F192" s="160"/>
      <c r="G192" s="160"/>
      <c r="H192" s="160"/>
      <c r="I192" s="36"/>
      <c r="L192" s="183"/>
      <c r="M192" s="183"/>
    </row>
    <row r="193" spans="1:14" s="37" customFormat="1" x14ac:dyDescent="0.3">
      <c r="A193" s="160" t="s">
        <v>203</v>
      </c>
      <c r="B193" s="160"/>
      <c r="C193" s="160"/>
      <c r="D193" s="160"/>
      <c r="E193" s="160"/>
      <c r="F193" s="160"/>
      <c r="G193" s="160"/>
      <c r="H193" s="160"/>
      <c r="I193" s="36"/>
      <c r="L193" s="183"/>
      <c r="M193" s="183"/>
    </row>
    <row r="194" spans="1:14" s="37" customFormat="1" ht="15.75" customHeight="1" x14ac:dyDescent="0.3">
      <c r="A194" s="100">
        <v>1</v>
      </c>
      <c r="B194" s="100"/>
      <c r="C194" s="42" t="s">
        <v>204</v>
      </c>
      <c r="D194" s="56">
        <f>(32.73+1.8*2.75+1*2.15+1.2*2.75+0.75*8.25)*(10.764)</f>
        <v>530.85356999999988</v>
      </c>
      <c r="E194" s="42">
        <v>0</v>
      </c>
      <c r="F194" s="42">
        <f t="shared" ref="F194:F195" si="10">D194*(($F$162)+1)+(IF(E194&lt;101,E194,IF(E194&lt;201,E194/2,IF(E194&lt;=301,E194/3,E194/4))))</f>
        <v>796.28035499999987</v>
      </c>
      <c r="G194" s="186" t="str">
        <f>A193</f>
        <v>1st to 7th Floor For Residential</v>
      </c>
      <c r="H194" s="187"/>
      <c r="I194" s="36"/>
      <c r="J194" s="37">
        <f>2.75*3.7+2.15*2+2.75*2.95+2.15*1.2+1.2*2.15+1*2.15</f>
        <v>29.897499999999997</v>
      </c>
      <c r="N194" s="36"/>
    </row>
    <row r="195" spans="1:14" s="37" customFormat="1" ht="15.75" customHeight="1" x14ac:dyDescent="0.3">
      <c r="A195" s="100">
        <f>A194+1</f>
        <v>2</v>
      </c>
      <c r="B195" s="100"/>
      <c r="C195" s="42" t="s">
        <v>204</v>
      </c>
      <c r="D195" s="56">
        <f>(34.01+1.8*3+1*2.15+1.2*2.75+0.75*(3+2.15+2.75))*(10.764)</f>
        <v>546.64973999999995</v>
      </c>
      <c r="E195" s="42">
        <v>0</v>
      </c>
      <c r="F195" s="42">
        <f t="shared" si="10"/>
        <v>819.97460999999998</v>
      </c>
      <c r="G195" s="188"/>
      <c r="H195" s="189"/>
      <c r="I195" s="36"/>
      <c r="N195" s="36"/>
    </row>
    <row r="196" spans="1:14" s="37" customFormat="1" ht="15.75" customHeight="1" x14ac:dyDescent="0.3">
      <c r="A196" s="100">
        <f>A195+1</f>
        <v>3</v>
      </c>
      <c r="B196" s="100"/>
      <c r="C196" s="42" t="s">
        <v>204</v>
      </c>
      <c r="D196" s="56">
        <f>(28.58+1.8*2.75+1*(2.5+2.75)+0.75*(2.75+2.5+2.75))*(10.764)</f>
        <v>482.01191999999998</v>
      </c>
      <c r="E196" s="42">
        <v>0</v>
      </c>
      <c r="F196" s="42">
        <f>D196*(($F$162)+1)+(IF(E196&lt;101,E196,IF(E196&lt;201,E196/2,IF(E196&lt;=301,E196/3,E196/4))))</f>
        <v>723.01787999999999</v>
      </c>
      <c r="G196" s="188"/>
      <c r="H196" s="189"/>
      <c r="I196" s="36"/>
      <c r="N196" s="36"/>
    </row>
    <row r="197" spans="1:14" s="37" customFormat="1" ht="15.75" customHeight="1" x14ac:dyDescent="0.3">
      <c r="A197" s="100">
        <f>A196+1</f>
        <v>4</v>
      </c>
      <c r="B197" s="100"/>
      <c r="C197" s="42" t="s">
        <v>205</v>
      </c>
      <c r="D197" s="56">
        <f>(40.42+1.8*2.75+1*(2.15+2.9+2.75)+0.75*(2.75+2.15+2.9+2.75))*(10.764)</f>
        <v>657.49203</v>
      </c>
      <c r="E197" s="42">
        <v>0</v>
      </c>
      <c r="F197" s="42">
        <f>D197*(($F$162)+1)+(IF(E197&lt;101,E197,IF(E197&lt;201,E197/2,IF(E197&lt;=301,E197/3,E197/4))))</f>
        <v>986.23804500000006</v>
      </c>
      <c r="G197" s="188"/>
      <c r="H197" s="189"/>
      <c r="I197" s="36"/>
      <c r="N197" s="36"/>
    </row>
    <row r="198" spans="1:14" s="37" customFormat="1" ht="15.75" customHeight="1" x14ac:dyDescent="0.3">
      <c r="A198" s="100">
        <f>A197+1</f>
        <v>5</v>
      </c>
      <c r="B198" s="100"/>
      <c r="C198" s="42" t="s">
        <v>204</v>
      </c>
      <c r="D198" s="56">
        <f>(28.85+1.8*2.75+1*(2.5+2.75)+0.75*8.6)*(10.764)</f>
        <v>489.76199999999994</v>
      </c>
      <c r="E198" s="42">
        <v>0</v>
      </c>
      <c r="F198" s="42">
        <f>D198*(($F$162)+1)+(IF(E198&lt;101,E198,IF(E198&lt;201,E198/2,IF(E198&lt;=301,E198/3,E198/4))))</f>
        <v>734.64299999999992</v>
      </c>
      <c r="G198" s="190"/>
      <c r="H198" s="191"/>
      <c r="I198" s="36"/>
      <c r="N198" s="36"/>
    </row>
    <row r="199" spans="1:14" s="35" customFormat="1" x14ac:dyDescent="0.3">
      <c r="A199" s="185" t="s">
        <v>70</v>
      </c>
      <c r="B199" s="185"/>
      <c r="C199" s="185"/>
      <c r="D199" s="185"/>
      <c r="E199" s="185"/>
      <c r="F199" s="185"/>
      <c r="G199" s="185"/>
      <c r="H199" s="185"/>
    </row>
    <row r="200" spans="1:14" s="35" customFormat="1" ht="48" customHeight="1" x14ac:dyDescent="0.3">
      <c r="A200" s="47" t="s">
        <v>156</v>
      </c>
      <c r="B200" s="163" t="s">
        <v>236</v>
      </c>
      <c r="C200" s="164"/>
      <c r="D200" s="164"/>
      <c r="E200" s="164"/>
      <c r="F200" s="164"/>
      <c r="G200" s="164"/>
      <c r="H200" s="165"/>
    </row>
    <row r="201" spans="1:14" s="35" customFormat="1" x14ac:dyDescent="0.3">
      <c r="A201" s="47" t="s">
        <v>156</v>
      </c>
      <c r="B201" s="163" t="str">
        <f>(IF(F161="Saleable area Loading :","We have considered Saleable area of Flats as per our Calculation.","We considered Saleable area of Flat as per Builder area Sheet."))</f>
        <v>We have considered Saleable area of Flats as per our Calculation.</v>
      </c>
      <c r="C201" s="164"/>
      <c r="D201" s="164"/>
      <c r="E201" s="164"/>
      <c r="F201" s="164"/>
      <c r="G201" s="164"/>
      <c r="H201" s="165"/>
    </row>
    <row r="202" spans="1:14" s="35" customFormat="1" x14ac:dyDescent="0.3">
      <c r="A202" s="47" t="s">
        <v>156</v>
      </c>
      <c r="B202" s="163" t="str">
        <f>(IF(F154="Saleable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2" s="164"/>
      <c r="D202" s="164"/>
      <c r="E202" s="164"/>
      <c r="F202" s="164"/>
      <c r="G202" s="164"/>
      <c r="H202" s="165"/>
    </row>
    <row r="203" spans="1:14" s="35" customFormat="1" x14ac:dyDescent="0.3">
      <c r="A203" s="47" t="s">
        <v>156</v>
      </c>
      <c r="B203" s="61" t="s">
        <v>126</v>
      </c>
      <c r="C203" s="62"/>
      <c r="D203" s="62"/>
      <c r="E203" s="62"/>
      <c r="F203" s="62"/>
      <c r="G203" s="62"/>
      <c r="H203" s="63"/>
    </row>
    <row r="204" spans="1:14" s="35" customFormat="1" x14ac:dyDescent="0.3">
      <c r="A204" s="47" t="s">
        <v>156</v>
      </c>
      <c r="B204" s="61" t="s">
        <v>211</v>
      </c>
      <c r="C204" s="62"/>
      <c r="D204" s="62"/>
      <c r="E204" s="62"/>
      <c r="F204" s="62"/>
      <c r="G204" s="62"/>
      <c r="H204" s="63"/>
    </row>
    <row r="205" spans="1:14" s="35" customFormat="1" x14ac:dyDescent="0.3">
      <c r="A205" s="47" t="s">
        <v>156</v>
      </c>
      <c r="B205" s="61" t="s">
        <v>155</v>
      </c>
      <c r="C205" s="62"/>
      <c r="D205" s="62"/>
      <c r="E205" s="62"/>
      <c r="F205" s="62"/>
      <c r="G205" s="62"/>
      <c r="H205" s="63"/>
    </row>
    <row r="206" spans="1:14" s="35" customFormat="1" x14ac:dyDescent="0.3">
      <c r="A206" s="47" t="s">
        <v>156</v>
      </c>
      <c r="B206" s="61" t="s">
        <v>127</v>
      </c>
      <c r="C206" s="62"/>
      <c r="D206" s="62"/>
      <c r="E206" s="62"/>
      <c r="F206" s="62"/>
      <c r="G206" s="62"/>
      <c r="H206" s="63"/>
    </row>
    <row r="207" spans="1:14" s="35" customFormat="1" ht="34.5" customHeight="1" x14ac:dyDescent="0.3">
      <c r="A207" s="47" t="s">
        <v>156</v>
      </c>
      <c r="B207" s="61" t="s">
        <v>157</v>
      </c>
      <c r="C207" s="62"/>
      <c r="D207" s="62"/>
      <c r="E207" s="62"/>
      <c r="F207" s="62"/>
      <c r="G207" s="62"/>
      <c r="H207" s="63"/>
    </row>
    <row r="208" spans="1:14" s="35" customFormat="1" x14ac:dyDescent="0.3">
      <c r="A208" s="47" t="s">
        <v>156</v>
      </c>
      <c r="B208" s="61" t="s">
        <v>128</v>
      </c>
      <c r="C208" s="62"/>
      <c r="D208" s="62"/>
      <c r="E208" s="62"/>
      <c r="F208" s="62"/>
      <c r="G208" s="62"/>
      <c r="H208" s="63"/>
    </row>
    <row r="209" spans="1:8" s="35" customFormat="1" x14ac:dyDescent="0.3">
      <c r="A209" s="47" t="s">
        <v>156</v>
      </c>
      <c r="B209" s="61" t="s">
        <v>231</v>
      </c>
      <c r="C209" s="62"/>
      <c r="D209" s="62"/>
      <c r="E209" s="62"/>
      <c r="F209" s="62"/>
      <c r="G209" s="62"/>
      <c r="H209" s="63"/>
    </row>
    <row r="210" spans="1:8" x14ac:dyDescent="0.3">
      <c r="A210" s="126" t="s">
        <v>63</v>
      </c>
      <c r="B210" s="126"/>
      <c r="C210" s="126"/>
      <c r="D210" s="126"/>
      <c r="E210" s="126"/>
      <c r="F210" s="126"/>
      <c r="G210" s="126"/>
      <c r="H210" s="126"/>
    </row>
    <row r="211" spans="1:8" x14ac:dyDescent="0.3">
      <c r="A211" s="98" t="s">
        <v>64</v>
      </c>
      <c r="B211" s="98"/>
      <c r="C211" s="98"/>
      <c r="D211" s="98"/>
      <c r="E211" s="98"/>
      <c r="F211" s="98"/>
      <c r="G211" s="98"/>
      <c r="H211" s="98"/>
    </row>
    <row r="212" spans="1:8" ht="15.75" customHeight="1" x14ac:dyDescent="0.3">
      <c r="A212" s="99" t="s">
        <v>65</v>
      </c>
      <c r="B212" s="99"/>
      <c r="C212" s="99"/>
      <c r="D212" s="99"/>
      <c r="E212" s="99"/>
      <c r="F212" s="99"/>
      <c r="G212" s="99"/>
      <c r="H212" s="99"/>
    </row>
    <row r="213" spans="1:8" x14ac:dyDescent="0.3">
      <c r="A213" s="98" t="s">
        <v>66</v>
      </c>
      <c r="B213" s="98"/>
      <c r="C213" s="98"/>
      <c r="D213" s="98"/>
      <c r="E213" s="98"/>
      <c r="F213" s="98"/>
      <c r="G213" s="98"/>
      <c r="H213" s="98"/>
    </row>
    <row r="214" spans="1:8" x14ac:dyDescent="0.3">
      <c r="A214" s="98" t="s">
        <v>67</v>
      </c>
      <c r="B214" s="98"/>
      <c r="C214" s="98"/>
      <c r="D214" s="98"/>
      <c r="E214" s="98"/>
      <c r="F214" s="98"/>
      <c r="G214" s="98"/>
      <c r="H214" s="98"/>
    </row>
    <row r="215" spans="1:8" x14ac:dyDescent="0.3">
      <c r="A215" s="98" t="s">
        <v>129</v>
      </c>
      <c r="B215" s="98"/>
      <c r="C215" s="98"/>
      <c r="D215" s="98"/>
      <c r="E215" s="98"/>
      <c r="F215" s="98"/>
      <c r="G215" s="98"/>
      <c r="H215" s="98"/>
    </row>
    <row r="216" spans="1:8" x14ac:dyDescent="0.3">
      <c r="A216" s="127" t="s">
        <v>130</v>
      </c>
      <c r="B216" s="127"/>
      <c r="C216" s="127"/>
      <c r="D216" s="127"/>
      <c r="E216" s="127"/>
      <c r="F216" s="127"/>
      <c r="G216" s="127"/>
      <c r="H216" s="127"/>
    </row>
    <row r="217" spans="1:8" x14ac:dyDescent="0.3">
      <c r="A217" s="157" t="s">
        <v>78</v>
      </c>
      <c r="B217" s="157"/>
      <c r="C217" s="157" t="s">
        <v>213</v>
      </c>
      <c r="D217" s="157"/>
      <c r="E217" s="157" t="s">
        <v>108</v>
      </c>
      <c r="F217" s="157"/>
      <c r="G217" s="157" t="s">
        <v>235</v>
      </c>
      <c r="H217" s="157"/>
    </row>
    <row r="218" spans="1:8" x14ac:dyDescent="0.3">
      <c r="A218" s="156" t="s">
        <v>80</v>
      </c>
      <c r="B218" s="156"/>
      <c r="C218" s="156"/>
      <c r="D218" s="156"/>
      <c r="E218" s="156"/>
      <c r="F218" s="156"/>
      <c r="G218" s="156"/>
      <c r="H218" s="156"/>
    </row>
    <row r="219" spans="1:8" x14ac:dyDescent="0.3">
      <c r="A219" s="156"/>
      <c r="B219" s="156"/>
      <c r="C219" s="156"/>
      <c r="D219" s="156"/>
      <c r="E219" s="156"/>
      <c r="F219" s="156"/>
      <c r="G219" s="156"/>
      <c r="H219" s="156"/>
    </row>
    <row r="220" spans="1:8" x14ac:dyDescent="0.3">
      <c r="A220" s="156"/>
      <c r="B220" s="156"/>
      <c r="C220" s="156"/>
      <c r="D220" s="156"/>
      <c r="E220" s="156"/>
      <c r="F220" s="156"/>
      <c r="G220" s="156"/>
      <c r="H220" s="156"/>
    </row>
    <row r="221" spans="1:8" x14ac:dyDescent="0.3">
      <c r="A221" s="156"/>
      <c r="B221" s="156"/>
      <c r="C221" s="156"/>
      <c r="D221" s="156"/>
      <c r="E221" s="156"/>
      <c r="F221" s="156"/>
      <c r="G221" s="156"/>
      <c r="H221" s="156"/>
    </row>
    <row r="222" spans="1:8" x14ac:dyDescent="0.3">
      <c r="A222" s="38" t="s">
        <v>68</v>
      </c>
      <c r="B222" s="39"/>
      <c r="C222" s="39"/>
      <c r="D222" s="38" t="str">
        <f>E8</f>
        <v>Sanskruti Rose</v>
      </c>
      <c r="F222" s="39"/>
      <c r="G222" s="39"/>
      <c r="H222" s="39"/>
    </row>
    <row r="223" spans="1:8" x14ac:dyDescent="0.3">
      <c r="A223" s="39"/>
      <c r="B223" s="39"/>
      <c r="C223" s="39"/>
      <c r="D223" s="39"/>
      <c r="E223" s="39"/>
      <c r="F223" s="39"/>
      <c r="G223" s="39"/>
      <c r="H223" s="39"/>
    </row>
    <row r="224" spans="1:8" x14ac:dyDescent="0.3">
      <c r="A224" s="39"/>
      <c r="B224" s="39"/>
      <c r="C224" s="39"/>
      <c r="D224" s="39"/>
      <c r="E224" s="39"/>
      <c r="F224" s="39"/>
      <c r="G224" s="39"/>
      <c r="H224" s="39"/>
    </row>
    <row r="225" ht="15" customHeight="1" x14ac:dyDescent="0.3"/>
    <row r="254" ht="21.75" customHeight="1" x14ac:dyDescent="0.3"/>
    <row r="258" spans="1:1" ht="28.5" customHeight="1" x14ac:dyDescent="0.3"/>
    <row r="263" spans="1:1" x14ac:dyDescent="0.3">
      <c r="A263" s="41" t="s">
        <v>169</v>
      </c>
    </row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6" spans="1:1" x14ac:dyDescent="0.3">
      <c r="A306" s="41" t="s">
        <v>69</v>
      </c>
    </row>
  </sheetData>
  <mergeCells count="389">
    <mergeCell ref="L192:M192"/>
    <mergeCell ref="A198:B198"/>
    <mergeCell ref="G187:H190"/>
    <mergeCell ref="G194:H198"/>
    <mergeCell ref="A193:H193"/>
    <mergeCell ref="A187:B187"/>
    <mergeCell ref="A188:B188"/>
    <mergeCell ref="L193:M193"/>
    <mergeCell ref="A194:B194"/>
    <mergeCell ref="A195:B195"/>
    <mergeCell ref="A196:B196"/>
    <mergeCell ref="A197:B197"/>
    <mergeCell ref="A189:B189"/>
    <mergeCell ref="A190:B190"/>
    <mergeCell ref="A191:H191"/>
    <mergeCell ref="A192:H192"/>
    <mergeCell ref="L186:M186"/>
    <mergeCell ref="L191:M191"/>
    <mergeCell ref="A130:E130"/>
    <mergeCell ref="A150:B150"/>
    <mergeCell ref="E150:F150"/>
    <mergeCell ref="C147:D147"/>
    <mergeCell ref="E147:F147"/>
    <mergeCell ref="G147:H147"/>
    <mergeCell ref="L174:M174"/>
    <mergeCell ref="A160:H160"/>
    <mergeCell ref="A161:A162"/>
    <mergeCell ref="A176:B176"/>
    <mergeCell ref="A136:E136"/>
    <mergeCell ref="G150:H150"/>
    <mergeCell ref="E142:F142"/>
    <mergeCell ref="G142:H142"/>
    <mergeCell ref="A142:B142"/>
    <mergeCell ref="C142:D142"/>
    <mergeCell ref="A172:H172"/>
    <mergeCell ref="A156:H156"/>
    <mergeCell ref="A163:H163"/>
    <mergeCell ref="A157:H157"/>
    <mergeCell ref="A164:H164"/>
    <mergeCell ref="A170:B170"/>
    <mergeCell ref="A39:B39"/>
    <mergeCell ref="C39:H39"/>
    <mergeCell ref="F128:H128"/>
    <mergeCell ref="A133:E133"/>
    <mergeCell ref="A104:B104"/>
    <mergeCell ref="A105:B105"/>
    <mergeCell ref="A106:B106"/>
    <mergeCell ref="A108:B108"/>
    <mergeCell ref="A109:B109"/>
    <mergeCell ref="A128:E128"/>
    <mergeCell ref="A125:E125"/>
    <mergeCell ref="F129:H129"/>
    <mergeCell ref="G100:H100"/>
    <mergeCell ref="A99:B99"/>
    <mergeCell ref="C99:H99"/>
    <mergeCell ref="A100:B100"/>
    <mergeCell ref="E100:F100"/>
    <mergeCell ref="C52:H52"/>
    <mergeCell ref="E101:F110"/>
    <mergeCell ref="F125:H125"/>
    <mergeCell ref="F130:H130"/>
    <mergeCell ref="D57:H57"/>
    <mergeCell ref="A64:C64"/>
    <mergeCell ref="D64:H64"/>
    <mergeCell ref="B207:H207"/>
    <mergeCell ref="A48:B48"/>
    <mergeCell ref="C48:H48"/>
    <mergeCell ref="B205:H205"/>
    <mergeCell ref="A102:B102"/>
    <mergeCell ref="A103:B103"/>
    <mergeCell ref="G87:H96"/>
    <mergeCell ref="A88:B88"/>
    <mergeCell ref="A89:B89"/>
    <mergeCell ref="A90:B90"/>
    <mergeCell ref="F127:H127"/>
    <mergeCell ref="A127:E127"/>
    <mergeCell ref="D154:D155"/>
    <mergeCell ref="A129:E129"/>
    <mergeCell ref="A159:B159"/>
    <mergeCell ref="A85:B85"/>
    <mergeCell ref="C85:H85"/>
    <mergeCell ref="A86:B86"/>
    <mergeCell ref="E86:F86"/>
    <mergeCell ref="G86:H86"/>
    <mergeCell ref="A131:E131"/>
    <mergeCell ref="F131:H131"/>
    <mergeCell ref="A132:E132"/>
    <mergeCell ref="A134:E134"/>
    <mergeCell ref="L169:M169"/>
    <mergeCell ref="L166:M166"/>
    <mergeCell ref="A167:B167"/>
    <mergeCell ref="L167:M167"/>
    <mergeCell ref="A168:B168"/>
    <mergeCell ref="L168:M168"/>
    <mergeCell ref="B200:H200"/>
    <mergeCell ref="B201:H201"/>
    <mergeCell ref="L170:M170"/>
    <mergeCell ref="A171:B171"/>
    <mergeCell ref="L171:M171"/>
    <mergeCell ref="G166:H171"/>
    <mergeCell ref="L172:M172"/>
    <mergeCell ref="A173:H173"/>
    <mergeCell ref="L173:M173"/>
    <mergeCell ref="A177:H177"/>
    <mergeCell ref="L177:M177"/>
    <mergeCell ref="L178:M178"/>
    <mergeCell ref="L179:M179"/>
    <mergeCell ref="G175:H176"/>
    <mergeCell ref="L184:M184"/>
    <mergeCell ref="A185:H185"/>
    <mergeCell ref="L185:M185"/>
    <mergeCell ref="A186:H186"/>
    <mergeCell ref="F133:H133"/>
    <mergeCell ref="C140:D140"/>
    <mergeCell ref="F136:H136"/>
    <mergeCell ref="F134:H134"/>
    <mergeCell ref="A135:E135"/>
    <mergeCell ref="C141:D141"/>
    <mergeCell ref="E141:F141"/>
    <mergeCell ref="B204:H204"/>
    <mergeCell ref="A199:H199"/>
    <mergeCell ref="C154:C155"/>
    <mergeCell ref="B161:B162"/>
    <mergeCell ref="A169:B169"/>
    <mergeCell ref="A166:B166"/>
    <mergeCell ref="A180:B180"/>
    <mergeCell ref="A181:B181"/>
    <mergeCell ref="A182:B182"/>
    <mergeCell ref="A183:B183"/>
    <mergeCell ref="G180:H183"/>
    <mergeCell ref="A184:H184"/>
    <mergeCell ref="A178:H178"/>
    <mergeCell ref="A179:H179"/>
    <mergeCell ref="B154:B155"/>
    <mergeCell ref="A154:A155"/>
    <mergeCell ref="C161:C162"/>
    <mergeCell ref="A38:B38"/>
    <mergeCell ref="C38:H38"/>
    <mergeCell ref="A45:D45"/>
    <mergeCell ref="L159:M159"/>
    <mergeCell ref="A80:B80"/>
    <mergeCell ref="C145:D145"/>
    <mergeCell ref="E145:F145"/>
    <mergeCell ref="G145:H145"/>
    <mergeCell ref="F132:H132"/>
    <mergeCell ref="A126:E126"/>
    <mergeCell ref="A97:B97"/>
    <mergeCell ref="C97:H97"/>
    <mergeCell ref="A158:H158"/>
    <mergeCell ref="E154:E155"/>
    <mergeCell ref="G154:H155"/>
    <mergeCell ref="A87:B87"/>
    <mergeCell ref="E87:F96"/>
    <mergeCell ref="A94:B94"/>
    <mergeCell ref="A95:B95"/>
    <mergeCell ref="A96:B96"/>
    <mergeCell ref="A101:B101"/>
    <mergeCell ref="A46:D46"/>
    <mergeCell ref="A47:H47"/>
    <mergeCell ref="C146:D146"/>
    <mergeCell ref="A37:H37"/>
    <mergeCell ref="A36:B36"/>
    <mergeCell ref="C36:E36"/>
    <mergeCell ref="G101:H110"/>
    <mergeCell ref="A41:D41"/>
    <mergeCell ref="E41:H41"/>
    <mergeCell ref="F33:H33"/>
    <mergeCell ref="F34:H34"/>
    <mergeCell ref="A40:H40"/>
    <mergeCell ref="A62:C62"/>
    <mergeCell ref="A63:C63"/>
    <mergeCell ref="D62:H62"/>
    <mergeCell ref="E73:F82"/>
    <mergeCell ref="G73:H82"/>
    <mergeCell ref="A81:B81"/>
    <mergeCell ref="A82:B82"/>
    <mergeCell ref="D63:H63"/>
    <mergeCell ref="A43:D43"/>
    <mergeCell ref="E43:H43"/>
    <mergeCell ref="E44:H44"/>
    <mergeCell ref="E45:H45"/>
    <mergeCell ref="E46:H46"/>
    <mergeCell ref="A44:D4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73:B73"/>
    <mergeCell ref="G72:H7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72:F72"/>
    <mergeCell ref="A65:C65"/>
    <mergeCell ref="D65:H65"/>
    <mergeCell ref="A68:C68"/>
    <mergeCell ref="D68:H68"/>
    <mergeCell ref="A66:C66"/>
    <mergeCell ref="D66:H66"/>
    <mergeCell ref="A67:C67"/>
    <mergeCell ref="D67:H67"/>
    <mergeCell ref="A218:H221"/>
    <mergeCell ref="A217:B217"/>
    <mergeCell ref="E217:F217"/>
    <mergeCell ref="C217:D217"/>
    <mergeCell ref="G217:H217"/>
    <mergeCell ref="A139:H139"/>
    <mergeCell ref="A137:E137"/>
    <mergeCell ref="F137:H137"/>
    <mergeCell ref="A138:E138"/>
    <mergeCell ref="F138:H138"/>
    <mergeCell ref="A174:H174"/>
    <mergeCell ref="A213:H213"/>
    <mergeCell ref="A143:H143"/>
    <mergeCell ref="A216:H216"/>
    <mergeCell ref="A214:H214"/>
    <mergeCell ref="A210:H210"/>
    <mergeCell ref="A211:H211"/>
    <mergeCell ref="E144:F144"/>
    <mergeCell ref="B208:H208"/>
    <mergeCell ref="G159:H159"/>
    <mergeCell ref="B206:H206"/>
    <mergeCell ref="B202:H202"/>
    <mergeCell ref="G140:H140"/>
    <mergeCell ref="B203:H203"/>
    <mergeCell ref="C150:D150"/>
    <mergeCell ref="A165:H165"/>
    <mergeCell ref="F135:H135"/>
    <mergeCell ref="E140:F140"/>
    <mergeCell ref="A140:B140"/>
    <mergeCell ref="C149:D149"/>
    <mergeCell ref="E149:F149"/>
    <mergeCell ref="G149:H149"/>
    <mergeCell ref="C148:D148"/>
    <mergeCell ref="E148:F148"/>
    <mergeCell ref="G148:H148"/>
    <mergeCell ref="B145:B149"/>
    <mergeCell ref="A151:B151"/>
    <mergeCell ref="C151:D151"/>
    <mergeCell ref="E151:F151"/>
    <mergeCell ref="G151:H151"/>
    <mergeCell ref="A153:H153"/>
    <mergeCell ref="E146:F146"/>
    <mergeCell ref="G146:H146"/>
    <mergeCell ref="C144:D144"/>
    <mergeCell ref="G144:H144"/>
    <mergeCell ref="A152:H152"/>
    <mergeCell ref="A114:B114"/>
    <mergeCell ref="A49:B49"/>
    <mergeCell ref="C49:E49"/>
    <mergeCell ref="G49:H49"/>
    <mergeCell ref="G51:H51"/>
    <mergeCell ref="D55:H55"/>
    <mergeCell ref="C51:E51"/>
    <mergeCell ref="D58:H58"/>
    <mergeCell ref="D59:H59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A57:C57"/>
    <mergeCell ref="G50:H50"/>
    <mergeCell ref="A51:B52"/>
    <mergeCell ref="C71:H71"/>
    <mergeCell ref="A74:B74"/>
    <mergeCell ref="A76:B76"/>
    <mergeCell ref="A77:B77"/>
    <mergeCell ref="E42:H42"/>
    <mergeCell ref="A42:D42"/>
    <mergeCell ref="A215:H215"/>
    <mergeCell ref="A212:H212"/>
    <mergeCell ref="A175:B175"/>
    <mergeCell ref="A144:B144"/>
    <mergeCell ref="D161:D162"/>
    <mergeCell ref="E161:E162"/>
    <mergeCell ref="G161:H162"/>
    <mergeCell ref="A91:B91"/>
    <mergeCell ref="A92:B92"/>
    <mergeCell ref="A93:B93"/>
    <mergeCell ref="A83:B83"/>
    <mergeCell ref="C83:H83"/>
    <mergeCell ref="A107:B107"/>
    <mergeCell ref="A78:B78"/>
    <mergeCell ref="F126:H126"/>
    <mergeCell ref="G141:H141"/>
    <mergeCell ref="A110:B110"/>
    <mergeCell ref="A111:B111"/>
    <mergeCell ref="C111:H111"/>
    <mergeCell ref="A113:B113"/>
    <mergeCell ref="C113:H113"/>
    <mergeCell ref="B209:H209"/>
    <mergeCell ref="D61:H61"/>
    <mergeCell ref="A58:C61"/>
    <mergeCell ref="E114:F114"/>
    <mergeCell ref="G114:H114"/>
    <mergeCell ref="A115:B115"/>
    <mergeCell ref="E115:F124"/>
    <mergeCell ref="G115:H124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D60:H60"/>
    <mergeCell ref="A79:B79"/>
    <mergeCell ref="A72:B72"/>
    <mergeCell ref="A75:B75"/>
    <mergeCell ref="A71:B71"/>
    <mergeCell ref="A69:B69"/>
    <mergeCell ref="C69:H69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38" max="7" man="1"/>
    <brk id="68" max="7" man="1"/>
    <brk id="96" max="7" man="1"/>
    <brk id="151" max="7" man="1"/>
    <brk id="221" max="16383" man="1"/>
    <brk id="262" max="16383" man="1"/>
    <brk id="30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8" t="s">
        <v>109</v>
      </c>
      <c r="C3" s="198"/>
      <c r="D3" s="198"/>
      <c r="E3" s="198"/>
      <c r="F3" s="198"/>
      <c r="G3" s="198"/>
      <c r="H3" s="198"/>
    </row>
    <row r="4" spans="1:9" x14ac:dyDescent="0.3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2025-08-15T10:40:24Z</cp:lastPrinted>
  <dcterms:created xsi:type="dcterms:W3CDTF">2019-07-16T09:29:46Z</dcterms:created>
  <dcterms:modified xsi:type="dcterms:W3CDTF">2025-08-15T10:46:40Z</dcterms:modified>
</cp:coreProperties>
</file>