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C3301374-1AFF-4AB7-A84A-1B43F616B1EA}"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6" i="1" l="1"/>
  <c r="E143" i="1"/>
  <c r="I143" i="1"/>
  <c r="E8" i="1" l="1"/>
  <c r="G143" i="1"/>
  <c r="G136" i="1"/>
  <c r="E160" i="1" l="1"/>
  <c r="D160" i="1"/>
  <c r="E159" i="1"/>
  <c r="D159" i="1"/>
  <c r="E158" i="1"/>
  <c r="D158" i="1"/>
  <c r="E157" i="1"/>
  <c r="D157" i="1"/>
  <c r="E156" i="1"/>
  <c r="D156" i="1"/>
  <c r="E152" i="1"/>
  <c r="D152" i="1"/>
  <c r="E151" i="1"/>
  <c r="D151" i="1"/>
  <c r="E150" i="1"/>
  <c r="D150" i="1"/>
  <c r="E149" i="1"/>
  <c r="D149" i="1"/>
  <c r="E148" i="1"/>
  <c r="D148" i="1"/>
  <c r="E147" i="1"/>
  <c r="D147" i="1"/>
  <c r="E146" i="1"/>
  <c r="D146" i="1"/>
  <c r="E145" i="1"/>
  <c r="D145" i="1"/>
  <c r="D143" i="1"/>
  <c r="E142" i="1"/>
  <c r="D142" i="1"/>
  <c r="E141" i="1"/>
  <c r="D141" i="1"/>
  <c r="E140" i="1"/>
  <c r="D140" i="1"/>
  <c r="E139" i="1"/>
  <c r="D139" i="1"/>
  <c r="E138" i="1"/>
  <c r="D138" i="1"/>
  <c r="E137" i="1"/>
  <c r="D137" i="1"/>
  <c r="D136" i="1"/>
  <c r="D130" i="1"/>
  <c r="F130" i="1" s="1"/>
  <c r="J130" i="1" s="1"/>
  <c r="D129" i="1"/>
  <c r="F129" i="1" s="1"/>
  <c r="J129" i="1" s="1"/>
  <c r="D128" i="1"/>
  <c r="D127" i="1"/>
  <c r="D126" i="1"/>
  <c r="D125" i="1"/>
  <c r="J123" i="1"/>
  <c r="I159" i="1"/>
  <c r="I156" i="1"/>
  <c r="I136" i="1"/>
  <c r="I137" i="1"/>
  <c r="A136" i="1"/>
  <c r="A137" i="1" s="1"/>
  <c r="A138" i="1" s="1"/>
  <c r="A139" i="1" s="1"/>
  <c r="A140" i="1" s="1"/>
  <c r="A141" i="1" s="1"/>
  <c r="A142" i="1" s="1"/>
  <c r="A143" i="1" s="1"/>
  <c r="I128" i="1"/>
  <c r="E43" i="1"/>
  <c r="A156" i="1"/>
  <c r="F149" i="1" l="1"/>
  <c r="J149" i="1" s="1"/>
  <c r="F156" i="1"/>
  <c r="J156" i="1" s="1"/>
  <c r="C115" i="1"/>
  <c r="C111" i="1"/>
  <c r="C112" i="1" s="1"/>
  <c r="F136" i="1"/>
  <c r="C116" i="1"/>
  <c r="F143" i="1"/>
  <c r="F151" i="1"/>
  <c r="J151" i="1" s="1"/>
  <c r="F157" i="1"/>
  <c r="J157" i="1" s="1"/>
  <c r="F138" i="1"/>
  <c r="F142" i="1"/>
  <c r="F150" i="1"/>
  <c r="J150" i="1" s="1"/>
  <c r="F152" i="1"/>
  <c r="J152" i="1" s="1"/>
  <c r="F158" i="1"/>
  <c r="J158" i="1" s="1"/>
  <c r="F140" i="1"/>
  <c r="F137" i="1"/>
  <c r="F159" i="1"/>
  <c r="J159" i="1" s="1"/>
  <c r="F160" i="1"/>
  <c r="J160" i="1" s="1"/>
  <c r="F141" i="1"/>
  <c r="F139" i="1"/>
  <c r="B163" i="1"/>
  <c r="A157" i="1"/>
  <c r="C117" i="1" l="1"/>
  <c r="E116" i="1"/>
  <c r="G116" i="1"/>
  <c r="F126" i="1"/>
  <c r="J126" i="1" s="1"/>
  <c r="F127" i="1"/>
  <c r="J127" i="1" s="1"/>
  <c r="F128" i="1"/>
  <c r="J128" i="1" s="1"/>
  <c r="F125" i="1"/>
  <c r="J125" i="1" s="1"/>
  <c r="A158" i="1"/>
  <c r="G111" i="1" l="1"/>
  <c r="G112" i="1" s="1"/>
  <c r="E111" i="1"/>
  <c r="E112" i="1" s="1"/>
  <c r="S33" i="1"/>
  <c r="A159" i="1"/>
  <c r="F11" i="5" l="1"/>
  <c r="G11" i="5" s="1"/>
  <c r="F10" i="5"/>
  <c r="G10" i="5" s="1"/>
  <c r="F9" i="5"/>
  <c r="G9" i="5" s="1"/>
  <c r="F8" i="5"/>
  <c r="G8" i="5" s="1"/>
  <c r="F7" i="5"/>
  <c r="G7" i="5" s="1"/>
  <c r="F6" i="5"/>
  <c r="G6" i="5" s="1"/>
  <c r="F5" i="5"/>
  <c r="G5" i="5" s="1"/>
  <c r="G12" i="5" s="1"/>
  <c r="D185" i="1"/>
  <c r="B164" i="1"/>
  <c r="F148" i="1"/>
  <c r="J148" i="1" s="1"/>
  <c r="F147" i="1"/>
  <c r="J147" i="1" s="1"/>
  <c r="F146" i="1"/>
  <c r="J146" i="1" s="1"/>
  <c r="F145" i="1"/>
  <c r="J145" i="1" s="1"/>
  <c r="A126" i="1"/>
  <c r="A127" i="1" s="1"/>
  <c r="A128" i="1" s="1"/>
  <c r="A129" i="1" s="1"/>
  <c r="A130" i="1" s="1"/>
  <c r="C118" i="1"/>
  <c r="F108" i="1"/>
  <c r="C82" i="1"/>
  <c r="C68" i="1"/>
  <c r="D62" i="1"/>
  <c r="D56" i="1"/>
  <c r="C51" i="1"/>
  <c r="C52" i="1" s="1"/>
  <c r="E44" i="1"/>
  <c r="E45" i="1" s="1"/>
  <c r="E31" i="1"/>
  <c r="E28" i="1"/>
  <c r="E26" i="1"/>
  <c r="C16" i="1"/>
  <c r="I15" i="1"/>
  <c r="Z13" i="1"/>
  <c r="E3" i="1"/>
  <c r="A160" i="1"/>
  <c r="A145" i="1"/>
  <c r="H69" i="1"/>
  <c r="H83" i="1"/>
  <c r="G115" i="1" l="1"/>
  <c r="G117" i="1" s="1"/>
  <c r="G118" i="1" s="1"/>
  <c r="E115" i="1"/>
  <c r="E117" i="1" s="1"/>
  <c r="E118" i="1" s="1"/>
  <c r="J68" i="1"/>
  <c r="J70" i="1" s="1"/>
  <c r="J71" i="1"/>
  <c r="J72" i="1"/>
  <c r="J73" i="1"/>
  <c r="C72" i="1" s="1"/>
  <c r="J87" i="1"/>
  <c r="D91" i="1"/>
  <c r="D93" i="1"/>
  <c r="J86" i="1"/>
  <c r="D92" i="1"/>
  <c r="J82" i="1"/>
  <c r="J84" i="1" s="1"/>
  <c r="D90" i="1"/>
  <c r="J85" i="1"/>
  <c r="D89" i="1"/>
  <c r="D95" i="1"/>
  <c r="D94" i="1"/>
  <c r="D88" i="1"/>
  <c r="D76" i="1"/>
  <c r="D78" i="1"/>
  <c r="D77" i="1"/>
  <c r="D81" i="1"/>
  <c r="D75" i="1"/>
  <c r="D80" i="1"/>
  <c r="D74" i="1"/>
  <c r="D79" i="1"/>
  <c r="B83" i="1"/>
  <c r="B69" i="1"/>
  <c r="J74" i="1" s="1"/>
  <c r="A146" i="1"/>
  <c r="C86" i="1" l="1"/>
  <c r="D86" i="1" s="1"/>
  <c r="D72" i="1"/>
  <c r="J93" i="1"/>
  <c r="J90" i="1"/>
  <c r="J92" i="1"/>
  <c r="J91" i="1"/>
  <c r="J88" i="1"/>
  <c r="J89" i="1" s="1"/>
  <c r="J78" i="1"/>
  <c r="J76" i="1"/>
  <c r="J77" i="1"/>
  <c r="J75" i="1"/>
  <c r="J80" i="1" s="1"/>
  <c r="J79" i="1"/>
  <c r="A147" i="1"/>
  <c r="J81" i="1" l="1"/>
  <c r="C73" i="1" s="1"/>
  <c r="E72" i="1" s="1"/>
  <c r="J94" i="1"/>
  <c r="A148" i="1"/>
  <c r="D73" i="1" l="1"/>
  <c r="I69" i="1" s="1"/>
  <c r="I70" i="1" s="1"/>
  <c r="J69" i="1"/>
  <c r="J95" i="1"/>
  <c r="C87" i="1" s="1"/>
  <c r="G72" i="1"/>
  <c r="D66" i="1" s="1"/>
  <c r="F67" i="1" s="1"/>
  <c r="A149" i="1"/>
  <c r="I68" i="1" l="1"/>
  <c r="C70" i="1" s="1"/>
  <c r="D67" i="1"/>
  <c r="D87" i="1"/>
  <c r="I83" i="1" s="1"/>
  <c r="I84" i="1" s="1"/>
  <c r="E86" i="1"/>
  <c r="G86" i="1"/>
  <c r="J83" i="1"/>
  <c r="A150" i="1"/>
  <c r="I82" i="1" l="1"/>
  <c r="C84" i="1" s="1"/>
  <c r="A151" i="1"/>
  <c r="A1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6"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1" authorId="1" shapeId="0" xr:uid="{00000000-0006-0000-0000-000004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shapeId="0" xr:uid="{00000000-0006-0000-0000-000005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<sst xmlns="http://schemas.openxmlformats.org/spreadsheetml/2006/main" count="570" uniqueCount="343">
  <si>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</si>
  <si>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</si>
  <si>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</si>
  <si>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</si>
  <si>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</si>
  <si>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</si>
  <si>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</si>
  <si>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</si>
  <si>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</si>
  <si>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</si>
  <si>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</si>
  <si>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</si>
  <si>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</si>
  <si>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</si>
  <si>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</si>
  <si>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</si>
  <si>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</si>
  <si>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</si>
  <si>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</si>
  <si>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</si>
  <si>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</si>
  <si>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</si>
  <si>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</si>
  <si>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</si>
  <si>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</si>
  <si>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</si>
  <si>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</si>
  <si>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</si>
  <si>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</si>
  <si>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</si>
  <si>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</si>
  <si>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</si>
  <si>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</si>
  <si>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</si>
  <si>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</si>
  <si>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</si>
  <si>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</si>
  <si>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</si>
  <si>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</si>
  <si>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</si>
  <si>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</si>
  <si>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</si>
  <si>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</si>
  <si>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</si>
  <si>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</si>
  <si>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</si>
  <si>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</si>
  <si>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</si>
  <si>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</si>
  <si>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</si>
  <si>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</si>
  <si>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</si>
  <si>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</si>
  <si>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</si>
  <si>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</si>
  <si>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</si>
  <si>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</si>
  <si>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</si>
  <si>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</si>
  <si>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</si>
  <si>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</si>
  <si>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</si>
  <si>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</si>
  <si>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</si>
  <si>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</si>
  <si>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</si>
  <si>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</si>
  <si>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</si>
  <si>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</si>
  <si>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</si>
  <si>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</si>
  <si>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</si>
  <si>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</si>
  <si>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</si>
  <si>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</si>
  <si>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</si>
  <si>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</si>
  <si>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</si>
  <si>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</si>
  <si>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</si>
  <si>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</si>
  <si>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</si>
  <si>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</si>
  <si>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</si>
  <si>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</si>
  <si>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</si>
  <si>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</si>
  <si>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</si>
  <si>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</si>
  <si>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</si>
  <si>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</si>
  <si>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</si>
  <si>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</si>
  <si>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</si>
  <si>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</si>
  <si>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</si>
  <si>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</si>
  <si>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</si>
  <si>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</si>
  <si>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</si>
  <si>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</si>
  <si>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</si>
  <si>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</si>
  <si>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</si>
  <si>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</si>
  <si>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</si>
  <si>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</si>
  <si>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</si>
  <si>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</si>
  <si>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</si>
  <si>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</si>
  <si>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</si>
  <si>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</si>
  <si>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</si>
  <si>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</si>
  <si>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</si>
  <si>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</si>
  <si>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</si>
  <si>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</si>
  <si>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</si>
  <si>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</si>
  <si>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</si>
  <si>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</si>
  <si>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</si>
  <si>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</si>
  <si>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</si>
  <si>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</si>
  <si>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</si>
  <si>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</si>
  <si>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</si>
  <si>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</si>
  <si>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</si>
  <si>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</si>
  <si>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</si>
  <si>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</si>
  <si>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</si>
  <si>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</si>
  <si>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</si>
  <si>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</si>
  <si>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</si>
  <si>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</si>
  <si>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</si>
  <si>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</si>
  <si>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</si>
  <si>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</si>
  <si>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</si>
  <si>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</si>
  <si>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</si>
  <si>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</si>
  <si>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</si>
  <si>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</si>
  <si>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</si>
  <si>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</si>
  <si>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</si>
  <si>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</si>
  <si>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</si>
  <si>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</si>
  <si>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</si>
  <si>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</si>
  <si>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</si>
  <si>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</si>
  <si>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</si>
  <si>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</si>
  <si>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</si>
  <si>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</si>
  <si>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</si>
  <si>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</si>
  <si>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</si>
  <si>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</si>
  <si>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</si>
  <si>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</si>
  <si>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</si>
  <si>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</si>
  <si>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</si>
  <si>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</si>
  <si>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</si>
  <si>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</si>
  <si>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</si>
  <si>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</si>
  <si>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</si>
  <si>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</si>
  <si>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</si>
  <si>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</si>
  <si>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</si>
  <si>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</si>
  <si>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</si>
  <si>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</si>
  <si>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</si>
  <si>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</si>
  <si>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</si>
  <si>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</si>
  <si>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</si>
  <si>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</si>
  <si>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</si>
  <si>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</si>
  <si>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</si>
  <si>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</si>
  <si>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</si>
  <si>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</si>
  <si>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</si>
  <si>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</si>
  <si>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</si>
  <si>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</si>
  <si>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</si>
  <si>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</si>
  <si>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</si>
  <si>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</si>
  <si>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</si>
  <si>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</si>
  <si>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</si>
  <si>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</si>
  <si>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</si>
  <si>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</si>
  <si>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</si>
  <si>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</si>
  <si>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</si>
  <si>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</si>
  <si>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</si>
  <si>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</si>
  <si>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</si>
  <si>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</si>
  <si>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</si>
  <si>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</si>
  <si>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</si>
  <si>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</si>
  <si>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</si>
  <si>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</si>
  <si>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</si>
  <si>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</si>
  <si>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</si>
  <si>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</si>
  <si>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</si>
  <si>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</si>
  <si>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</si>
  <si>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</si>
  <si>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</si>
  <si>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</si>
  <si>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</si>
  <si>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</si>
  <si>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</si>
  <si>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</si>
  <si>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</si>
  <si>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</si>
  <si>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</si>
  <si>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</si>
  <si>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</si>
  <si>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</si>
  <si>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</si>
  <si>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</si>
  <si>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</si>
  <si>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</si>
  <si>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</si>
  <si>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</si>
  <si>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</si>
  <si>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</si>
  <si>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</si>
  <si>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</si>
  <si>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</si>
  <si>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</si>
  <si>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</si>
  <si>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</si>
  <si>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</si>
  <si>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</si>
  <si>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</si>
  <si>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</si>
  <si>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</si>
  <si>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</si>
  <si>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</si>
  <si>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</si>
  <si>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</si>
  <si>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</si>
  <si>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</si>
  <si>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</si>
  <si>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</si>
  <si>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</si>
  <si>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</si>
  <si>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</si>
  <si>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</si>
  <si>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</si>
  <si>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</si>
  <si>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</si>
  <si>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</si>
  <si>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</si>
  <si>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</si>
  <si>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</si>
  <si>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</si>
  <si>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</si>
  <si>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</si>
  <si>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</si>
  <si>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</si>
  <si>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</si>
  <si>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</si>
  <si>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</si>
  <si>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</si>
  <si>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Mali Infra
</t>
  </si>
  <si>
    <t>Mali Avenue</t>
  </si>
  <si>
    <t xml:space="preserve">Mr. Suhil Panda 8355892249
</t>
  </si>
  <si>
    <t>02 Wings</t>
  </si>
  <si>
    <t>P51700055096</t>
  </si>
  <si>
    <t>Bhal</t>
  </si>
  <si>
    <t>KDMC/TPD/BP/27Village/2023-24/18</t>
  </si>
  <si>
    <t>A Wing = G + 1st to 7th Floor</t>
  </si>
  <si>
    <t>B Wing = G + 1st to 7th Floor</t>
  </si>
  <si>
    <t>Wing A</t>
  </si>
  <si>
    <t>Shop</t>
  </si>
  <si>
    <t>1st Floor For Residential</t>
  </si>
  <si>
    <t>1BHK</t>
  </si>
  <si>
    <t>Malangad Road</t>
  </si>
  <si>
    <t>6.3 KM from Kalyan Railway Station</t>
  </si>
  <si>
    <t>Kalyan East</t>
  </si>
  <si>
    <t>Mali Pinnacle</t>
  </si>
  <si>
    <t>Wing B</t>
  </si>
  <si>
    <t>1RK</t>
  </si>
  <si>
    <t>1st to 7th Floor For Residential</t>
  </si>
  <si>
    <t>Ground Floor For Meter Room, Parking &amp; Lobby</t>
  </si>
  <si>
    <t>Ground Floor For Commercial, Parking &amp; Lobby</t>
  </si>
  <si>
    <t>2nd to 7th Floor For Residential</t>
  </si>
  <si>
    <t>Flats -91, Shops -6</t>
  </si>
  <si>
    <t>We considered Gross carpet area = Net carpet + Enclose balcony + Balcony</t>
  </si>
  <si>
    <t>Other Plot</t>
  </si>
  <si>
    <t>Other Plot (Hissa No.5)</t>
  </si>
  <si>
    <t>Other Plot (Hissa No.3)</t>
  </si>
  <si>
    <t>Building</t>
  </si>
  <si>
    <t>18 &amp; Hissa No.4</t>
  </si>
  <si>
    <t xml:space="preserve">Play Ground Area, Vitrified tiles flooring, Granite Kitchen Platform, Decorative Entrance, Landscaping &amp; Garden, etc.
</t>
  </si>
  <si>
    <t>Builder Saleable Area</t>
  </si>
  <si>
    <t>Approved Plans, CC, Builder Saleable Area, Cost Sheet.</t>
  </si>
  <si>
    <t>19.1956154,73.136375</t>
  </si>
  <si>
    <t>https://maps.app.goo.gl/xgN6W7xNnufUa4TJA</t>
  </si>
  <si>
    <t>Wing A &amp; B</t>
  </si>
  <si>
    <t>Survey No</t>
  </si>
  <si>
    <t>Wing A &amp; B = Stilt + 1st to 7th Floor</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</si>
  <si>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</si>
  <si>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</si>
  <si>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</si>
  <si>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Development Charges, Water, Electricity, Drainages, Sewerage Connection</t>
  </si>
  <si>
    <t xml:space="preserve">Mr. Umesh 9819506195
</t>
  </si>
  <si>
    <t>Kalyan Dombivli Municipal Corporation (KDMC)</t>
  </si>
  <si>
    <t>Mangesh Bapardekar</t>
  </si>
  <si>
    <t>Construction work is same as last visit dtd.01/06/2024</t>
  </si>
  <si>
    <t>Wing A &amp; B = Construction work is in process at the time of Visit.</t>
  </si>
  <si>
    <t>As per RERA - 31/12/2026</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</si>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</sst>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0_);_(* \(#,##0.00\);_(* &quot;-&quot;??_);_(@_)"/>
    <numFmt numFmtId="166" formatCode="0.0"/>
    <numFmt numFmtId="167" formatCode="_(* #,##0_);_(* \(#,##0\);_(* &quot;-&quot;??_);_(@_)"/>
    <numFmt numFmtId="168"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5" fillId="0" borderId="0" applyNumberFormat="0" applyFill="0" applyBorder="0" applyAlignment="0" applyProtection="0"/>
  </cellStyleXfs>
  <cellXfs count="20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6" fillId="0" borderId="1" xfId="1" applyNumberFormat="1" applyFont="1" applyBorder="1" applyAlignment="1">
      <alignment horizontal="center" vertic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0" fontId="23" fillId="2" borderId="15" xfId="0" applyFont="1" applyFill="1" applyBorder="1"/>
    <xf numFmtId="0" fontId="24" fillId="0" borderId="9" xfId="0" applyFont="1" applyBorder="1"/>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68" fontId="11" fillId="0" borderId="1" xfId="9" applyNumberFormat="1" applyFont="1" applyFill="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0" xfId="1" applyFont="1" applyAlignment="1">
      <alignment horizontal="center" vertical="center"/>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5"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6" fontId="5" fillId="0" borderId="1" xfId="1" applyNumberFormat="1" applyFont="1" applyBorder="1" applyAlignment="1" applyProtection="1">
      <alignment horizontal="left" vertical="top"/>
      <protection locked="0"/>
    </xf>
    <xf numFmtId="166"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12" fillId="0" borderId="8" xfId="1" applyNumberFormat="1" applyFont="1" applyBorder="1" applyAlignment="1" applyProtection="1">
      <alignment horizontal="center" vertical="top" wrapText="1"/>
      <protection locked="0"/>
    </xf>
    <xf numFmtId="1" fontId="12" fillId="0" borderId="21" xfId="1" applyNumberFormat="1" applyFont="1" applyBorder="1" applyAlignment="1" applyProtection="1">
      <alignment horizontal="center" vertical="top" wrapText="1"/>
      <protection locked="0"/>
    </xf>
    <xf numFmtId="1" fontId="12" fillId="0" borderId="9" xfId="1" applyNumberFormat="1" applyFont="1" applyBorder="1" applyAlignment="1" applyProtection="1">
      <alignment horizontal="center" vertical="top" wrapText="1"/>
      <protection locked="0"/>
    </xf>
    <xf numFmtId="0" fontId="12" fillId="0" borderId="1" xfId="1" applyFont="1" applyBorder="1" applyAlignment="1" applyProtection="1">
      <alignmen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 fontId="12" fillId="0" borderId="1"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168" fontId="11" fillId="0" borderId="1" xfId="9" applyNumberFormat="1" applyFont="1" applyFill="1" applyBorder="1" applyAlignment="1" applyProtection="1">
      <alignment horizontal="left" vertical="center"/>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671513</xdr:colOff>
      <xdr:row>291</xdr:row>
      <xdr:rowOff>142875</xdr:rowOff>
    </xdr:from>
    <xdr:to>
      <xdr:col>7</xdr:col>
      <xdr:colOff>214313</xdr:colOff>
      <xdr:row>309</xdr:row>
      <xdr:rowOff>7620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671513" y="58275855"/>
          <a:ext cx="5273040" cy="3430905"/>
        </a:xfrm>
        <a:prstGeom prst="rect">
          <a:avLst/>
        </a:prstGeom>
        <a:ln>
          <a:solidFill>
            <a:schemeClr val="tx1"/>
          </a:solidFill>
        </a:ln>
      </xdr:spPr>
    </xdr:pic>
    <xdr:clientData/>
  </xdr:twoCellAnchor>
  <xdr:twoCellAnchor editAs="oneCell">
    <xdr:from>
      <xdr:col>11</xdr:col>
      <xdr:colOff>895350</xdr:colOff>
      <xdr:row>143</xdr:row>
      <xdr:rowOff>190500</xdr:rowOff>
    </xdr:from>
    <xdr:to>
      <xdr:col>15</xdr:col>
      <xdr:colOff>9215</xdr:colOff>
      <xdr:row>160</xdr:row>
      <xdr:rowOff>151981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839325" y="32089725"/>
          <a:ext cx="2476190" cy="3361905"/>
        </a:xfrm>
        <a:prstGeom prst="rect">
          <a:avLst/>
        </a:prstGeom>
      </xdr:spPr>
    </xdr:pic>
    <xdr:clientData/>
  </xdr:twoCellAnchor>
  <xdr:twoCellAnchor editAs="oneCell">
    <xdr:from>
      <xdr:col>1</xdr:col>
      <xdr:colOff>371475</xdr:colOff>
      <xdr:row>227</xdr:row>
      <xdr:rowOff>38100</xdr:rowOff>
    </xdr:from>
    <xdr:to>
      <xdr:col>6</xdr:col>
      <xdr:colOff>648541</xdr:colOff>
      <xdr:row>245</xdr:row>
      <xdr:rowOff>37651</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a:stretch>
          <a:fillRect/>
        </a:stretch>
      </xdr:blipFill>
      <xdr:spPr>
        <a:xfrm>
          <a:off x="1133475" y="48996600"/>
          <a:ext cx="4363291" cy="3600000"/>
        </a:xfrm>
        <a:prstGeom prst="rect">
          <a:avLst/>
        </a:prstGeom>
        <a:ln>
          <a:solidFill>
            <a:schemeClr val="tx1"/>
          </a:solidFill>
        </a:ln>
      </xdr:spPr>
    </xdr:pic>
    <xdr:clientData/>
  </xdr:twoCellAnchor>
  <xdr:twoCellAnchor editAs="oneCell">
    <xdr:from>
      <xdr:col>2</xdr:col>
      <xdr:colOff>504825</xdr:colOff>
      <xdr:row>245</xdr:row>
      <xdr:rowOff>160251</xdr:rowOff>
    </xdr:from>
    <xdr:to>
      <xdr:col>5</xdr:col>
      <xdr:colOff>533400</xdr:colOff>
      <xdr:row>267</xdr:row>
      <xdr:rowOff>976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a:stretch>
          <a:fillRect/>
        </a:stretch>
      </xdr:blipFill>
      <xdr:spPr>
        <a:xfrm>
          <a:off x="2112645" y="49179711"/>
          <a:ext cx="2634615" cy="4198389"/>
        </a:xfrm>
        <a:prstGeom prst="rect">
          <a:avLst/>
        </a:prstGeom>
        <a:ln>
          <a:solidFill>
            <a:schemeClr val="tx1"/>
          </a:solidFill>
        </a:ln>
      </xdr:spPr>
    </xdr:pic>
    <xdr:clientData/>
  </xdr:twoCellAnchor>
  <xdr:twoCellAnchor>
    <xdr:from>
      <xdr:col>4</xdr:col>
      <xdr:colOff>47625</xdr:colOff>
      <xdr:row>297</xdr:row>
      <xdr:rowOff>114300</xdr:rowOff>
    </xdr:from>
    <xdr:to>
      <xdr:col>4</xdr:col>
      <xdr:colOff>542925</xdr:colOff>
      <xdr:row>301</xdr:row>
      <xdr:rowOff>180975</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rot="316914">
          <a:off x="3371850" y="63474600"/>
          <a:ext cx="495300" cy="86677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xdr:col>
      <xdr:colOff>104775</xdr:colOff>
      <xdr:row>269</xdr:row>
      <xdr:rowOff>76200</xdr:rowOff>
    </xdr:from>
    <xdr:to>
      <xdr:col>6</xdr:col>
      <xdr:colOff>580283</xdr:colOff>
      <xdr:row>290</xdr:row>
      <xdr:rowOff>195675</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
        <a:stretch>
          <a:fillRect/>
        </a:stretch>
      </xdr:blipFill>
      <xdr:spPr>
        <a:xfrm>
          <a:off x="866775" y="57835800"/>
          <a:ext cx="4561733" cy="4320000"/>
        </a:xfrm>
        <a:prstGeom prst="rect">
          <a:avLst/>
        </a:prstGeom>
        <a:ln>
          <a:solidFill>
            <a:schemeClr val="tx1"/>
          </a:solidFill>
        </a:ln>
      </xdr:spPr>
    </xdr:pic>
    <xdr:clientData/>
  </xdr:twoCellAnchor>
  <xdr:twoCellAnchor>
    <xdr:from>
      <xdr:col>8</xdr:col>
      <xdr:colOff>262890</xdr:colOff>
      <xdr:row>184</xdr:row>
      <xdr:rowOff>168910</xdr:rowOff>
    </xdr:from>
    <xdr:to>
      <xdr:col>15</xdr:col>
      <xdr:colOff>421950</xdr:colOff>
      <xdr:row>224</xdr:row>
      <xdr:rowOff>21590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747510" y="38185090"/>
          <a:ext cx="6323640" cy="7769860"/>
          <a:chOff x="57150" y="37890450"/>
          <a:chExt cx="6422700" cy="7918450"/>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85326" y="43868686"/>
            <a:ext cx="1618313" cy="1940214"/>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85326" y="37890450"/>
            <a:ext cx="2697188" cy="360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602136" y="41599568"/>
            <a:ext cx="2877714"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28962" y="37890450"/>
            <a:ext cx="2697188" cy="360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829643" y="41599568"/>
            <a:ext cx="1618313"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7150" y="41599568"/>
            <a:ext cx="1618313"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612832" y="43868686"/>
            <a:ext cx="1618313" cy="1940214"/>
          </a:xfrm>
          <a:prstGeom prst="rect">
            <a:avLst/>
          </a:prstGeom>
          <a:ln>
            <a:solidFill>
              <a:schemeClr val="tx1"/>
            </a:solidFill>
          </a:ln>
        </xdr:spPr>
      </xdr:pic>
      <xdr:sp macro="" textlink="">
        <xdr:nvSpPr>
          <xdr:cNvPr id="40" name="TextBox 35">
            <a:extLst>
              <a:ext uri="{FF2B5EF4-FFF2-40B4-BE49-F238E27FC236}">
                <a16:creationId xmlns:a16="http://schemas.microsoft.com/office/drawing/2014/main" id="{00000000-0008-0000-0000-00002B000000}"/>
              </a:ext>
            </a:extLst>
          </xdr:cNvPr>
          <xdr:cNvSpPr txBox="1"/>
        </xdr:nvSpPr>
        <xdr:spPr>
          <a:xfrm>
            <a:off x="1208412" y="38023800"/>
            <a:ext cx="708163" cy="264197"/>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A</a:t>
            </a:r>
            <a:endParaRPr lang="en-IN" sz="1200" b="1">
              <a:latin typeface="Times New Roman" panose="02020603050405020304" pitchFamily="18" charset="0"/>
              <a:cs typeface="Times New Roman" panose="02020603050405020304" pitchFamily="18" charset="0"/>
            </a:endParaRPr>
          </a:p>
        </xdr:txBody>
      </xdr:sp>
    </xdr:grpSp>
    <xdr:clientData/>
  </xdr:twoCellAnchor>
  <xdr:twoCellAnchor>
    <xdr:from>
      <xdr:col>0</xdr:col>
      <xdr:colOff>137161</xdr:colOff>
      <xdr:row>185</xdr:row>
      <xdr:rowOff>38100</xdr:rowOff>
    </xdr:from>
    <xdr:to>
      <xdr:col>7</xdr:col>
      <xdr:colOff>579121</xdr:colOff>
      <xdr:row>223</xdr:row>
      <xdr:rowOff>22860</xdr:rowOff>
    </xdr:to>
    <xdr:grpSp>
      <xdr:nvGrpSpPr>
        <xdr:cNvPr id="4" name="Group 3">
          <a:extLst>
            <a:ext uri="{FF2B5EF4-FFF2-40B4-BE49-F238E27FC236}">
              <a16:creationId xmlns:a16="http://schemas.microsoft.com/office/drawing/2014/main" id="{4BB65B78-2A6F-4326-3AFF-42CE29C3F5E7}"/>
            </a:ext>
          </a:extLst>
        </xdr:cNvPr>
        <xdr:cNvGrpSpPr/>
      </xdr:nvGrpSpPr>
      <xdr:grpSpPr>
        <a:xfrm>
          <a:off x="137161" y="38252400"/>
          <a:ext cx="6172200" cy="7505700"/>
          <a:chOff x="2677" y="-16299"/>
          <a:chExt cx="6828617" cy="7343870"/>
        </a:xfrm>
      </xdr:grpSpPr>
      <xdr:pic>
        <xdr:nvPicPr>
          <xdr:cNvPr id="5" name="Picture 4">
            <a:extLst>
              <a:ext uri="{FF2B5EF4-FFF2-40B4-BE49-F238E27FC236}">
                <a16:creationId xmlns:a16="http://schemas.microsoft.com/office/drawing/2014/main" id="{C7CAA88B-CD12-62A8-0BEB-D793A0E7F51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269396" y="5652943"/>
            <a:ext cx="1254807" cy="16746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8244E41A-746B-2AF1-0C3B-B2D1B6C2697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71612" y="-16299"/>
            <a:ext cx="2465062" cy="32897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721C5FD8-20E1-2307-612A-F4F57C46AB3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38062" y="5652944"/>
            <a:ext cx="2230771" cy="16746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A2211736-A620-E248-A7AB-1934B3A8F30F}"/>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763236" y="335072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91B16690-37C6-EEBA-CF0B-AEEFCB7744D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556982" y="-10160"/>
            <a:ext cx="2465062" cy="32897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0097E3C8-D1EC-FCFF-6FB1-CD43EDDE3FA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212794" y="335072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90986B74-1F29-36D0-368E-1FDAE217ED26}"/>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84353" y="335072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D4EF8623-73A8-37B2-CCB3-89E020960263}"/>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677" y="3350729"/>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A1E72C92-86B6-D133-15DD-AE065B062DBB}"/>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50353" y="5652944"/>
            <a:ext cx="1254807" cy="16746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5B4DA2D8-4383-4CE0-E0B6-802318DE2124}"/>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909486" y="5652943"/>
            <a:ext cx="1254807" cy="16746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gN6W7xNnufUa4TJ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69"/>
  <sheetViews>
    <sheetView tabSelected="1" view="pageBreakPreview" topLeftCell="A79" zoomScaleNormal="100" zoomScaleSheetLayoutView="100" zoomScalePageLayoutView="85" workbookViewId="0">
      <selection activeCell="L94" sqref="L94"/>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46" t="s">
        <v>158</v>
      </c>
      <c r="B1" s="146"/>
      <c r="C1" s="146"/>
      <c r="D1" s="146"/>
      <c r="E1" s="146"/>
      <c r="F1" s="146"/>
      <c r="G1" s="146"/>
      <c r="H1" s="146"/>
    </row>
    <row r="2" spans="1:26" ht="16.5" customHeight="1" x14ac:dyDescent="0.3">
      <c r="A2" s="147" t="s">
        <v>0</v>
      </c>
      <c r="B2" s="147"/>
      <c r="C2" s="147"/>
      <c r="D2" s="147"/>
      <c r="E2" s="147"/>
      <c r="F2" s="147"/>
      <c r="G2" s="147"/>
      <c r="H2" s="147"/>
    </row>
    <row r="3" spans="1:26" x14ac:dyDescent="0.3">
      <c r="A3" s="98" t="s">
        <v>1</v>
      </c>
      <c r="B3" s="98"/>
      <c r="C3" s="98"/>
      <c r="D3" s="98"/>
      <c r="E3" s="98" t="str">
        <f ca="1">TEXT(TODAY(),"DD/MM/YYYY")</f>
        <v>14/08/2025</v>
      </c>
      <c r="F3" s="98"/>
      <c r="G3" s="98"/>
      <c r="H3" s="98"/>
      <c r="K3" s="49" t="s">
        <v>232</v>
      </c>
      <c r="L3" s="47" t="s">
        <v>230</v>
      </c>
      <c r="M3" s="47" t="s">
        <v>235</v>
      </c>
      <c r="N3" s="47" t="s">
        <v>233</v>
      </c>
      <c r="O3" s="47" t="s">
        <v>234</v>
      </c>
      <c r="P3" s="47" t="s">
        <v>236</v>
      </c>
    </row>
    <row r="4" spans="1:26" ht="15" customHeight="1" x14ac:dyDescent="0.3">
      <c r="A4" s="98" t="s">
        <v>229</v>
      </c>
      <c r="B4" s="98"/>
      <c r="C4" s="98"/>
      <c r="D4" s="98"/>
      <c r="E4" s="98" t="s">
        <v>230</v>
      </c>
      <c r="F4" s="98"/>
      <c r="G4" s="98"/>
      <c r="H4" s="98"/>
      <c r="K4" s="46" t="s">
        <v>231</v>
      </c>
      <c r="L4" s="47" t="s">
        <v>164</v>
      </c>
      <c r="M4" s="47" t="s">
        <v>240</v>
      </c>
      <c r="N4" s="47" t="s">
        <v>242</v>
      </c>
      <c r="O4" s="47" t="s">
        <v>244</v>
      </c>
      <c r="P4" s="47"/>
    </row>
    <row r="5" spans="1:26" ht="15" customHeight="1" x14ac:dyDescent="0.3">
      <c r="A5" s="98" t="s">
        <v>2</v>
      </c>
      <c r="B5" s="98"/>
      <c r="C5" s="98"/>
      <c r="D5" s="98"/>
      <c r="E5" s="98" t="s">
        <v>239</v>
      </c>
      <c r="F5" s="98"/>
      <c r="G5" s="98"/>
      <c r="H5" s="98"/>
      <c r="K5" s="46"/>
      <c r="L5" s="47" t="s">
        <v>237</v>
      </c>
      <c r="M5" s="47" t="s">
        <v>241</v>
      </c>
      <c r="N5" s="47" t="s">
        <v>243</v>
      </c>
      <c r="O5" s="47" t="s">
        <v>245</v>
      </c>
      <c r="P5" s="47"/>
    </row>
    <row r="6" spans="1:26" x14ac:dyDescent="0.3">
      <c r="A6" s="98" t="s">
        <v>3</v>
      </c>
      <c r="B6" s="98"/>
      <c r="C6" s="98"/>
      <c r="D6" s="98"/>
      <c r="E6" s="148">
        <v>45881</v>
      </c>
      <c r="F6" s="148"/>
      <c r="G6" s="148"/>
      <c r="H6" s="148"/>
      <c r="K6" s="46"/>
      <c r="L6" s="47" t="s">
        <v>238</v>
      </c>
      <c r="M6" s="47"/>
      <c r="N6" s="47"/>
      <c r="O6" s="47" t="s">
        <v>246</v>
      </c>
      <c r="P6" s="47"/>
    </row>
    <row r="7" spans="1:26" ht="16.5" customHeight="1" x14ac:dyDescent="0.3">
      <c r="A7" s="98" t="s">
        <v>4</v>
      </c>
      <c r="B7" s="98"/>
      <c r="C7" s="98"/>
      <c r="D7" s="98"/>
      <c r="E7" s="105" t="s">
        <v>294</v>
      </c>
      <c r="F7" s="98"/>
      <c r="G7" s="98"/>
      <c r="H7" s="98"/>
      <c r="K7" s="46"/>
      <c r="L7" s="47" t="s">
        <v>239</v>
      </c>
      <c r="M7" s="47"/>
      <c r="N7" s="47"/>
      <c r="O7" s="47" t="s">
        <v>246</v>
      </c>
      <c r="P7" s="47"/>
    </row>
    <row r="8" spans="1:26" ht="15" customHeight="1" x14ac:dyDescent="0.3">
      <c r="A8" s="98" t="s">
        <v>5</v>
      </c>
      <c r="B8" s="98"/>
      <c r="C8" s="98"/>
      <c r="D8" s="98"/>
      <c r="E8" s="98" t="str">
        <f>E7</f>
        <v xml:space="preserve">Mali Infra
</v>
      </c>
      <c r="F8" s="98"/>
      <c r="G8" s="98"/>
      <c r="H8" s="98"/>
      <c r="K8" s="46"/>
      <c r="L8" s="47"/>
      <c r="M8" s="47"/>
      <c r="N8" s="47"/>
      <c r="O8" s="47" t="s">
        <v>247</v>
      </c>
      <c r="P8" s="47"/>
    </row>
    <row r="9" spans="1:26" x14ac:dyDescent="0.3">
      <c r="A9" s="98" t="s">
        <v>6</v>
      </c>
      <c r="B9" s="98"/>
      <c r="C9" s="98"/>
      <c r="D9" s="98"/>
      <c r="E9" s="96" t="s">
        <v>295</v>
      </c>
      <c r="F9" s="96"/>
      <c r="G9" s="96"/>
      <c r="H9" s="96"/>
      <c r="K9" s="46"/>
      <c r="L9" s="47"/>
      <c r="M9" s="47"/>
      <c r="N9" s="47"/>
      <c r="O9" s="47" t="s">
        <v>248</v>
      </c>
      <c r="P9" s="47"/>
    </row>
    <row r="10" spans="1:26" x14ac:dyDescent="0.3">
      <c r="A10" s="98" t="s">
        <v>161</v>
      </c>
      <c r="B10" s="98"/>
      <c r="C10" s="98"/>
      <c r="D10" s="98"/>
      <c r="E10" s="105" t="s">
        <v>296</v>
      </c>
      <c r="F10" s="98"/>
      <c r="G10" s="98"/>
      <c r="H10" s="98"/>
      <c r="K10" s="46"/>
      <c r="L10" s="47"/>
      <c r="M10" s="47"/>
      <c r="N10" s="47"/>
      <c r="O10" s="47"/>
      <c r="P10" s="47"/>
    </row>
    <row r="11" spans="1:26" x14ac:dyDescent="0.3">
      <c r="A11" s="98" t="s">
        <v>162</v>
      </c>
      <c r="B11" s="98"/>
      <c r="C11" s="98"/>
      <c r="D11" s="98"/>
      <c r="E11" s="105" t="s">
        <v>336</v>
      </c>
      <c r="F11" s="98"/>
      <c r="G11" s="98"/>
      <c r="H11" s="98"/>
    </row>
    <row r="12" spans="1:26" x14ac:dyDescent="0.3">
      <c r="A12" s="98" t="s">
        <v>7</v>
      </c>
      <c r="B12" s="98"/>
      <c r="C12" s="98"/>
      <c r="D12" s="98"/>
      <c r="E12" s="98" t="s">
        <v>329</v>
      </c>
      <c r="F12" s="98"/>
      <c r="G12" s="98"/>
      <c r="H12" s="98"/>
    </row>
    <row r="13" spans="1:26" x14ac:dyDescent="0.3">
      <c r="A13" s="98" t="s">
        <v>165</v>
      </c>
      <c r="B13" s="98"/>
      <c r="C13" s="98"/>
      <c r="D13" s="98"/>
      <c r="E13" s="98" t="s">
        <v>28</v>
      </c>
      <c r="F13" s="98"/>
      <c r="G13" s="98"/>
      <c r="H13" s="98"/>
      <c r="S13" s="47" t="s">
        <v>173</v>
      </c>
      <c r="T13" s="47" t="s">
        <v>183</v>
      </c>
      <c r="U13" s="47" t="s">
        <v>166</v>
      </c>
      <c r="V13" s="47" t="s">
        <v>188</v>
      </c>
      <c r="W13" s="47" t="s">
        <v>206</v>
      </c>
      <c r="X13"/>
      <c r="Y13" t="s">
        <v>188</v>
      </c>
      <c r="Z13" t="e">
        <f ca="1">OFFSET($S$13,1,MATCH($G20,$S$13:$W$13,0)-1,15,1)</f>
        <v>#VALUE!</v>
      </c>
    </row>
    <row r="14" spans="1:26" ht="32.25" customHeight="1" x14ac:dyDescent="0.3">
      <c r="A14" s="78" t="s">
        <v>275</v>
      </c>
      <c r="B14" s="78"/>
      <c r="C14" s="78"/>
      <c r="D14" s="78"/>
      <c r="E14" s="105" t="s">
        <v>326</v>
      </c>
      <c r="F14" s="105"/>
      <c r="G14" s="105"/>
      <c r="H14" s="105"/>
      <c r="S14" s="47" t="s">
        <v>174</v>
      </c>
      <c r="T14" s="47" t="s">
        <v>181</v>
      </c>
      <c r="U14" s="47" t="s">
        <v>203</v>
      </c>
      <c r="V14" s="47" t="s">
        <v>189</v>
      </c>
      <c r="W14" s="47" t="s">
        <v>207</v>
      </c>
      <c r="X14"/>
      <c r="Y14"/>
      <c r="Z14"/>
    </row>
    <row r="15" spans="1:26" x14ac:dyDescent="0.3">
      <c r="A15" s="98" t="s">
        <v>8</v>
      </c>
      <c r="B15" s="98"/>
      <c r="C15" s="98"/>
      <c r="D15" s="98"/>
      <c r="E15" s="105" t="s">
        <v>298</v>
      </c>
      <c r="F15" s="98"/>
      <c r="G15" s="98"/>
      <c r="H15" s="98"/>
      <c r="I15" s="182" t="e">
        <f ca="1">OFFSET($D$5,1,MATCH($J13,$D$5:$H$5,0)-1,15,1)</f>
        <v>#N/A</v>
      </c>
      <c r="J15" s="183"/>
      <c r="K15" s="183"/>
      <c r="L15" s="183"/>
      <c r="M15" s="183"/>
      <c r="N15" s="183"/>
      <c r="O15" s="183"/>
      <c r="P15" s="183"/>
      <c r="S15" s="47" t="s">
        <v>175</v>
      </c>
      <c r="T15" s="47" t="s">
        <v>182</v>
      </c>
      <c r="U15" s="47" t="s">
        <v>204</v>
      </c>
      <c r="V15" s="47" t="s">
        <v>190</v>
      </c>
      <c r="W15" s="47" t="s">
        <v>220</v>
      </c>
      <c r="X15"/>
      <c r="Y15"/>
      <c r="Z15"/>
    </row>
    <row r="16" spans="1:26" ht="34.5" customHeight="1" x14ac:dyDescent="0.3">
      <c r="A16" s="105" t="s">
        <v>9</v>
      </c>
      <c r="B16" s="105"/>
      <c r="C16" s="105" t="str">
        <f>CONCATENATE((IF(OR(E9="",E9="NA"),"",E9)),", ",(IF(OR(A17="",A17="NA"),"",A17)),".",(IF(OR(C17="",C17="NA"),"",C17)),", near ",(IF(OR(C22="",C22="NA"),"",C22)),", ",(IF(OR(C19="",C19="NA"),"",C19)),", ",(IF(OR(C18="",C18="NA"),"",C18)),", ",(IF(OR(G19="",G19="NA"),"",G19)),", ",(IF(OR(C20="",C20="NA"),"",C20)),", ",(IF(OR(C21="",C21="NA"),"",C21)),", ",(IF(OR(G20="",G20="NA"),"",G20))," - ",(IF(OR(G21="",G21="NA"),"",G21)),".")</f>
        <v>Mali Avenue, Survey No.18 &amp; Hissa No.4, near Mali Pinnacle, Malangad Road, Bhal, Bhal, Kalyan East, Ambernath, Thane  - 421306.</v>
      </c>
      <c r="D16" s="105"/>
      <c r="E16" s="105"/>
      <c r="F16" s="105"/>
      <c r="G16" s="105"/>
      <c r="H16" s="105"/>
      <c r="S16" s="47" t="s">
        <v>176</v>
      </c>
      <c r="T16" s="47" t="s">
        <v>184</v>
      </c>
      <c r="U16" s="47" t="s">
        <v>205</v>
      </c>
      <c r="V16" s="47" t="s">
        <v>191</v>
      </c>
      <c r="W16" s="47" t="s">
        <v>208</v>
      </c>
      <c r="X16"/>
      <c r="Y16"/>
      <c r="Z16"/>
    </row>
    <row r="17" spans="1:26" ht="15.75" customHeight="1" x14ac:dyDescent="0.3">
      <c r="A17" s="105" t="s">
        <v>330</v>
      </c>
      <c r="B17" s="105"/>
      <c r="C17" s="105" t="s">
        <v>323</v>
      </c>
      <c r="D17" s="105"/>
      <c r="E17" s="105"/>
      <c r="F17" s="105"/>
      <c r="G17" s="105"/>
      <c r="H17" s="105"/>
      <c r="S17" s="47" t="s">
        <v>177</v>
      </c>
      <c r="T17" s="47" t="s">
        <v>185</v>
      </c>
      <c r="U17" s="47" t="s">
        <v>166</v>
      </c>
      <c r="V17" s="47" t="s">
        <v>192</v>
      </c>
      <c r="W17" s="47" t="s">
        <v>209</v>
      </c>
      <c r="X17"/>
      <c r="Y17"/>
      <c r="Z17"/>
    </row>
    <row r="18" spans="1:26" ht="15.75" customHeight="1" x14ac:dyDescent="0.3">
      <c r="A18" s="105" t="s">
        <v>156</v>
      </c>
      <c r="B18" s="105"/>
      <c r="C18" s="105" t="s">
        <v>299</v>
      </c>
      <c r="D18" s="105"/>
      <c r="E18" s="105"/>
      <c r="F18" s="105"/>
      <c r="G18" s="105"/>
      <c r="H18" s="105"/>
      <c r="S18" s="47" t="s">
        <v>178</v>
      </c>
      <c r="T18" s="47" t="s">
        <v>183</v>
      </c>
      <c r="U18" s="47"/>
      <c r="V18" s="47" t="s">
        <v>193</v>
      </c>
      <c r="W18" s="47" t="s">
        <v>210</v>
      </c>
      <c r="X18"/>
      <c r="Y18"/>
      <c r="Z18"/>
    </row>
    <row r="19" spans="1:26" ht="15.75" customHeight="1" x14ac:dyDescent="0.3">
      <c r="A19" s="105" t="s">
        <v>10</v>
      </c>
      <c r="B19" s="105"/>
      <c r="C19" s="98" t="s">
        <v>307</v>
      </c>
      <c r="D19" s="98"/>
      <c r="E19" s="105" t="s">
        <v>70</v>
      </c>
      <c r="F19" s="105"/>
      <c r="G19" s="105" t="s">
        <v>299</v>
      </c>
      <c r="H19" s="105"/>
      <c r="S19" s="47" t="s">
        <v>179</v>
      </c>
      <c r="T19" s="47" t="s">
        <v>186</v>
      </c>
      <c r="U19" s="47"/>
      <c r="V19" s="47" t="s">
        <v>194</v>
      </c>
      <c r="W19" s="47" t="s">
        <v>211</v>
      </c>
      <c r="X19"/>
      <c r="Y19"/>
      <c r="Z19"/>
    </row>
    <row r="20" spans="1:26" x14ac:dyDescent="0.3">
      <c r="A20" s="98" t="s">
        <v>12</v>
      </c>
      <c r="B20" s="98"/>
      <c r="C20" s="105" t="s">
        <v>309</v>
      </c>
      <c r="D20" s="105"/>
      <c r="E20" s="105" t="s">
        <v>11</v>
      </c>
      <c r="F20" s="105"/>
      <c r="G20" s="145" t="s">
        <v>173</v>
      </c>
      <c r="H20" s="145"/>
      <c r="S20" s="47" t="s">
        <v>180</v>
      </c>
      <c r="T20" s="47" t="s">
        <v>187</v>
      </c>
      <c r="U20" s="47"/>
      <c r="V20" s="47" t="s">
        <v>195</v>
      </c>
      <c r="W20" s="47" t="s">
        <v>212</v>
      </c>
      <c r="X20"/>
      <c r="Y20"/>
      <c r="Z20"/>
    </row>
    <row r="21" spans="1:26" x14ac:dyDescent="0.3">
      <c r="A21" s="98" t="s">
        <v>71</v>
      </c>
      <c r="B21" s="98"/>
      <c r="C21" s="105" t="s">
        <v>179</v>
      </c>
      <c r="D21" s="105"/>
      <c r="E21" s="105" t="s">
        <v>13</v>
      </c>
      <c r="F21" s="105"/>
      <c r="G21" s="105">
        <v>421306</v>
      </c>
      <c r="H21" s="105"/>
      <c r="S21" s="47"/>
      <c r="T21" s="47"/>
      <c r="U21" s="47"/>
      <c r="V21" s="47" t="s">
        <v>196</v>
      </c>
      <c r="W21" s="47" t="s">
        <v>213</v>
      </c>
      <c r="X21"/>
      <c r="Y21"/>
      <c r="Z21"/>
    </row>
    <row r="22" spans="1:26" ht="32.25" customHeight="1" x14ac:dyDescent="0.3">
      <c r="A22" s="98" t="s">
        <v>116</v>
      </c>
      <c r="B22" s="98"/>
      <c r="C22" s="105" t="s">
        <v>310</v>
      </c>
      <c r="D22" s="105"/>
      <c r="E22" s="105" t="s">
        <v>14</v>
      </c>
      <c r="F22" s="105"/>
      <c r="G22" s="105" t="s">
        <v>308</v>
      </c>
      <c r="H22" s="105"/>
      <c r="S22" s="47"/>
      <c r="T22" s="47"/>
      <c r="U22" s="47"/>
      <c r="V22" s="47" t="s">
        <v>197</v>
      </c>
      <c r="W22" s="47" t="s">
        <v>214</v>
      </c>
      <c r="X22"/>
      <c r="Y22"/>
      <c r="Z22"/>
    </row>
    <row r="23" spans="1:26" ht="15" customHeight="1" x14ac:dyDescent="0.3">
      <c r="A23" s="105" t="s">
        <v>73</v>
      </c>
      <c r="B23" s="105"/>
      <c r="C23" s="105"/>
      <c r="D23" s="105"/>
      <c r="E23" s="98" t="s">
        <v>15</v>
      </c>
      <c r="F23" s="98"/>
      <c r="G23" s="98"/>
      <c r="H23" s="98"/>
      <c r="S23" s="47"/>
      <c r="T23" s="47"/>
      <c r="U23" s="47"/>
      <c r="V23" s="47" t="s">
        <v>198</v>
      </c>
      <c r="W23" s="47" t="s">
        <v>215</v>
      </c>
      <c r="X23"/>
      <c r="Y23"/>
      <c r="Z23"/>
    </row>
    <row r="24" spans="1:26" ht="18.75" customHeight="1" x14ac:dyDescent="0.3">
      <c r="A24" s="105"/>
      <c r="B24" s="105"/>
      <c r="C24" s="105"/>
      <c r="D24" s="105"/>
      <c r="E24" s="98"/>
      <c r="F24" s="98"/>
      <c r="G24" s="98"/>
      <c r="H24" s="98"/>
      <c r="S24" s="47"/>
      <c r="T24" s="47"/>
      <c r="U24" s="47"/>
      <c r="V24" s="47" t="s">
        <v>199</v>
      </c>
      <c r="W24" s="47" t="s">
        <v>216</v>
      </c>
      <c r="X24"/>
      <c r="Y24"/>
      <c r="Z24"/>
    </row>
    <row r="25" spans="1:26" ht="15" customHeight="1" x14ac:dyDescent="0.3">
      <c r="A25" s="72" t="s">
        <v>16</v>
      </c>
      <c r="B25" s="72"/>
      <c r="C25" s="72"/>
      <c r="D25" s="72"/>
      <c r="E25" s="105" t="s">
        <v>17</v>
      </c>
      <c r="F25" s="105"/>
      <c r="G25" s="105"/>
      <c r="H25" s="105"/>
      <c r="S25" s="47"/>
      <c r="T25" s="47"/>
      <c r="U25" s="47"/>
      <c r="V25" s="47" t="s">
        <v>200</v>
      </c>
      <c r="W25" s="47" t="s">
        <v>217</v>
      </c>
      <c r="X25"/>
      <c r="Y25"/>
      <c r="Z25"/>
    </row>
    <row r="26" spans="1:26" ht="15" customHeight="1" x14ac:dyDescent="0.3">
      <c r="A26" s="78" t="s">
        <v>18</v>
      </c>
      <c r="B26" s="78"/>
      <c r="C26" s="78"/>
      <c r="D26" s="78"/>
      <c r="E26" s="105" t="str">
        <f>IF(AND(G20="Mumbai"),"Upper Class","Middle Class")</f>
        <v>Middle Class</v>
      </c>
      <c r="F26" s="105"/>
      <c r="G26" s="105"/>
      <c r="H26" s="105"/>
      <c r="S26" s="47"/>
      <c r="T26" s="47"/>
      <c r="U26" s="47"/>
      <c r="V26" s="47" t="s">
        <v>201</v>
      </c>
      <c r="W26" s="47" t="s">
        <v>218</v>
      </c>
      <c r="X26"/>
      <c r="Y26"/>
      <c r="Z26"/>
    </row>
    <row r="27" spans="1:26" x14ac:dyDescent="0.3">
      <c r="A27" s="78" t="s">
        <v>19</v>
      </c>
      <c r="B27" s="78"/>
      <c r="C27" s="78"/>
      <c r="D27" s="78"/>
      <c r="E27" s="105" t="s">
        <v>20</v>
      </c>
      <c r="F27" s="105"/>
      <c r="G27" s="105"/>
      <c r="H27" s="105"/>
      <c r="S27" s="47"/>
      <c r="T27" s="47"/>
      <c r="U27" s="47"/>
      <c r="V27" s="47" t="s">
        <v>202</v>
      </c>
      <c r="W27" s="47" t="s">
        <v>219</v>
      </c>
      <c r="X27"/>
      <c r="Y27"/>
      <c r="Z27"/>
    </row>
    <row r="28" spans="1:26" ht="15.75" customHeight="1" x14ac:dyDescent="0.3">
      <c r="A28" s="78" t="s">
        <v>21</v>
      </c>
      <c r="B28" s="78"/>
      <c r="C28" s="78"/>
      <c r="D28" s="78"/>
      <c r="E28" s="105" t="str">
        <f>IF(AND(G20="Mumbai"),"Developed","Developing")</f>
        <v>Developing</v>
      </c>
      <c r="F28" s="105"/>
      <c r="G28" s="105"/>
      <c r="H28" s="105"/>
    </row>
    <row r="29" spans="1:26" x14ac:dyDescent="0.3">
      <c r="A29" s="78" t="s">
        <v>22</v>
      </c>
      <c r="B29" s="78"/>
      <c r="C29" s="78"/>
      <c r="D29" s="78"/>
      <c r="E29" s="105" t="s">
        <v>23</v>
      </c>
      <c r="F29" s="105"/>
      <c r="G29" s="105"/>
      <c r="H29" s="105"/>
    </row>
    <row r="30" spans="1:26" ht="15.75" customHeight="1" x14ac:dyDescent="0.3">
      <c r="A30" s="78" t="s">
        <v>78</v>
      </c>
      <c r="B30" s="78"/>
      <c r="C30" s="78"/>
      <c r="D30" s="78"/>
      <c r="E30" s="105" t="s">
        <v>79</v>
      </c>
      <c r="F30" s="105"/>
      <c r="G30" s="105"/>
      <c r="H30" s="105"/>
    </row>
    <row r="31" spans="1:26" ht="15" customHeight="1" x14ac:dyDescent="0.3">
      <c r="A31" s="78" t="s">
        <v>30</v>
      </c>
      <c r="B31" s="78"/>
      <c r="C31" s="78"/>
      <c r="D31" s="78"/>
      <c r="E31" s="105"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 + Commercial</v>
      </c>
      <c r="F31" s="105"/>
      <c r="G31" s="105"/>
      <c r="H31" s="105"/>
    </row>
    <row r="32" spans="1:26" ht="15.75" customHeight="1" x14ac:dyDescent="0.3">
      <c r="A32" s="78" t="s">
        <v>90</v>
      </c>
      <c r="B32" s="78"/>
      <c r="C32" s="78"/>
      <c r="D32" s="78"/>
      <c r="E32" s="105" t="s">
        <v>31</v>
      </c>
      <c r="F32" s="105"/>
      <c r="G32" s="105"/>
      <c r="H32" s="105"/>
    </row>
    <row r="33" spans="1:19" s="19" customFormat="1" x14ac:dyDescent="0.3">
      <c r="A33" s="144" t="s">
        <v>91</v>
      </c>
      <c r="B33" s="144"/>
      <c r="C33" s="143" t="s">
        <v>167</v>
      </c>
      <c r="D33" s="143"/>
      <c r="E33" s="143"/>
      <c r="F33" s="143" t="s">
        <v>29</v>
      </c>
      <c r="G33" s="143"/>
      <c r="H33" s="143"/>
      <c r="S33" s="19" t="e">
        <f ca="1">OFFSET($S$13,1,MATCH($G20,$S$13:$W$13,0)-1,15,1)</f>
        <v>#VALUE!</v>
      </c>
    </row>
    <row r="34" spans="1:19" s="19" customFormat="1" x14ac:dyDescent="0.3">
      <c r="A34" s="117" t="s">
        <v>24</v>
      </c>
      <c r="B34" s="117" t="s">
        <v>28</v>
      </c>
      <c r="C34" s="118" t="s">
        <v>320</v>
      </c>
      <c r="D34" s="118"/>
      <c r="E34" s="118"/>
      <c r="F34" s="118" t="s">
        <v>322</v>
      </c>
      <c r="G34" s="118"/>
      <c r="H34" s="118"/>
    </row>
    <row r="35" spans="1:19" x14ac:dyDescent="0.3">
      <c r="A35" s="117" t="s">
        <v>25</v>
      </c>
      <c r="B35" s="117" t="s">
        <v>28</v>
      </c>
      <c r="C35" s="118" t="s">
        <v>321</v>
      </c>
      <c r="D35" s="118"/>
      <c r="E35" s="118"/>
      <c r="F35" s="118" t="s">
        <v>319</v>
      </c>
      <c r="G35" s="118"/>
      <c r="H35" s="118"/>
    </row>
    <row r="36" spans="1:19" s="19" customFormat="1" x14ac:dyDescent="0.3">
      <c r="A36" s="117" t="s">
        <v>27</v>
      </c>
      <c r="B36" s="117" t="s">
        <v>28</v>
      </c>
      <c r="C36" s="118" t="s">
        <v>319</v>
      </c>
      <c r="D36" s="118"/>
      <c r="E36" s="118"/>
      <c r="F36" s="118" t="s">
        <v>319</v>
      </c>
      <c r="G36" s="118"/>
      <c r="H36" s="118"/>
    </row>
    <row r="37" spans="1:19" x14ac:dyDescent="0.3">
      <c r="A37" s="117" t="s">
        <v>26</v>
      </c>
      <c r="B37" s="117" t="s">
        <v>28</v>
      </c>
      <c r="C37" s="118" t="s">
        <v>10</v>
      </c>
      <c r="D37" s="118"/>
      <c r="E37" s="118"/>
      <c r="F37" s="118" t="s">
        <v>10</v>
      </c>
      <c r="G37" s="118"/>
      <c r="H37" s="118"/>
    </row>
    <row r="38" spans="1:19" x14ac:dyDescent="0.3">
      <c r="A38" s="78" t="s">
        <v>276</v>
      </c>
      <c r="B38" s="78"/>
      <c r="C38" s="78"/>
      <c r="D38" s="78"/>
      <c r="E38" s="78"/>
      <c r="F38" s="78"/>
      <c r="G38" s="78"/>
      <c r="H38" s="78"/>
    </row>
    <row r="39" spans="1:19" ht="15.75" customHeight="1" x14ac:dyDescent="0.3">
      <c r="A39" s="78" t="s">
        <v>159</v>
      </c>
      <c r="B39" s="78"/>
      <c r="C39" s="97" t="s">
        <v>327</v>
      </c>
      <c r="D39" s="97"/>
      <c r="E39" s="97"/>
      <c r="F39" s="97"/>
      <c r="G39" s="97"/>
      <c r="H39" s="97"/>
    </row>
    <row r="40" spans="1:19" x14ac:dyDescent="0.3">
      <c r="A40" s="78" t="s">
        <v>155</v>
      </c>
      <c r="B40" s="78"/>
      <c r="C40" s="125" t="s">
        <v>328</v>
      </c>
      <c r="D40" s="105"/>
      <c r="E40" s="105"/>
      <c r="F40" s="105"/>
      <c r="G40" s="105"/>
      <c r="H40" s="105"/>
    </row>
    <row r="41" spans="1:19" x14ac:dyDescent="0.3">
      <c r="A41" s="97" t="s">
        <v>32</v>
      </c>
      <c r="B41" s="97"/>
      <c r="C41" s="97"/>
      <c r="D41" s="97"/>
      <c r="E41" s="97"/>
      <c r="F41" s="97"/>
      <c r="G41" s="97"/>
      <c r="H41" s="97"/>
    </row>
    <row r="42" spans="1:19" x14ac:dyDescent="0.3">
      <c r="A42" s="78" t="s">
        <v>33</v>
      </c>
      <c r="B42" s="78"/>
      <c r="C42" s="78"/>
      <c r="D42" s="78"/>
      <c r="E42" s="119">
        <v>1440.5</v>
      </c>
      <c r="F42" s="119"/>
      <c r="G42" s="119"/>
      <c r="H42" s="119"/>
    </row>
    <row r="43" spans="1:19" x14ac:dyDescent="0.3">
      <c r="A43" s="78" t="s">
        <v>34</v>
      </c>
      <c r="B43" s="78"/>
      <c r="C43" s="78"/>
      <c r="D43" s="78"/>
      <c r="E43" s="122">
        <f>1584.55/E42</f>
        <v>1.0999999999999999</v>
      </c>
      <c r="F43" s="122"/>
      <c r="G43" s="122"/>
      <c r="H43" s="122"/>
    </row>
    <row r="44" spans="1:19" x14ac:dyDescent="0.3">
      <c r="A44" s="78" t="s">
        <v>35</v>
      </c>
      <c r="B44" s="78"/>
      <c r="C44" s="78"/>
      <c r="D44" s="78"/>
      <c r="E44" s="122">
        <f>E46/E42-E43</f>
        <v>1.3595140576188822</v>
      </c>
      <c r="F44" s="122"/>
      <c r="G44" s="122"/>
      <c r="H44" s="122"/>
    </row>
    <row r="45" spans="1:19" x14ac:dyDescent="0.3">
      <c r="A45" s="98" t="s">
        <v>36</v>
      </c>
      <c r="B45" s="98"/>
      <c r="C45" s="98"/>
      <c r="D45" s="98"/>
      <c r="E45" s="123">
        <f>E43+E44</f>
        <v>2.4595140576188821</v>
      </c>
      <c r="F45" s="123"/>
      <c r="G45" s="123"/>
      <c r="H45" s="123"/>
    </row>
    <row r="46" spans="1:19" x14ac:dyDescent="0.3">
      <c r="A46" s="98" t="s">
        <v>89</v>
      </c>
      <c r="B46" s="98"/>
      <c r="C46" s="98"/>
      <c r="D46" s="98"/>
      <c r="E46" s="124">
        <v>3542.93</v>
      </c>
      <c r="F46" s="124"/>
      <c r="G46" s="124"/>
      <c r="H46" s="124"/>
    </row>
    <row r="47" spans="1:19" x14ac:dyDescent="0.3">
      <c r="A47" s="98" t="s">
        <v>37</v>
      </c>
      <c r="B47" s="98"/>
      <c r="C47" s="98"/>
      <c r="D47" s="98"/>
      <c r="E47" s="98" t="s">
        <v>297</v>
      </c>
      <c r="F47" s="98"/>
      <c r="G47" s="98"/>
      <c r="H47" s="98"/>
    </row>
    <row r="48" spans="1:19" x14ac:dyDescent="0.3">
      <c r="A48" s="96" t="s">
        <v>38</v>
      </c>
      <c r="B48" s="96"/>
      <c r="C48" s="96"/>
      <c r="D48" s="96"/>
      <c r="E48" s="96"/>
      <c r="F48" s="96"/>
      <c r="G48" s="96"/>
      <c r="H48" s="96"/>
    </row>
    <row r="49" spans="1:22" ht="33.75" customHeight="1" x14ac:dyDescent="0.3">
      <c r="A49" s="126" t="s">
        <v>144</v>
      </c>
      <c r="B49" s="127"/>
      <c r="C49" s="128" t="s">
        <v>337</v>
      </c>
      <c r="D49" s="129"/>
      <c r="E49" s="129"/>
      <c r="F49" s="129"/>
      <c r="G49" s="129"/>
      <c r="H49" s="130"/>
      <c r="R49" t="s">
        <v>249</v>
      </c>
      <c r="S49" t="s">
        <v>166</v>
      </c>
      <c r="T49" t="s">
        <v>173</v>
      </c>
      <c r="U49" t="s">
        <v>188</v>
      </c>
      <c r="V49" t="s">
        <v>183</v>
      </c>
    </row>
    <row r="50" spans="1:22" ht="15.75" customHeight="1" x14ac:dyDescent="0.3">
      <c r="A50" s="126" t="s">
        <v>39</v>
      </c>
      <c r="B50" s="127"/>
      <c r="C50" s="126" t="s">
        <v>300</v>
      </c>
      <c r="D50" s="192"/>
      <c r="E50" s="127"/>
      <c r="F50" s="57" t="s">
        <v>40</v>
      </c>
      <c r="G50" s="193">
        <v>45261</v>
      </c>
      <c r="H50" s="127"/>
      <c r="R50"/>
      <c r="S50" t="s">
        <v>250</v>
      </c>
      <c r="T50" t="s">
        <v>255</v>
      </c>
      <c r="U50" t="s">
        <v>266</v>
      </c>
      <c r="V50" t="s">
        <v>271</v>
      </c>
    </row>
    <row r="51" spans="1:22" x14ac:dyDescent="0.3">
      <c r="A51" s="139" t="s">
        <v>41</v>
      </c>
      <c r="B51" s="141"/>
      <c r="C51" s="139" t="str">
        <f>C50</f>
        <v>KDMC/TPD/BP/27Village/2023-24/18</v>
      </c>
      <c r="D51" s="140"/>
      <c r="E51" s="141"/>
      <c r="F51" s="17" t="s">
        <v>40</v>
      </c>
      <c r="G51" s="142">
        <v>45261</v>
      </c>
      <c r="H51" s="141"/>
      <c r="R51"/>
      <c r="S51" t="s">
        <v>251</v>
      </c>
      <c r="T51" t="s">
        <v>256</v>
      </c>
      <c r="U51" t="s">
        <v>264</v>
      </c>
      <c r="V51" t="s">
        <v>272</v>
      </c>
    </row>
    <row r="52" spans="1:22" s="20" customFormat="1" ht="15.75" customHeight="1" x14ac:dyDescent="0.3">
      <c r="A52" s="178" t="s">
        <v>148</v>
      </c>
      <c r="B52" s="179"/>
      <c r="C52" s="139" t="str">
        <f>C51</f>
        <v>KDMC/TPD/BP/27Village/2023-24/18</v>
      </c>
      <c r="D52" s="140"/>
      <c r="E52" s="141"/>
      <c r="F52" s="17" t="s">
        <v>40</v>
      </c>
      <c r="G52" s="142">
        <v>45261</v>
      </c>
      <c r="H52" s="141"/>
      <c r="R52"/>
      <c r="S52" t="s">
        <v>252</v>
      </c>
      <c r="T52" t="s">
        <v>337</v>
      </c>
      <c r="U52" t="s">
        <v>254</v>
      </c>
      <c r="V52" t="s">
        <v>273</v>
      </c>
    </row>
    <row r="53" spans="1:22" s="20" customFormat="1" x14ac:dyDescent="0.3">
      <c r="A53" s="180"/>
      <c r="B53" s="181"/>
      <c r="C53" s="139" t="s">
        <v>331</v>
      </c>
      <c r="D53" s="140"/>
      <c r="E53" s="140"/>
      <c r="F53" s="140"/>
      <c r="G53" s="140"/>
      <c r="H53" s="141"/>
      <c r="R53"/>
      <c r="S53" t="s">
        <v>253</v>
      </c>
      <c r="T53" t="s">
        <v>260</v>
      </c>
      <c r="U53" t="s">
        <v>267</v>
      </c>
    </row>
    <row r="54" spans="1:22" x14ac:dyDescent="0.3">
      <c r="A54" s="184" t="s">
        <v>42</v>
      </c>
      <c r="B54" s="185"/>
      <c r="C54" s="184" t="s">
        <v>102</v>
      </c>
      <c r="D54" s="186"/>
      <c r="E54" s="185"/>
      <c r="F54" s="39" t="s">
        <v>40</v>
      </c>
      <c r="G54" s="176" t="s">
        <v>28</v>
      </c>
      <c r="H54" s="177"/>
      <c r="R54"/>
      <c r="T54" t="s">
        <v>265</v>
      </c>
    </row>
    <row r="55" spans="1:22" x14ac:dyDescent="0.3">
      <c r="A55" s="175" t="s">
        <v>44</v>
      </c>
      <c r="B55" s="175"/>
      <c r="C55" s="175"/>
      <c r="D55" s="175"/>
      <c r="E55" s="175"/>
      <c r="F55" s="175"/>
      <c r="G55" s="175"/>
      <c r="H55" s="175"/>
      <c r="T55" t="s">
        <v>274</v>
      </c>
    </row>
    <row r="56" spans="1:22" x14ac:dyDescent="0.3">
      <c r="A56" s="105" t="s">
        <v>88</v>
      </c>
      <c r="B56" s="105"/>
      <c r="C56" s="105"/>
      <c r="D56" s="98">
        <f>E46</f>
        <v>3542.93</v>
      </c>
      <c r="E56" s="98"/>
      <c r="F56" s="98"/>
      <c r="G56" s="98"/>
      <c r="H56" s="98"/>
      <c r="R56"/>
    </row>
    <row r="57" spans="1:22" x14ac:dyDescent="0.3">
      <c r="A57" s="105" t="s">
        <v>45</v>
      </c>
      <c r="B57" s="98"/>
      <c r="C57" s="98"/>
      <c r="D57" s="98" t="s">
        <v>317</v>
      </c>
      <c r="E57" s="98"/>
      <c r="F57" s="98"/>
      <c r="G57" s="98"/>
      <c r="H57" s="98"/>
      <c r="I57" s="21"/>
      <c r="R57"/>
    </row>
    <row r="58" spans="1:22" x14ac:dyDescent="0.3">
      <c r="A58" s="101" t="s">
        <v>46</v>
      </c>
      <c r="B58" s="102"/>
      <c r="C58" s="103"/>
      <c r="D58" s="99" t="s">
        <v>331</v>
      </c>
      <c r="E58" s="100"/>
      <c r="F58" s="100"/>
      <c r="G58" s="100"/>
      <c r="H58" s="100"/>
      <c r="R58"/>
    </row>
    <row r="59" spans="1:22" ht="15.75" customHeight="1" x14ac:dyDescent="0.3">
      <c r="A59" s="101" t="s">
        <v>86</v>
      </c>
      <c r="B59" s="102"/>
      <c r="C59" s="102"/>
      <c r="D59" s="133" t="s">
        <v>301</v>
      </c>
      <c r="E59" s="134"/>
      <c r="F59" s="134"/>
      <c r="G59" s="134"/>
      <c r="H59" s="135"/>
      <c r="R59"/>
    </row>
    <row r="60" spans="1:22" ht="15.75" customHeight="1" x14ac:dyDescent="0.3">
      <c r="A60" s="131"/>
      <c r="B60" s="132"/>
      <c r="C60" s="132"/>
      <c r="D60" s="136" t="s">
        <v>302</v>
      </c>
      <c r="E60" s="137"/>
      <c r="F60" s="137"/>
      <c r="G60" s="137"/>
      <c r="H60" s="138"/>
      <c r="R60"/>
    </row>
    <row r="61" spans="1:22" ht="15.75" customHeight="1" x14ac:dyDescent="0.3">
      <c r="A61" s="78" t="s">
        <v>43</v>
      </c>
      <c r="B61" s="78"/>
      <c r="C61" s="78"/>
      <c r="D61" s="120" t="s">
        <v>341</v>
      </c>
      <c r="E61" s="120"/>
      <c r="F61" s="120"/>
      <c r="G61" s="120"/>
      <c r="H61" s="120"/>
      <c r="J61" s="22"/>
      <c r="K61" s="21"/>
      <c r="N61" s="21"/>
      <c r="S61"/>
    </row>
    <row r="62" spans="1:22" ht="15.75" customHeight="1" x14ac:dyDescent="0.3">
      <c r="A62" s="78" t="s">
        <v>84</v>
      </c>
      <c r="B62" s="78"/>
      <c r="C62" s="78"/>
      <c r="D62" s="121" t="str">
        <f>(IF(G54="NA","60 Years After Completion",IF(G54&lt;&gt;"NA",""&amp;60-ROUNDDOWN((E3-G54)/360,0)&amp;" Years"," ")))</f>
        <v>60 Years After Completion</v>
      </c>
      <c r="E62" s="121"/>
      <c r="F62" s="121"/>
      <c r="G62" s="121"/>
      <c r="H62" s="121"/>
      <c r="N62" s="21"/>
      <c r="S62"/>
    </row>
    <row r="63" spans="1:22" ht="15.75" customHeight="1" x14ac:dyDescent="0.3">
      <c r="A63" s="78" t="s">
        <v>85</v>
      </c>
      <c r="B63" s="78"/>
      <c r="C63" s="78"/>
      <c r="D63" s="72" t="s">
        <v>23</v>
      </c>
      <c r="E63" s="72"/>
      <c r="F63" s="72"/>
      <c r="G63" s="72"/>
      <c r="H63" s="72"/>
      <c r="J63" s="23"/>
      <c r="K63" s="23"/>
      <c r="S63"/>
    </row>
    <row r="64" spans="1:22" ht="38.4" customHeight="1" x14ac:dyDescent="0.3">
      <c r="A64" s="98" t="s">
        <v>332</v>
      </c>
      <c r="B64" s="98"/>
      <c r="C64" s="98"/>
      <c r="D64" s="105" t="s">
        <v>324</v>
      </c>
      <c r="E64" s="72"/>
      <c r="F64" s="72"/>
      <c r="G64" s="72"/>
      <c r="H64" s="72"/>
      <c r="S64"/>
    </row>
    <row r="65" spans="1:19" x14ac:dyDescent="0.3">
      <c r="A65" s="72" t="s">
        <v>142</v>
      </c>
      <c r="B65" s="72"/>
      <c r="C65" s="72"/>
      <c r="D65" s="72" t="s">
        <v>28</v>
      </c>
      <c r="E65" s="72"/>
      <c r="F65" s="72"/>
      <c r="G65" s="72"/>
      <c r="H65" s="72"/>
      <c r="I65" s="24"/>
      <c r="J65" s="24"/>
      <c r="K65" s="24"/>
      <c r="L65" s="24"/>
      <c r="M65" s="24"/>
      <c r="N65" s="24"/>
    </row>
    <row r="66" spans="1:19" ht="15.75" customHeight="1" x14ac:dyDescent="0.3">
      <c r="A66" s="78" t="s">
        <v>83</v>
      </c>
      <c r="B66" s="78"/>
      <c r="C66" s="78"/>
      <c r="D66" s="105" t="str">
        <f ca="1">(IF(G72&gt;95%,"Nothing",IF(G72&gt;0%,"Cement, Aggregate, Steel, etc",IF(G72=0%,"Work not yet Started"))))</f>
        <v>Cement, Aggregate, Steel, etc</v>
      </c>
      <c r="E66" s="105"/>
      <c r="F66" s="105"/>
      <c r="G66" s="105"/>
      <c r="H66" s="105"/>
      <c r="J66" s="23"/>
      <c r="S66"/>
    </row>
    <row r="67" spans="1:19" ht="33.75" customHeight="1" thickBot="1" x14ac:dyDescent="0.35">
      <c r="A67" s="72" t="s">
        <v>115</v>
      </c>
      <c r="B67" s="72"/>
      <c r="C67" s="72"/>
      <c r="D67" s="105" t="str">
        <f ca="1">(IF(D66="Nothing","Yes",IF(D66="Cement, Aggregate, Steel, etc","Under Construction",IF(D66="Work not yet Started","Work not yet Started"))))</f>
        <v>Under Construction</v>
      </c>
      <c r="E67" s="105"/>
      <c r="F67" s="105" t="str">
        <f ca="1">(IF(D66="Nothing","Yes",IF(D66="Cement, Aggregate, Steel, etc","Under Construction",IF(D66="Work not yet Started","Work not yet Started"))))</f>
        <v>Under Construction</v>
      </c>
      <c r="G67" s="105"/>
      <c r="H67" s="105"/>
      <c r="S67"/>
    </row>
    <row r="68" spans="1:19" ht="15.75" customHeight="1" x14ac:dyDescent="0.3">
      <c r="A68" s="104" t="s">
        <v>134</v>
      </c>
      <c r="B68" s="104"/>
      <c r="C68" s="104" t="str">
        <f>D59</f>
        <v>A Wing = G + 1st to 7th Floor</v>
      </c>
      <c r="D68" s="104"/>
      <c r="E68" s="104"/>
      <c r="F68" s="104"/>
      <c r="G68" s="104"/>
      <c r="H68" s="104"/>
      <c r="I68" s="67" t="str">
        <f ca="1">IF(D81=100%,"All work Completed. Possession granted to the Building.",IF(D80=100%,"All work Completed, Waiting for OC",I69&amp;""&amp;I70&amp;""&amp;J69&amp;""&amp;J68&amp;" "&amp;J70))</f>
        <v>Excavation, Plinth, RCC Slab, Brickwork, Internal Plaster Completed, External Plaster upto 6 Floor, Flooring upto 2 Floor Completed</v>
      </c>
      <c r="J68" s="42"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External Plaster upto 6 Floor, Flooring upto 2 Floor</v>
      </c>
      <c r="S68"/>
    </row>
    <row r="69" spans="1:19" x14ac:dyDescent="0.3">
      <c r="A69" s="45" t="s">
        <v>136</v>
      </c>
      <c r="B69" s="45">
        <f>IF(AND(ISNUMBER(SEARCH("1B",C68))),1,IF(AND(ISNUMBER(SEARCH("2B",C68))),2,IF(AND(ISNUMBER(SEARCH("3B",C68))),3,IF(AND(ISNUMBER(SEARCH("4B",C68))),4,IF(ISNUMBER(SEARCH("5B",C68)),5,0)))))</f>
        <v>0</v>
      </c>
      <c r="C69" s="45" t="s">
        <v>69</v>
      </c>
      <c r="D69" s="45">
        <v>1</v>
      </c>
      <c r="E69" s="45" t="s">
        <v>68</v>
      </c>
      <c r="F69" s="45">
        <v>0</v>
      </c>
      <c r="G69" s="45" t="s">
        <v>77</v>
      </c>
      <c r="H69" s="45">
        <f ca="1">--TRIM(RIGHT(SUBSTITUTE(LEFT(C68,_xlfn.AGGREGATE(16,6,FIND({0,1,2,3,4,5,6,7,8,9},C68,ROW(INDIRECT("1:"&amp;LEN(C68)))),1))," ",REPT(" ",LEN(C68))),LEN(C68)))</f>
        <v>7</v>
      </c>
      <c r="I69" s="68" t="str">
        <f ca="1">IF(D72=100%,"Excavation","")&amp;IF(D73=100%,", Plinth","")&amp;IF(D74=100%,", RCC Slab","")&amp;IF(D75=100%,", Brickwork","")&amp;IF(D76=100%,", Internal Plaster","")&amp;IF(D77=100%,", External Plaster","")&amp;IF(D78=100%,", Flooring","")&amp;IF(D79=100%,", Painting","")&amp;IF(D80=100%,", Building common Amenities","")</f>
        <v>Excavation, Plinth, RCC Slab, Brickwork, Internal Plaster</v>
      </c>
      <c r="J69" s="44"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c r="S69"/>
    </row>
    <row r="70" spans="1:19" ht="36.6" customHeight="1" x14ac:dyDescent="0.3">
      <c r="A70" s="96" t="s">
        <v>87</v>
      </c>
      <c r="B70" s="96"/>
      <c r="C70" s="104" t="str">
        <f ca="1">I68</f>
        <v>Excavation, Plinth, RCC Slab, Brickwork, Internal Plaster Completed, External Plaster upto 6 Floor, Flooring upto 2 Floor Completed</v>
      </c>
      <c r="D70" s="104"/>
      <c r="E70" s="104"/>
      <c r="F70" s="104"/>
      <c r="G70" s="104"/>
      <c r="H70" s="104"/>
      <c r="I70" s="68" t="str">
        <f ca="1">IF(I69&lt;&gt;""," Completed","")</f>
        <v xml:space="preserve"> Completed</v>
      </c>
      <c r="J70" s="44" t="str">
        <f ca="1">IF(J68&lt;&gt;"","Completed","")</f>
        <v>Completed</v>
      </c>
      <c r="S70"/>
    </row>
    <row r="71" spans="1:19" ht="15.75" customHeight="1" x14ac:dyDescent="0.3">
      <c r="A71" s="92" t="s">
        <v>47</v>
      </c>
      <c r="B71" s="93"/>
      <c r="C71" s="58" t="s">
        <v>133</v>
      </c>
      <c r="D71" s="58" t="s">
        <v>80</v>
      </c>
      <c r="E71" s="93" t="s">
        <v>82</v>
      </c>
      <c r="F71" s="93"/>
      <c r="G71" s="93" t="s">
        <v>81</v>
      </c>
      <c r="H71" s="116"/>
      <c r="I71" s="13" t="s">
        <v>135</v>
      </c>
      <c r="J71" s="25">
        <f ca="1">H69*25%</f>
        <v>1.75</v>
      </c>
      <c r="S71"/>
    </row>
    <row r="72" spans="1:19" x14ac:dyDescent="0.3">
      <c r="A72" s="92" t="s">
        <v>122</v>
      </c>
      <c r="B72" s="93"/>
      <c r="C72" s="58">
        <f ca="1">J73</f>
        <v>7</v>
      </c>
      <c r="D72" s="59">
        <f ca="1">((100/H69)*C72)/100</f>
        <v>1</v>
      </c>
      <c r="E72" s="86">
        <f ca="1">(((C73/H69*10)+(40/(D69+F69+H69)*C74)+(7.5/(H69)*C75)+(7.5/(H69)*C76)+(10/H69*C77)+(10/H69*C78)+(5/H69*C79)+(5/H69*C80)+(5/H69*C81))/100)</f>
        <v>0.76428571428571435</v>
      </c>
      <c r="F72" s="149"/>
      <c r="G72" s="86">
        <f ca="1">((((C72/H69)*20)+((C73/H69)*25)+(30/(H69+F69+D69)*C74)+(5/H69*C75)+(5/H69*C76)+(5/H69*C77)+(5/H69*C78)+(0/H69*C79)+(0/H69*C80)+(5/H69*C81))/100)</f>
        <v>0.90714285714285725</v>
      </c>
      <c r="H72" s="87"/>
      <c r="I72" s="13" t="s">
        <v>97</v>
      </c>
      <c r="J72" s="26">
        <f ca="1">H69*50%</f>
        <v>3.5</v>
      </c>
    </row>
    <row r="73" spans="1:19" x14ac:dyDescent="0.3">
      <c r="A73" s="92" t="s">
        <v>48</v>
      </c>
      <c r="B73" s="93"/>
      <c r="C73" s="60">
        <f ca="1">J81</f>
        <v>7</v>
      </c>
      <c r="D73" s="59">
        <f ca="1">((100/H69)*C73)/100</f>
        <v>1</v>
      </c>
      <c r="E73" s="88"/>
      <c r="F73" s="150"/>
      <c r="G73" s="88"/>
      <c r="H73" s="89"/>
      <c r="I73" s="13" t="s">
        <v>98</v>
      </c>
      <c r="J73" s="26">
        <f ca="1">H69</f>
        <v>7</v>
      </c>
      <c r="S73"/>
    </row>
    <row r="74" spans="1:19" ht="15.75" customHeight="1" x14ac:dyDescent="0.3">
      <c r="A74" s="92" t="s">
        <v>123</v>
      </c>
      <c r="B74" s="93"/>
      <c r="C74" s="58">
        <v>8</v>
      </c>
      <c r="D74" s="59">
        <f ca="1">((100/(D69+F69+H69))*C74)/100</f>
        <v>1</v>
      </c>
      <c r="E74" s="88"/>
      <c r="F74" s="150"/>
      <c r="G74" s="88"/>
      <c r="H74" s="89"/>
      <c r="I74" s="13" t="s">
        <v>99</v>
      </c>
      <c r="J74" s="27">
        <f ca="1">(IF(B69&gt;1,(H69/(B69+2)),H69/4))</f>
        <v>1.75</v>
      </c>
      <c r="S74"/>
    </row>
    <row r="75" spans="1:19" ht="15.75" customHeight="1" x14ac:dyDescent="0.3">
      <c r="A75" s="92" t="s">
        <v>130</v>
      </c>
      <c r="B75" s="93" t="s">
        <v>124</v>
      </c>
      <c r="C75" s="58">
        <v>7</v>
      </c>
      <c r="D75" s="59">
        <f ca="1">((100/H69)*C75)/100</f>
        <v>1</v>
      </c>
      <c r="E75" s="88"/>
      <c r="F75" s="150"/>
      <c r="G75" s="88"/>
      <c r="H75" s="89"/>
      <c r="I75" s="13" t="s">
        <v>100</v>
      </c>
      <c r="J75" s="27">
        <f ca="1">(IF(B69&gt;1,(H69/(B69+2)+J74),H69/4+J74))</f>
        <v>3.5</v>
      </c>
    </row>
    <row r="76" spans="1:19" ht="15.75" customHeight="1" x14ac:dyDescent="0.3">
      <c r="A76" s="92" t="s">
        <v>131</v>
      </c>
      <c r="B76" s="93" t="s">
        <v>124</v>
      </c>
      <c r="C76" s="58">
        <v>7</v>
      </c>
      <c r="D76" s="59">
        <f ca="1">((100/H69)*C76)/100</f>
        <v>1</v>
      </c>
      <c r="E76" s="88"/>
      <c r="F76" s="150"/>
      <c r="G76" s="88"/>
      <c r="H76" s="89"/>
      <c r="I76" s="13" t="s">
        <v>140</v>
      </c>
      <c r="J76" s="27">
        <f>(IF(B69&gt;1,(H69/(B69+2)+J75),0))</f>
        <v>0</v>
      </c>
    </row>
    <row r="77" spans="1:19" ht="15" customHeight="1" x14ac:dyDescent="0.3">
      <c r="A77" s="92" t="s">
        <v>129</v>
      </c>
      <c r="B77" s="93" t="s">
        <v>126</v>
      </c>
      <c r="C77" s="58">
        <v>6</v>
      </c>
      <c r="D77" s="59">
        <f ca="1">((100/(H69))*C77)/100</f>
        <v>0.85714285714285721</v>
      </c>
      <c r="E77" s="88"/>
      <c r="F77" s="150"/>
      <c r="G77" s="88"/>
      <c r="H77" s="89"/>
      <c r="I77" s="13" t="s">
        <v>137</v>
      </c>
      <c r="J77" s="27">
        <f>(IF(B69&gt;2,(H69/(B69+2)+J76),0))</f>
        <v>0</v>
      </c>
    </row>
    <row r="78" spans="1:19" ht="15.75" customHeight="1" x14ac:dyDescent="0.3">
      <c r="A78" s="92" t="s">
        <v>125</v>
      </c>
      <c r="B78" s="93" t="s">
        <v>125</v>
      </c>
      <c r="C78" s="58">
        <v>2</v>
      </c>
      <c r="D78" s="59">
        <f ca="1">((100/H69)*C78)/100</f>
        <v>0.28571428571428575</v>
      </c>
      <c r="E78" s="88"/>
      <c r="F78" s="150"/>
      <c r="G78" s="88"/>
      <c r="H78" s="89"/>
      <c r="I78" s="13" t="s">
        <v>138</v>
      </c>
      <c r="J78" s="28">
        <f>(IF(B69&gt;3,(H69/(B69+2)+J77),0))</f>
        <v>0</v>
      </c>
    </row>
    <row r="79" spans="1:19" ht="15.75" customHeight="1" x14ac:dyDescent="0.3">
      <c r="A79" s="92" t="s">
        <v>132</v>
      </c>
      <c r="B79" s="93"/>
      <c r="C79" s="58">
        <v>0</v>
      </c>
      <c r="D79" s="59">
        <f ca="1">((100/H69)*C79)/100</f>
        <v>0</v>
      </c>
      <c r="E79" s="88"/>
      <c r="F79" s="150"/>
      <c r="G79" s="88"/>
      <c r="H79" s="89"/>
      <c r="I79" s="13" t="s">
        <v>139</v>
      </c>
      <c r="J79" s="27">
        <f>(IF(B69&gt;4,(H69/(B69+2)+J78),0))</f>
        <v>0</v>
      </c>
    </row>
    <row r="80" spans="1:19" ht="15.75" customHeight="1" x14ac:dyDescent="0.3">
      <c r="A80" s="92" t="s">
        <v>127</v>
      </c>
      <c r="B80" s="93" t="s">
        <v>127</v>
      </c>
      <c r="C80" s="58">
        <v>0</v>
      </c>
      <c r="D80" s="59">
        <f ca="1">((100/(H69))*C80)/100</f>
        <v>0</v>
      </c>
      <c r="E80" s="88"/>
      <c r="F80" s="150"/>
      <c r="G80" s="88"/>
      <c r="H80" s="89"/>
      <c r="I80" s="13" t="s">
        <v>141</v>
      </c>
      <c r="J80" s="27">
        <f ca="1">(IF(B69=1,(H69/(B69+3)+J75),IF(B69=0,(H69/4+J75),IF(B69&gt;1,0))))</f>
        <v>5.25</v>
      </c>
    </row>
    <row r="81" spans="1:22" ht="16.2" thickBot="1" x14ac:dyDescent="0.35">
      <c r="A81" s="73" t="s">
        <v>128</v>
      </c>
      <c r="B81" s="74"/>
      <c r="C81" s="61">
        <v>0</v>
      </c>
      <c r="D81" s="62">
        <f ca="1">((100/(H69))*C81)/100</f>
        <v>0</v>
      </c>
      <c r="E81" s="90"/>
      <c r="F81" s="151"/>
      <c r="G81" s="90"/>
      <c r="H81" s="91"/>
      <c r="I81" s="14" t="s">
        <v>101</v>
      </c>
      <c r="J81" s="29">
        <f ca="1">(IF(B69&gt;1.5,(H69/(B69+2)+J75+MAX(0,J76-J75)+MAX(0,J77-J76)+MAX(0,J78-J77)+MAX(0,J79-J78)+MAX(0,J80-J79)),IF(B69=1,(H69/(B69+3)+J80),IF(B69=0,H69/4+J80))))</f>
        <v>7</v>
      </c>
    </row>
    <row r="82" spans="1:22" ht="15.75" customHeight="1" x14ac:dyDescent="0.3">
      <c r="A82" s="187" t="s">
        <v>134</v>
      </c>
      <c r="B82" s="188"/>
      <c r="C82" s="189" t="str">
        <f>D60</f>
        <v>B Wing = G + 1st to 7th Floor</v>
      </c>
      <c r="D82" s="190"/>
      <c r="E82" s="190"/>
      <c r="F82" s="190"/>
      <c r="G82" s="190"/>
      <c r="H82" s="191"/>
      <c r="I82" s="41" t="str">
        <f ca="1">IF(D95=100%,"All work Completed. Possession granted to the Building.",IF(D94=100%,"All work Completed, Waiting for OC",I83&amp;""&amp;I84&amp;""&amp;J83&amp;""&amp;J82&amp;" "&amp;J84))</f>
        <v>Excavation, Plinth, RCC Slab Completed, Brickwork upto 5 Floor Completed</v>
      </c>
      <c r="J82" s="42"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Brickwork upto 5 Floor</v>
      </c>
    </row>
    <row r="83" spans="1:22" x14ac:dyDescent="0.3">
      <c r="A83" s="15" t="s">
        <v>136</v>
      </c>
      <c r="B83" s="45">
        <f>IF(AND(ISNUMBER(SEARCH("1B",C82))),1,IF(AND(ISNUMBER(SEARCH("2B",C82))),2,IF(AND(ISNUMBER(SEARCH("3B",C82))),3,IF(AND(ISNUMBER(SEARCH("4B",C82))),4,IF(ISNUMBER(SEARCH("5B",C82)),5,0)))))</f>
        <v>0</v>
      </c>
      <c r="C83" s="45" t="s">
        <v>69</v>
      </c>
      <c r="D83" s="45">
        <v>1</v>
      </c>
      <c r="E83" s="45" t="s">
        <v>68</v>
      </c>
      <c r="F83" s="45">
        <v>0</v>
      </c>
      <c r="G83" s="45" t="s">
        <v>77</v>
      </c>
      <c r="H83" s="16">
        <f ca="1">--TRIM(RIGHT(SUBSTITUTE(LEFT(C82,_xlfn.AGGREGATE(16,6,FIND({0,1,2,3,4,5,6,7,8,9},C82,ROW(INDIRECT("1:"&amp;LEN(C82)))),1))," ",REPT(" ",LEN(C82))),LEN(C82)))</f>
        <v>7</v>
      </c>
      <c r="I83" s="43" t="str">
        <f ca="1">IF(D86=100%,"Excavation","")&amp;IF(D87=100%,", Plinth","")&amp;IF(D88=100%,", RCC Slab","")&amp;IF(D89=100%,", Brickwork","")&amp;IF(D90=100%,", Internal Plaster","")&amp;IF(D91=100%,", External Plaster","")&amp;IF(D92=100%,", Flooring","")&amp;IF(D93=100%,", Painting","")&amp;IF(D94=100%,", Building common Amenities","")</f>
        <v>Excavation, Plinth, RCC Slab</v>
      </c>
      <c r="J83" s="44"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row>
    <row r="84" spans="1:22" ht="33.6" customHeight="1" x14ac:dyDescent="0.3">
      <c r="A84" s="95" t="s">
        <v>87</v>
      </c>
      <c r="B84" s="96"/>
      <c r="C84" s="104" t="str">
        <f ca="1">(IF($G$54="NA",I82,"All work Completed. OC Received."))</f>
        <v>Excavation, Plinth, RCC Slab Completed, Brickwork upto 5 Floor Completed</v>
      </c>
      <c r="D84" s="104"/>
      <c r="E84" s="104"/>
      <c r="F84" s="104"/>
      <c r="G84" s="104"/>
      <c r="H84" s="112"/>
      <c r="I84" s="43" t="str">
        <f ca="1">IF(I83&lt;&gt;""," Completed","")</f>
        <v xml:space="preserve"> Completed</v>
      </c>
      <c r="J84" s="44" t="str">
        <f ca="1">IF(J82&lt;&gt;"","Completed","")</f>
        <v>Completed</v>
      </c>
    </row>
    <row r="85" spans="1:22" ht="15.75" customHeight="1" x14ac:dyDescent="0.3">
      <c r="A85" s="92" t="s">
        <v>47</v>
      </c>
      <c r="B85" s="93"/>
      <c r="C85" s="58" t="s">
        <v>133</v>
      </c>
      <c r="D85" s="58" t="s">
        <v>80</v>
      </c>
      <c r="E85" s="93" t="s">
        <v>82</v>
      </c>
      <c r="F85" s="93"/>
      <c r="G85" s="93" t="s">
        <v>81</v>
      </c>
      <c r="H85" s="116"/>
      <c r="I85" s="13" t="s">
        <v>135</v>
      </c>
      <c r="J85" s="25">
        <f ca="1">H83*25%</f>
        <v>1.75</v>
      </c>
    </row>
    <row r="86" spans="1:22" x14ac:dyDescent="0.3">
      <c r="A86" s="92" t="s">
        <v>122</v>
      </c>
      <c r="B86" s="93"/>
      <c r="C86" s="58">
        <f ca="1">J87</f>
        <v>7</v>
      </c>
      <c r="D86" s="59">
        <f ca="1">((100/H83)*C86)/100</f>
        <v>1</v>
      </c>
      <c r="E86" s="86">
        <f ca="1">(((C87/H83*10)+(40/(D83+F83+H83)*C88)+(7.5/(H83)*C89)+(7.5/(H83)*C90)+(10/H83*C91)+(10/H83*C92)+(5/H83*C93)+(5/H83*C94)+(5/H83*C95))/100)</f>
        <v>0.55357142857142849</v>
      </c>
      <c r="F86" s="149"/>
      <c r="G86" s="86">
        <f ca="1">((((C86/H83)*20)+((C87/H83)*25)+(30/(H83+F83+D83)*C88)+(5/H83*C89)+(5/H83*C90)+(5/H83*C91)+(5/H83*C92)+(0/H83*C93)+(0/H83*C94)+(5/H83*C95))/100)</f>
        <v>0.7857142857142857</v>
      </c>
      <c r="H86" s="87"/>
      <c r="I86" s="13" t="s">
        <v>97</v>
      </c>
      <c r="J86" s="26">
        <f ca="1">H83*50%</f>
        <v>3.5</v>
      </c>
    </row>
    <row r="87" spans="1:22" x14ac:dyDescent="0.3">
      <c r="A87" s="92" t="s">
        <v>48</v>
      </c>
      <c r="B87" s="93"/>
      <c r="C87" s="60">
        <f ca="1">J95</f>
        <v>7</v>
      </c>
      <c r="D87" s="59">
        <f ca="1">((100/H83)*C87)/100</f>
        <v>1</v>
      </c>
      <c r="E87" s="88"/>
      <c r="F87" s="150"/>
      <c r="G87" s="88"/>
      <c r="H87" s="89"/>
      <c r="I87" s="13" t="s">
        <v>98</v>
      </c>
      <c r="J87" s="26">
        <f ca="1">H83</f>
        <v>7</v>
      </c>
    </row>
    <row r="88" spans="1:22" ht="15.75" customHeight="1" x14ac:dyDescent="0.3">
      <c r="A88" s="92" t="s">
        <v>123</v>
      </c>
      <c r="B88" s="93"/>
      <c r="C88" s="58">
        <v>8</v>
      </c>
      <c r="D88" s="59">
        <f ca="1">((100/(D83+F83+H83))*C88)/100</f>
        <v>1</v>
      </c>
      <c r="E88" s="88"/>
      <c r="F88" s="150"/>
      <c r="G88" s="88"/>
      <c r="H88" s="89"/>
      <c r="I88" s="13" t="s">
        <v>99</v>
      </c>
      <c r="J88" s="27">
        <f ca="1">(IF(B83&gt;1,(H83/(B83+2)),H83/4))</f>
        <v>1.75</v>
      </c>
    </row>
    <row r="89" spans="1:22" ht="15.75" customHeight="1" x14ac:dyDescent="0.3">
      <c r="A89" s="92" t="s">
        <v>130</v>
      </c>
      <c r="B89" s="93" t="s">
        <v>124</v>
      </c>
      <c r="C89" s="58">
        <v>5</v>
      </c>
      <c r="D89" s="59">
        <f ca="1">((100/H83)*C89)/100</f>
        <v>0.7142857142857143</v>
      </c>
      <c r="E89" s="88"/>
      <c r="F89" s="150"/>
      <c r="G89" s="88"/>
      <c r="H89" s="89"/>
      <c r="I89" s="13" t="s">
        <v>100</v>
      </c>
      <c r="J89" s="27">
        <f ca="1">(IF(B83&gt;1,(H83/(B83+2)+J88),H83/4+J88))</f>
        <v>3.5</v>
      </c>
    </row>
    <row r="90" spans="1:22" ht="15.75" customHeight="1" x14ac:dyDescent="0.3">
      <c r="A90" s="92" t="s">
        <v>131</v>
      </c>
      <c r="B90" s="93" t="s">
        <v>124</v>
      </c>
      <c r="C90" s="58">
        <v>0</v>
      </c>
      <c r="D90" s="59">
        <f ca="1">((100/H83)*C90)/100</f>
        <v>0</v>
      </c>
      <c r="E90" s="88"/>
      <c r="F90" s="150"/>
      <c r="G90" s="88"/>
      <c r="H90" s="89"/>
      <c r="I90" s="13" t="s">
        <v>140</v>
      </c>
      <c r="J90" s="27">
        <f>(IF(B83&gt;1,(H83/(B83+2)+J89),0))</f>
        <v>0</v>
      </c>
    </row>
    <row r="91" spans="1:22" ht="15" customHeight="1" x14ac:dyDescent="0.3">
      <c r="A91" s="92" t="s">
        <v>129</v>
      </c>
      <c r="B91" s="93" t="s">
        <v>126</v>
      </c>
      <c r="C91" s="58">
        <v>0</v>
      </c>
      <c r="D91" s="59">
        <f ca="1">((100/(H83))*C91)/100</f>
        <v>0</v>
      </c>
      <c r="E91" s="88"/>
      <c r="F91" s="150"/>
      <c r="G91" s="88"/>
      <c r="H91" s="89"/>
      <c r="I91" s="13" t="s">
        <v>137</v>
      </c>
      <c r="J91" s="27">
        <f>(IF(B83&gt;2,(H83/(B83+2)+J90),0))</f>
        <v>0</v>
      </c>
    </row>
    <row r="92" spans="1:22" ht="15.75" customHeight="1" x14ac:dyDescent="0.3">
      <c r="A92" s="92" t="s">
        <v>125</v>
      </c>
      <c r="B92" s="93" t="s">
        <v>125</v>
      </c>
      <c r="C92" s="58">
        <v>0</v>
      </c>
      <c r="D92" s="59">
        <f ca="1">((100/H83)*C92)/100</f>
        <v>0</v>
      </c>
      <c r="E92" s="88"/>
      <c r="F92" s="150"/>
      <c r="G92" s="88"/>
      <c r="H92" s="89"/>
      <c r="I92" s="13" t="s">
        <v>138</v>
      </c>
      <c r="J92" s="28">
        <f>(IF(B83&gt;3,(H83/(B83+2)+J91),0))</f>
        <v>0</v>
      </c>
    </row>
    <row r="93" spans="1:22" ht="15.75" customHeight="1" x14ac:dyDescent="0.3">
      <c r="A93" s="92" t="s">
        <v>132</v>
      </c>
      <c r="B93" s="93"/>
      <c r="C93" s="58">
        <v>0</v>
      </c>
      <c r="D93" s="59">
        <f ca="1">((100/H83)*C93)/100</f>
        <v>0</v>
      </c>
      <c r="E93" s="88"/>
      <c r="F93" s="150"/>
      <c r="G93" s="88"/>
      <c r="H93" s="89"/>
      <c r="I93" s="13" t="s">
        <v>139</v>
      </c>
      <c r="J93" s="27">
        <f>(IF(B83&gt;4,(H83/(B83+2)+J92),0))</f>
        <v>0</v>
      </c>
    </row>
    <row r="94" spans="1:22" ht="15.75" customHeight="1" x14ac:dyDescent="0.3">
      <c r="A94" s="92" t="s">
        <v>127</v>
      </c>
      <c r="B94" s="93" t="s">
        <v>127</v>
      </c>
      <c r="C94" s="58">
        <v>0</v>
      </c>
      <c r="D94" s="59">
        <f ca="1">((100/(H83))*C94)/100</f>
        <v>0</v>
      </c>
      <c r="E94" s="88"/>
      <c r="F94" s="150"/>
      <c r="G94" s="88"/>
      <c r="H94" s="89"/>
      <c r="I94" s="13" t="s">
        <v>141</v>
      </c>
      <c r="J94" s="27">
        <f ca="1">(IF(B83=1,(H83/(B83+3)+J89),IF(B83=0,(H83/4+J89),IF(B83&gt;1,0))))</f>
        <v>5.25</v>
      </c>
    </row>
    <row r="95" spans="1:22" ht="16.2" thickBot="1" x14ac:dyDescent="0.35">
      <c r="A95" s="73" t="s">
        <v>128</v>
      </c>
      <c r="B95" s="74"/>
      <c r="C95" s="61">
        <v>0</v>
      </c>
      <c r="D95" s="62">
        <f ca="1">((100/(H83))*C95)/100</f>
        <v>0</v>
      </c>
      <c r="E95" s="90"/>
      <c r="F95" s="151"/>
      <c r="G95" s="90"/>
      <c r="H95" s="91"/>
      <c r="I95" s="14" t="s">
        <v>101</v>
      </c>
      <c r="J95" s="29">
        <f ca="1">(IF(B83&gt;1.5,(H83/(B83+2)+J89+MAX(0,J90-J89)+MAX(0,J91-J90)+MAX(0,J92-J91)+MAX(0,J93-J92)+MAX(0,J94-J93)),IF(B83=1,(H83/(B83+3)+J94),IF(B83=0,H83/4+J94))))</f>
        <v>7</v>
      </c>
    </row>
    <row r="96" spans="1:22" x14ac:dyDescent="0.3">
      <c r="A96" s="159" t="s">
        <v>150</v>
      </c>
      <c r="B96" s="159"/>
      <c r="C96" s="159"/>
      <c r="D96" s="159"/>
      <c r="E96" s="159"/>
      <c r="F96" s="113" t="s">
        <v>154</v>
      </c>
      <c r="G96" s="113"/>
      <c r="H96" s="113"/>
      <c r="R96" t="s">
        <v>249</v>
      </c>
      <c r="S96" t="s">
        <v>166</v>
      </c>
      <c r="T96" t="s">
        <v>173</v>
      </c>
      <c r="U96" t="s">
        <v>188</v>
      </c>
      <c r="V96" t="s">
        <v>183</v>
      </c>
    </row>
    <row r="97" spans="1:22" x14ac:dyDescent="0.3">
      <c r="A97" s="78" t="s">
        <v>152</v>
      </c>
      <c r="B97" s="78"/>
      <c r="C97" s="78"/>
      <c r="D97" s="78"/>
      <c r="E97" s="78"/>
      <c r="F97" s="94">
        <v>5500</v>
      </c>
      <c r="G97" s="94"/>
      <c r="H97" s="94"/>
      <c r="R97"/>
      <c r="S97">
        <v>800000</v>
      </c>
      <c r="T97">
        <v>150000</v>
      </c>
      <c r="U97">
        <v>100000</v>
      </c>
      <c r="V97">
        <v>100000</v>
      </c>
    </row>
    <row r="98" spans="1:22" x14ac:dyDescent="0.3">
      <c r="A98" s="78" t="s">
        <v>151</v>
      </c>
      <c r="B98" s="78"/>
      <c r="C98" s="78"/>
      <c r="D98" s="78"/>
      <c r="E98" s="78"/>
      <c r="F98" s="94">
        <v>8000</v>
      </c>
      <c r="G98" s="94"/>
      <c r="H98" s="94"/>
      <c r="R98"/>
      <c r="S98">
        <v>900000</v>
      </c>
      <c r="T98">
        <v>200000</v>
      </c>
      <c r="U98">
        <v>150000</v>
      </c>
      <c r="V98">
        <v>150000</v>
      </c>
    </row>
    <row r="99" spans="1:22" hidden="1" x14ac:dyDescent="0.3">
      <c r="A99" s="78" t="s">
        <v>153</v>
      </c>
      <c r="B99" s="78"/>
      <c r="C99" s="78"/>
      <c r="D99" s="78"/>
      <c r="E99" s="78"/>
      <c r="F99" s="94"/>
      <c r="G99" s="94"/>
      <c r="H99" s="94"/>
      <c r="R99"/>
      <c r="S99">
        <v>1000000</v>
      </c>
      <c r="T99">
        <v>250000</v>
      </c>
      <c r="U99">
        <v>200000</v>
      </c>
      <c r="V99">
        <v>200000</v>
      </c>
    </row>
    <row r="100" spans="1:22" s="30" customFormat="1" hidden="1" x14ac:dyDescent="0.3">
      <c r="A100" s="78" t="s">
        <v>169</v>
      </c>
      <c r="B100" s="78"/>
      <c r="C100" s="78"/>
      <c r="D100" s="78"/>
      <c r="E100" s="78"/>
      <c r="F100" s="94"/>
      <c r="G100" s="94"/>
      <c r="H100" s="94"/>
      <c r="R100"/>
      <c r="S100">
        <v>1100000</v>
      </c>
      <c r="T100">
        <v>300000</v>
      </c>
      <c r="U100">
        <v>250000</v>
      </c>
      <c r="V100" s="20">
        <v>250000</v>
      </c>
    </row>
    <row r="101" spans="1:22" s="30" customFormat="1" ht="31.5" customHeight="1" x14ac:dyDescent="0.3">
      <c r="A101" s="72" t="s">
        <v>335</v>
      </c>
      <c r="B101" s="72"/>
      <c r="C101" s="72"/>
      <c r="D101" s="72"/>
      <c r="E101" s="72"/>
      <c r="F101" s="200">
        <v>150000</v>
      </c>
      <c r="G101" s="200"/>
      <c r="H101" s="200"/>
      <c r="R101"/>
      <c r="S101">
        <v>1200000</v>
      </c>
      <c r="T101">
        <v>350000</v>
      </c>
      <c r="U101">
        <v>300000</v>
      </c>
      <c r="V101">
        <v>300000</v>
      </c>
    </row>
    <row r="102" spans="1:22" s="30" customFormat="1" hidden="1" x14ac:dyDescent="0.3">
      <c r="A102" s="78" t="s">
        <v>92</v>
      </c>
      <c r="B102" s="78"/>
      <c r="C102" s="78"/>
      <c r="D102" s="78"/>
      <c r="E102" s="78"/>
      <c r="F102" s="94"/>
      <c r="G102" s="94"/>
      <c r="H102" s="94"/>
      <c r="R102"/>
      <c r="S102">
        <v>1300000</v>
      </c>
      <c r="T102">
        <v>400000</v>
      </c>
      <c r="U102">
        <v>350000</v>
      </c>
      <c r="V102" s="20">
        <v>400000</v>
      </c>
    </row>
    <row r="103" spans="1:22" s="30" customFormat="1" hidden="1" x14ac:dyDescent="0.3">
      <c r="A103" s="78" t="s">
        <v>93</v>
      </c>
      <c r="B103" s="78"/>
      <c r="C103" s="78"/>
      <c r="D103" s="78"/>
      <c r="E103" s="78"/>
      <c r="F103" s="94"/>
      <c r="G103" s="94"/>
      <c r="H103" s="94"/>
      <c r="R103"/>
      <c r="S103">
        <v>1400000</v>
      </c>
      <c r="T103">
        <v>500000</v>
      </c>
      <c r="U103">
        <v>400000</v>
      </c>
      <c r="V103"/>
    </row>
    <row r="104" spans="1:22" s="30" customFormat="1" hidden="1" x14ac:dyDescent="0.3">
      <c r="A104" s="78" t="s">
        <v>94</v>
      </c>
      <c r="B104" s="78"/>
      <c r="C104" s="78"/>
      <c r="D104" s="78"/>
      <c r="E104" s="78"/>
      <c r="F104" s="94"/>
      <c r="G104" s="94"/>
      <c r="H104" s="94"/>
      <c r="R104"/>
      <c r="S104">
        <v>1500000</v>
      </c>
      <c r="T104">
        <v>600000</v>
      </c>
      <c r="U104">
        <v>500000</v>
      </c>
      <c r="V104" s="20"/>
    </row>
    <row r="105" spans="1:22" s="30" customFormat="1" hidden="1" x14ac:dyDescent="0.3">
      <c r="A105" s="78" t="s">
        <v>95</v>
      </c>
      <c r="B105" s="78"/>
      <c r="C105" s="78"/>
      <c r="D105" s="78"/>
      <c r="E105" s="78"/>
      <c r="F105" s="94"/>
      <c r="G105" s="94"/>
      <c r="H105" s="94"/>
      <c r="R105"/>
      <c r="S105">
        <v>1600000</v>
      </c>
      <c r="T105">
        <v>700000</v>
      </c>
      <c r="U105">
        <v>600000</v>
      </c>
      <c r="V105"/>
    </row>
    <row r="106" spans="1:22" s="30" customFormat="1" hidden="1" x14ac:dyDescent="0.3">
      <c r="A106" s="78" t="s">
        <v>96</v>
      </c>
      <c r="B106" s="78"/>
      <c r="C106" s="78"/>
      <c r="D106" s="78"/>
      <c r="E106" s="78"/>
      <c r="F106" s="94"/>
      <c r="G106" s="94"/>
      <c r="H106" s="94"/>
      <c r="R106"/>
      <c r="S106">
        <v>1700000</v>
      </c>
      <c r="T106">
        <v>800000</v>
      </c>
      <c r="U106"/>
      <c r="V106" s="20"/>
    </row>
    <row r="107" spans="1:22" x14ac:dyDescent="0.3">
      <c r="A107" s="78" t="s">
        <v>49</v>
      </c>
      <c r="B107" s="78"/>
      <c r="C107" s="78"/>
      <c r="D107" s="78"/>
      <c r="E107" s="78"/>
      <c r="F107" s="94">
        <v>250000</v>
      </c>
      <c r="G107" s="94"/>
      <c r="H107" s="94"/>
      <c r="R107"/>
      <c r="S107">
        <v>1800000</v>
      </c>
      <c r="T107">
        <v>900000</v>
      </c>
      <c r="U107"/>
    </row>
    <row r="108" spans="1:22" s="31" customFormat="1" x14ac:dyDescent="0.3">
      <c r="A108" s="97" t="s">
        <v>50</v>
      </c>
      <c r="B108" s="97"/>
      <c r="C108" s="97"/>
      <c r="D108" s="97"/>
      <c r="E108" s="97"/>
      <c r="F108" s="94">
        <f>F97*0.8</f>
        <v>4400</v>
      </c>
      <c r="G108" s="94"/>
      <c r="H108" s="94"/>
      <c r="R108" s="18"/>
      <c r="S108" s="18"/>
      <c r="T108">
        <v>1000000</v>
      </c>
      <c r="U108"/>
      <c r="V108" s="18"/>
    </row>
    <row r="109" spans="1:22" s="32" customFormat="1" ht="15.75" customHeight="1" x14ac:dyDescent="0.3">
      <c r="A109" s="75" t="s">
        <v>72</v>
      </c>
      <c r="B109" s="75"/>
      <c r="C109" s="75"/>
      <c r="D109" s="75"/>
      <c r="E109" s="75"/>
      <c r="F109" s="75"/>
      <c r="G109" s="75"/>
      <c r="H109" s="75"/>
      <c r="R109"/>
      <c r="S109" s="18"/>
      <c r="T109"/>
      <c r="U109"/>
      <c r="V109" s="18"/>
    </row>
    <row r="110" spans="1:22" s="32" customFormat="1" ht="15.75" customHeight="1" x14ac:dyDescent="0.3">
      <c r="A110" s="155" t="s">
        <v>51</v>
      </c>
      <c r="B110" s="155"/>
      <c r="C110" s="170" t="s">
        <v>75</v>
      </c>
      <c r="D110" s="170"/>
      <c r="E110" s="77" t="s">
        <v>52</v>
      </c>
      <c r="F110" s="77"/>
      <c r="G110" s="155" t="s">
        <v>53</v>
      </c>
      <c r="H110" s="155"/>
      <c r="R110"/>
      <c r="S110" s="18"/>
      <c r="T110"/>
      <c r="U110" s="18"/>
      <c r="V110" s="18"/>
    </row>
    <row r="111" spans="1:22" s="32" customFormat="1" x14ac:dyDescent="0.3">
      <c r="A111" s="79" t="s">
        <v>303</v>
      </c>
      <c r="B111" s="79"/>
      <c r="C111" s="80">
        <f>COUNT(D125:D130)</f>
        <v>6</v>
      </c>
      <c r="D111" s="158"/>
      <c r="E111" s="80">
        <f>SUM(F125:F130)</f>
        <v>1031.1911999999998</v>
      </c>
      <c r="F111" s="158"/>
      <c r="G111" s="80">
        <f>SUM(H125:H130)</f>
        <v>1540</v>
      </c>
      <c r="H111" s="158"/>
      <c r="R111"/>
      <c r="S111" s="18"/>
      <c r="T111"/>
      <c r="U111" s="18"/>
      <c r="V111" s="18"/>
    </row>
    <row r="112" spans="1:22" s="32" customFormat="1" x14ac:dyDescent="0.3">
      <c r="A112" s="75" t="s">
        <v>143</v>
      </c>
      <c r="B112" s="75"/>
      <c r="C112" s="76">
        <f>SUM(C111)</f>
        <v>6</v>
      </c>
      <c r="D112" s="77"/>
      <c r="E112" s="76">
        <f>SUM(E111)</f>
        <v>1031.1911999999998</v>
      </c>
      <c r="F112" s="77"/>
      <c r="G112" s="76">
        <f>SUM(G111)</f>
        <v>1540</v>
      </c>
      <c r="H112" s="77"/>
      <c r="R112"/>
      <c r="S112" s="18"/>
      <c r="T112"/>
      <c r="U112" s="18"/>
      <c r="V112" s="18"/>
    </row>
    <row r="113" spans="1:20" s="32" customFormat="1" x14ac:dyDescent="0.3">
      <c r="A113" s="75" t="s">
        <v>67</v>
      </c>
      <c r="B113" s="75"/>
      <c r="C113" s="75"/>
      <c r="D113" s="75"/>
      <c r="E113" s="75"/>
      <c r="F113" s="75"/>
      <c r="G113" s="75"/>
      <c r="H113" s="75"/>
      <c r="T113"/>
    </row>
    <row r="114" spans="1:20" s="32" customFormat="1" ht="15.75" customHeight="1" x14ac:dyDescent="0.3">
      <c r="A114" s="155" t="s">
        <v>51</v>
      </c>
      <c r="B114" s="155"/>
      <c r="C114" s="170" t="s">
        <v>75</v>
      </c>
      <c r="D114" s="170"/>
      <c r="E114" s="77" t="s">
        <v>52</v>
      </c>
      <c r="F114" s="77"/>
      <c r="G114" s="155" t="s">
        <v>53</v>
      </c>
      <c r="H114" s="155"/>
      <c r="T114"/>
    </row>
    <row r="115" spans="1:20" s="32" customFormat="1" x14ac:dyDescent="0.3">
      <c r="A115" s="79" t="s">
        <v>303</v>
      </c>
      <c r="B115" s="79"/>
      <c r="C115" s="80">
        <f>COUNT(D136:D143)+COUNT(D145:D152)*6</f>
        <v>56</v>
      </c>
      <c r="D115" s="80"/>
      <c r="E115" s="80">
        <f>SUM(F136:F143)+SUM(F145:F152)*6</f>
        <v>17835.022295999996</v>
      </c>
      <c r="F115" s="80"/>
      <c r="G115" s="80">
        <f>SUM(H136:H143)+SUM(H145:H152)*6</f>
        <v>26386</v>
      </c>
      <c r="H115" s="80"/>
      <c r="T115"/>
    </row>
    <row r="116" spans="1:20" s="32" customFormat="1" x14ac:dyDescent="0.3">
      <c r="A116" s="79" t="s">
        <v>311</v>
      </c>
      <c r="B116" s="79"/>
      <c r="C116" s="80">
        <f>COUNT(D156:D160)*7</f>
        <v>35</v>
      </c>
      <c r="D116" s="80"/>
      <c r="E116" s="80">
        <f>SUM(F156:F160)*7</f>
        <v>9824.62572</v>
      </c>
      <c r="F116" s="80"/>
      <c r="G116" s="80">
        <f>SUM(H156:H160)*7</f>
        <v>14105</v>
      </c>
      <c r="H116" s="80"/>
      <c r="T116"/>
    </row>
    <row r="117" spans="1:20" s="32" customFormat="1" x14ac:dyDescent="0.3">
      <c r="A117" s="75" t="s">
        <v>143</v>
      </c>
      <c r="B117" s="75"/>
      <c r="C117" s="76">
        <f>SUM(C115:D116)</f>
        <v>91</v>
      </c>
      <c r="D117" s="77"/>
      <c r="E117" s="76">
        <f>SUM(E115:F116)</f>
        <v>27659.648015999996</v>
      </c>
      <c r="F117" s="77"/>
      <c r="G117" s="76">
        <f>SUM(G115:H116)</f>
        <v>40491</v>
      </c>
      <c r="H117" s="77"/>
      <c r="T117"/>
    </row>
    <row r="118" spans="1:20" s="32" customFormat="1" x14ac:dyDescent="0.3">
      <c r="A118" s="75" t="s">
        <v>160</v>
      </c>
      <c r="B118" s="75"/>
      <c r="C118" s="171">
        <f>C112+C117</f>
        <v>97</v>
      </c>
      <c r="D118" s="171"/>
      <c r="E118" s="76">
        <f>E112+E117</f>
        <v>28690.839215999997</v>
      </c>
      <c r="F118" s="76"/>
      <c r="G118" s="155">
        <f>G112+G117</f>
        <v>42031</v>
      </c>
      <c r="H118" s="155"/>
      <c r="T118"/>
    </row>
    <row r="119" spans="1:20" s="31" customFormat="1" x14ac:dyDescent="0.3">
      <c r="A119" s="143" t="s">
        <v>54</v>
      </c>
      <c r="B119" s="143"/>
      <c r="C119" s="143"/>
      <c r="D119" s="143"/>
      <c r="E119" s="143"/>
      <c r="F119" s="143"/>
      <c r="G119" s="143"/>
      <c r="H119" s="143"/>
      <c r="T119" s="32"/>
    </row>
    <row r="120" spans="1:20" x14ac:dyDescent="0.3">
      <c r="A120" s="143" t="s">
        <v>168</v>
      </c>
      <c r="B120" s="143"/>
      <c r="C120" s="143"/>
      <c r="D120" s="143"/>
      <c r="E120" s="143"/>
      <c r="F120" s="143"/>
      <c r="G120" s="143"/>
      <c r="H120" s="143"/>
      <c r="T120" s="32"/>
    </row>
    <row r="121" spans="1:20" ht="47.25" customHeight="1" x14ac:dyDescent="0.3">
      <c r="A121" s="156" t="s">
        <v>333</v>
      </c>
      <c r="B121" s="156" t="s">
        <v>170</v>
      </c>
      <c r="C121" s="156" t="s">
        <v>55</v>
      </c>
      <c r="D121" s="156" t="s">
        <v>227</v>
      </c>
      <c r="E121" s="110" t="s">
        <v>149</v>
      </c>
      <c r="F121" s="156" t="s">
        <v>56</v>
      </c>
      <c r="G121" s="110" t="s">
        <v>57</v>
      </c>
      <c r="H121" s="63" t="s">
        <v>325</v>
      </c>
      <c r="T121" s="32"/>
    </row>
    <row r="122" spans="1:20" s="34" customFormat="1" hidden="1" x14ac:dyDescent="0.3">
      <c r="A122" s="157"/>
      <c r="B122" s="157"/>
      <c r="C122" s="157"/>
      <c r="D122" s="157"/>
      <c r="E122" s="111"/>
      <c r="F122" s="157"/>
      <c r="G122" s="111"/>
      <c r="H122" s="64">
        <v>0.5</v>
      </c>
      <c r="T122" s="32"/>
    </row>
    <row r="123" spans="1:20" s="34" customFormat="1" x14ac:dyDescent="0.3">
      <c r="A123" s="172" t="s">
        <v>303</v>
      </c>
      <c r="B123" s="173"/>
      <c r="C123" s="173"/>
      <c r="D123" s="173"/>
      <c r="E123" s="173"/>
      <c r="F123" s="173"/>
      <c r="G123" s="173"/>
      <c r="H123" s="174"/>
      <c r="J123" s="56">
        <f>10.764</f>
        <v>10.763999999999999</v>
      </c>
      <c r="T123" s="32"/>
    </row>
    <row r="124" spans="1:20" s="34" customFormat="1" x14ac:dyDescent="0.3">
      <c r="A124" s="107" t="s">
        <v>315</v>
      </c>
      <c r="B124" s="108"/>
      <c r="C124" s="108"/>
      <c r="D124" s="108"/>
      <c r="E124" s="108"/>
      <c r="F124" s="108"/>
      <c r="G124" s="108"/>
      <c r="H124" s="109"/>
      <c r="J124" s="33"/>
      <c r="T124" s="32"/>
    </row>
    <row r="125" spans="1:20" s="34" customFormat="1" ht="15.75" customHeight="1" x14ac:dyDescent="0.3">
      <c r="A125" s="114">
        <v>1</v>
      </c>
      <c r="B125" s="115"/>
      <c r="C125" s="65" t="s">
        <v>304</v>
      </c>
      <c r="D125" s="66">
        <f>(16.82)*(10.764)</f>
        <v>181.05047999999999</v>
      </c>
      <c r="E125" s="65">
        <v>0</v>
      </c>
      <c r="F125" s="65">
        <f>D125+(IF(E125&lt;201,E125,IF(E125&lt;301,E125/2,E125/3)))</f>
        <v>181.05047999999999</v>
      </c>
      <c r="G125" s="65">
        <v>0</v>
      </c>
      <c r="H125" s="65">
        <v>270</v>
      </c>
      <c r="I125" s="33"/>
      <c r="J125" s="34">
        <f>270/F125</f>
        <v>1.4912967919223412</v>
      </c>
      <c r="L125" s="106"/>
      <c r="M125" s="106"/>
      <c r="N125" s="33"/>
      <c r="T125" s="32"/>
    </row>
    <row r="126" spans="1:20" s="34" customFormat="1" ht="15.75" customHeight="1" x14ac:dyDescent="0.3">
      <c r="A126" s="114">
        <f>A125+1</f>
        <v>2</v>
      </c>
      <c r="B126" s="115"/>
      <c r="C126" s="65" t="s">
        <v>304</v>
      </c>
      <c r="D126" s="66">
        <f>(14.95)*(10.764)</f>
        <v>160.92179999999999</v>
      </c>
      <c r="E126" s="65">
        <v>0</v>
      </c>
      <c r="F126" s="65">
        <f t="shared" ref="F126:F130" si="0">D126+(IF(E126&lt;201,E126,IF(E126&lt;301,E126/2,E126/3)))</f>
        <v>160.92179999999999</v>
      </c>
      <c r="G126" s="65">
        <v>0</v>
      </c>
      <c r="H126" s="65">
        <v>240</v>
      </c>
      <c r="I126" s="33"/>
      <c r="J126" s="34">
        <f>240/F126</f>
        <v>1.4914076278043125</v>
      </c>
      <c r="L126" s="106"/>
      <c r="M126" s="106"/>
      <c r="N126" s="33"/>
      <c r="T126" s="31"/>
    </row>
    <row r="127" spans="1:20" s="34" customFormat="1" ht="15.75" customHeight="1" x14ac:dyDescent="0.3">
      <c r="A127" s="114">
        <f>A126+1</f>
        <v>3</v>
      </c>
      <c r="B127" s="115"/>
      <c r="C127" s="65" t="s">
        <v>304</v>
      </c>
      <c r="D127" s="66">
        <f>(16.13)*(10.764)</f>
        <v>173.62331999999998</v>
      </c>
      <c r="E127" s="65">
        <v>0</v>
      </c>
      <c r="F127" s="65">
        <f t="shared" si="0"/>
        <v>173.62331999999998</v>
      </c>
      <c r="G127" s="65">
        <v>0</v>
      </c>
      <c r="H127" s="65">
        <v>260</v>
      </c>
      <c r="I127" s="33"/>
      <c r="J127" s="34">
        <f>260/F127</f>
        <v>1.4974946913813192</v>
      </c>
      <c r="L127" s="106"/>
      <c r="M127" s="106"/>
      <c r="N127" s="33"/>
      <c r="T127" s="18"/>
    </row>
    <row r="128" spans="1:20" s="34" customFormat="1" ht="15.75" customHeight="1" x14ac:dyDescent="0.3">
      <c r="A128" s="114">
        <f>A127+1</f>
        <v>4</v>
      </c>
      <c r="B128" s="115"/>
      <c r="C128" s="65" t="s">
        <v>304</v>
      </c>
      <c r="D128" s="66">
        <f>(16.13)*(10.764)</f>
        <v>173.62331999999998</v>
      </c>
      <c r="E128" s="65">
        <v>0</v>
      </c>
      <c r="F128" s="65">
        <f t="shared" si="0"/>
        <v>173.62331999999998</v>
      </c>
      <c r="G128" s="65">
        <v>0</v>
      </c>
      <c r="H128" s="65">
        <v>260</v>
      </c>
      <c r="I128" s="33">
        <f t="shared" ref="I128" si="1">2.75*5.75</f>
        <v>15.8125</v>
      </c>
      <c r="J128" s="34">
        <f>260/F128</f>
        <v>1.4974946913813192</v>
      </c>
      <c r="L128" s="106"/>
      <c r="M128" s="106"/>
      <c r="N128" s="33"/>
      <c r="T128" s="18"/>
    </row>
    <row r="129" spans="1:20" s="34" customFormat="1" ht="15.75" customHeight="1" x14ac:dyDescent="0.3">
      <c r="A129" s="114">
        <f t="shared" ref="A129:A130" si="2">A128+1</f>
        <v>5</v>
      </c>
      <c r="B129" s="115"/>
      <c r="C129" s="65" t="s">
        <v>304</v>
      </c>
      <c r="D129" s="66">
        <f>(14.95)*(10.764)</f>
        <v>160.92179999999999</v>
      </c>
      <c r="E129" s="65">
        <v>0</v>
      </c>
      <c r="F129" s="65">
        <f t="shared" si="0"/>
        <v>160.92179999999999</v>
      </c>
      <c r="G129" s="65">
        <v>0</v>
      </c>
      <c r="H129" s="65">
        <v>240</v>
      </c>
      <c r="I129" s="33"/>
      <c r="J129" s="34">
        <f>240/F129</f>
        <v>1.4914076278043125</v>
      </c>
      <c r="N129" s="33"/>
      <c r="T129" s="18"/>
    </row>
    <row r="130" spans="1:20" s="34" customFormat="1" ht="15.75" customHeight="1" x14ac:dyDescent="0.3">
      <c r="A130" s="114">
        <f t="shared" si="2"/>
        <v>6</v>
      </c>
      <c r="B130" s="115"/>
      <c r="C130" s="65" t="s">
        <v>304</v>
      </c>
      <c r="D130" s="66">
        <f>(16.82)*(10.764)</f>
        <v>181.05047999999999</v>
      </c>
      <c r="E130" s="65">
        <v>0</v>
      </c>
      <c r="F130" s="65">
        <f t="shared" si="0"/>
        <v>181.05047999999999</v>
      </c>
      <c r="G130" s="65">
        <v>0</v>
      </c>
      <c r="H130" s="65">
        <v>270</v>
      </c>
      <c r="I130" s="33"/>
      <c r="J130" s="34">
        <f>270/F130</f>
        <v>1.4912967919223412</v>
      </c>
      <c r="N130" s="33"/>
      <c r="T130" s="18"/>
    </row>
    <row r="131" spans="1:20" s="34" customFormat="1" x14ac:dyDescent="0.3">
      <c r="A131" s="114"/>
      <c r="B131" s="195"/>
      <c r="C131" s="195"/>
      <c r="D131" s="195"/>
      <c r="E131" s="195"/>
      <c r="F131" s="195"/>
      <c r="G131" s="195"/>
      <c r="H131" s="115"/>
      <c r="I131" s="33"/>
      <c r="N131" s="33"/>
    </row>
    <row r="132" spans="1:20" ht="47.25" customHeight="1" x14ac:dyDescent="0.3">
      <c r="A132" s="196" t="s">
        <v>334</v>
      </c>
      <c r="B132" s="156" t="s">
        <v>171</v>
      </c>
      <c r="C132" s="156" t="s">
        <v>55</v>
      </c>
      <c r="D132" s="156" t="s">
        <v>227</v>
      </c>
      <c r="E132" s="156" t="s">
        <v>226</v>
      </c>
      <c r="F132" s="156" t="s">
        <v>56</v>
      </c>
      <c r="G132" s="110" t="s">
        <v>57</v>
      </c>
      <c r="H132" s="63" t="s">
        <v>325</v>
      </c>
      <c r="I132" s="33"/>
      <c r="T132" s="34"/>
    </row>
    <row r="133" spans="1:20" s="34" customFormat="1" hidden="1" x14ac:dyDescent="0.3">
      <c r="A133" s="197"/>
      <c r="B133" s="157"/>
      <c r="C133" s="157"/>
      <c r="D133" s="157"/>
      <c r="E133" s="157"/>
      <c r="F133" s="157"/>
      <c r="G133" s="111"/>
      <c r="H133" s="64">
        <v>0.45</v>
      </c>
      <c r="I133" s="33"/>
    </row>
    <row r="134" spans="1:20" s="34" customFormat="1" x14ac:dyDescent="0.3">
      <c r="A134" s="172" t="s">
        <v>303</v>
      </c>
      <c r="B134" s="173"/>
      <c r="C134" s="173"/>
      <c r="D134" s="173"/>
      <c r="E134" s="173"/>
      <c r="F134" s="173"/>
      <c r="G134" s="173"/>
      <c r="H134" s="174"/>
      <c r="T134" s="32"/>
    </row>
    <row r="135" spans="1:20" s="34" customFormat="1" x14ac:dyDescent="0.3">
      <c r="A135" s="194" t="s">
        <v>305</v>
      </c>
      <c r="B135" s="194"/>
      <c r="C135" s="194"/>
      <c r="D135" s="194"/>
      <c r="E135" s="194"/>
      <c r="F135" s="194"/>
      <c r="G135" s="194"/>
      <c r="H135" s="194"/>
      <c r="I135" s="33"/>
      <c r="L135" s="106"/>
      <c r="M135" s="106"/>
    </row>
    <row r="136" spans="1:20" s="34" customFormat="1" x14ac:dyDescent="0.3">
      <c r="A136" s="167">
        <f>LEFT(A135,SUM(LEN(A135)-LEN(SUBSTITUTE(A135,{"0","1","2","3","4","5","6","7","8","9"},""))))*100+1</f>
        <v>101</v>
      </c>
      <c r="B136" s="167"/>
      <c r="C136" s="48" t="s">
        <v>306</v>
      </c>
      <c r="D136" s="56">
        <f>(29.6)*(10.764)</f>
        <v>318.61439999999999</v>
      </c>
      <c r="E136" s="56">
        <f>(2.75*1.2+0.6*2.87)*(10.764)</f>
        <v>54.056807999999997</v>
      </c>
      <c r="F136" s="48">
        <f>D136+E136</f>
        <v>372.67120799999998</v>
      </c>
      <c r="G136" s="56">
        <f>(2.6*1.2+3.02*2.25+0.94*2.87)*(10.764)</f>
        <v>135.7641792</v>
      </c>
      <c r="H136" s="48">
        <v>680</v>
      </c>
      <c r="I136" s="33">
        <f>(2.75*3.25+2.55*2.55+2.87*2.55+1.2*0.9+1.2*1.5+1.4*1.3+0.5*1.3)</f>
        <v>28.108499999999996</v>
      </c>
      <c r="L136" s="33"/>
      <c r="N136" s="33"/>
    </row>
    <row r="137" spans="1:20" s="34" customFormat="1" x14ac:dyDescent="0.3">
      <c r="A137" s="167">
        <f>A136+1</f>
        <v>102</v>
      </c>
      <c r="B137" s="167"/>
      <c r="C137" s="48" t="s">
        <v>306</v>
      </c>
      <c r="D137" s="56">
        <f t="shared" ref="D137:D142" si="3">(25.21)*(10.764)</f>
        <v>271.36043999999998</v>
      </c>
      <c r="E137" s="56">
        <f t="shared" ref="E137:E142" si="4">(1*2.9)*(10.764)</f>
        <v>31.215599999999998</v>
      </c>
      <c r="F137" s="48">
        <f>D137+E137</f>
        <v>302.57603999999998</v>
      </c>
      <c r="G137" s="48">
        <v>0</v>
      </c>
      <c r="H137" s="48">
        <v>445</v>
      </c>
      <c r="I137" s="33">
        <f>(3.08*2.9+3.55*1.5+3.05*2.45+0.9*1.2+1*1.2+0.9*0.9)</f>
        <v>24.819499999999998</v>
      </c>
      <c r="N137" s="33"/>
    </row>
    <row r="138" spans="1:20" s="34" customFormat="1" x14ac:dyDescent="0.3">
      <c r="A138" s="167">
        <f>A137+1</f>
        <v>103</v>
      </c>
      <c r="B138" s="167"/>
      <c r="C138" s="48" t="s">
        <v>306</v>
      </c>
      <c r="D138" s="56">
        <f t="shared" si="3"/>
        <v>271.36043999999998</v>
      </c>
      <c r="E138" s="56">
        <f t="shared" si="4"/>
        <v>31.215599999999998</v>
      </c>
      <c r="F138" s="48">
        <f>D138+E138</f>
        <v>302.57603999999998</v>
      </c>
      <c r="G138" s="48">
        <v>0</v>
      </c>
      <c r="H138" s="48">
        <v>445</v>
      </c>
      <c r="I138" s="33"/>
      <c r="N138" s="33"/>
    </row>
    <row r="139" spans="1:20" s="34" customFormat="1" x14ac:dyDescent="0.3">
      <c r="A139" s="167">
        <f>A138+1</f>
        <v>104</v>
      </c>
      <c r="B139" s="167"/>
      <c r="C139" s="48" t="s">
        <v>306</v>
      </c>
      <c r="D139" s="56">
        <f t="shared" si="3"/>
        <v>271.36043999999998</v>
      </c>
      <c r="E139" s="56">
        <f t="shared" si="4"/>
        <v>31.215599999999998</v>
      </c>
      <c r="F139" s="48">
        <f>D139+E139</f>
        <v>302.57603999999998</v>
      </c>
      <c r="G139" s="48">
        <v>0</v>
      </c>
      <c r="H139" s="48">
        <v>445</v>
      </c>
      <c r="I139" s="33"/>
      <c r="N139" s="33"/>
    </row>
    <row r="140" spans="1:20" s="34" customFormat="1" x14ac:dyDescent="0.3">
      <c r="A140" s="167">
        <f>A139+1</f>
        <v>105</v>
      </c>
      <c r="B140" s="167"/>
      <c r="C140" s="48" t="s">
        <v>306</v>
      </c>
      <c r="D140" s="56">
        <f t="shared" si="3"/>
        <v>271.36043999999998</v>
      </c>
      <c r="E140" s="56">
        <f t="shared" si="4"/>
        <v>31.215599999999998</v>
      </c>
      <c r="F140" s="48">
        <f t="shared" ref="F140:F143" si="5">D140+E140</f>
        <v>302.57603999999998</v>
      </c>
      <c r="G140" s="48">
        <v>0</v>
      </c>
      <c r="H140" s="48">
        <v>445</v>
      </c>
      <c r="I140" s="33"/>
      <c r="N140" s="33"/>
    </row>
    <row r="141" spans="1:20" s="34" customFormat="1" x14ac:dyDescent="0.3">
      <c r="A141" s="167">
        <f t="shared" ref="A141:A143" si="6">A140+1</f>
        <v>106</v>
      </c>
      <c r="B141" s="167"/>
      <c r="C141" s="48" t="s">
        <v>306</v>
      </c>
      <c r="D141" s="56">
        <f t="shared" si="3"/>
        <v>271.36043999999998</v>
      </c>
      <c r="E141" s="56">
        <f t="shared" si="4"/>
        <v>31.215599999999998</v>
      </c>
      <c r="F141" s="48">
        <f t="shared" si="5"/>
        <v>302.57603999999998</v>
      </c>
      <c r="G141" s="48">
        <v>0</v>
      </c>
      <c r="H141" s="48">
        <v>445</v>
      </c>
      <c r="I141" s="33"/>
      <c r="N141" s="33"/>
    </row>
    <row r="142" spans="1:20" s="34" customFormat="1" x14ac:dyDescent="0.3">
      <c r="A142" s="167">
        <f t="shared" si="6"/>
        <v>107</v>
      </c>
      <c r="B142" s="167"/>
      <c r="C142" s="48" t="s">
        <v>306</v>
      </c>
      <c r="D142" s="56">
        <f t="shared" si="3"/>
        <v>271.36043999999998</v>
      </c>
      <c r="E142" s="56">
        <f t="shared" si="4"/>
        <v>31.215599999999998</v>
      </c>
      <c r="F142" s="48">
        <f t="shared" si="5"/>
        <v>302.57603999999998</v>
      </c>
      <c r="G142" s="48">
        <v>0</v>
      </c>
      <c r="H142" s="48">
        <v>445</v>
      </c>
      <c r="I142" s="33"/>
      <c r="N142" s="33"/>
    </row>
    <row r="143" spans="1:20" s="34" customFormat="1" x14ac:dyDescent="0.3">
      <c r="A143" s="167">
        <f t="shared" si="6"/>
        <v>108</v>
      </c>
      <c r="B143" s="167"/>
      <c r="C143" s="48" t="s">
        <v>306</v>
      </c>
      <c r="D143" s="56">
        <f>(31.35)*(10.764)</f>
        <v>337.45139999999998</v>
      </c>
      <c r="E143" s="56">
        <f>(2.75*1.2+0.6*2.87)*(10.764)</f>
        <v>54.056807999999997</v>
      </c>
      <c r="F143" s="48">
        <f t="shared" si="5"/>
        <v>391.50820799999997</v>
      </c>
      <c r="G143" s="56">
        <f>(1.2*2.6+2.87*2.25+2.87*0.96)*(10.764)</f>
        <v>132.7491828</v>
      </c>
      <c r="H143" s="48">
        <v>710</v>
      </c>
      <c r="I143" s="33">
        <f>2.75*4.55+2.55*2.55+2.87*2.55+1.2*1.5+0.9*1.2+1.2*0.3</f>
        <v>29.573500000000003</v>
      </c>
      <c r="L143" s="33"/>
      <c r="N143" s="33"/>
    </row>
    <row r="144" spans="1:20" s="34" customFormat="1" x14ac:dyDescent="0.3">
      <c r="A144" s="164" t="s">
        <v>316</v>
      </c>
      <c r="B144" s="165"/>
      <c r="C144" s="165"/>
      <c r="D144" s="165"/>
      <c r="E144" s="165"/>
      <c r="F144" s="165"/>
      <c r="G144" s="165"/>
      <c r="H144" s="166"/>
      <c r="I144" s="33"/>
    </row>
    <row r="145" spans="1:20" s="34" customFormat="1" ht="15.75" customHeight="1" x14ac:dyDescent="0.3">
      <c r="A145" s="84"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10^ROW(INDIRECT("1:"&amp;LEN((LEFT(A144,SUM(LEN(A144)-LEN(SUBSTITUTE(A144,{"0","1","2"},""))))))))/10))*100+1&amp;""&amp;"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",LEN(A144))),LEN(A144)))))))/10))*100+1</f>
        <v>201 to 701</v>
      </c>
      <c r="B145" s="85"/>
      <c r="C145" s="48" t="s">
        <v>306</v>
      </c>
      <c r="D145" s="56">
        <f>(29.6)*(10.764)</f>
        <v>318.61439999999999</v>
      </c>
      <c r="E145" s="56">
        <f>(2.75*1.2)*(10.764)</f>
        <v>35.521199999999993</v>
      </c>
      <c r="F145" s="48">
        <f>D145+E145</f>
        <v>354.13559999999995</v>
      </c>
      <c r="G145" s="48">
        <v>0</v>
      </c>
      <c r="H145" s="48">
        <v>510</v>
      </c>
      <c r="I145" s="33"/>
      <c r="J145" s="34">
        <f>510/F145</f>
        <v>1.4401263244926521</v>
      </c>
    </row>
    <row r="146" spans="1:20" s="34" customFormat="1" ht="15.75" customHeight="1" x14ac:dyDescent="0.3">
      <c r="A146" s="84"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202 to 702</v>
      </c>
      <c r="B146" s="85"/>
      <c r="C146" s="48" t="s">
        <v>306</v>
      </c>
      <c r="D146" s="56">
        <f t="shared" ref="D146:D151" si="7">(25.21)*(10.764)</f>
        <v>271.36043999999998</v>
      </c>
      <c r="E146" s="56">
        <f t="shared" ref="E146:E151" si="8">(1*2.9)*(10.764)</f>
        <v>31.215599999999998</v>
      </c>
      <c r="F146" s="48">
        <f>D146+E146</f>
        <v>302.57603999999998</v>
      </c>
      <c r="G146" s="48">
        <v>0</v>
      </c>
      <c r="H146" s="48">
        <v>445</v>
      </c>
      <c r="I146" s="33"/>
      <c r="J146" s="34">
        <f>445/F146</f>
        <v>1.4707046863327315</v>
      </c>
    </row>
    <row r="147" spans="1:20" s="34" customFormat="1" ht="15.75" customHeight="1" x14ac:dyDescent="0.3">
      <c r="A147" s="84"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203 to 703</v>
      </c>
      <c r="B147" s="85"/>
      <c r="C147" s="48" t="s">
        <v>306</v>
      </c>
      <c r="D147" s="56">
        <f t="shared" si="7"/>
        <v>271.36043999999998</v>
      </c>
      <c r="E147" s="56">
        <f t="shared" si="8"/>
        <v>31.215599999999998</v>
      </c>
      <c r="F147" s="48">
        <f>D147+E147</f>
        <v>302.57603999999998</v>
      </c>
      <c r="G147" s="48">
        <v>0</v>
      </c>
      <c r="H147" s="48">
        <v>445</v>
      </c>
      <c r="I147" s="33"/>
      <c r="J147" s="34">
        <f t="shared" ref="J147:J151" si="9">445/F147</f>
        <v>1.4707046863327315</v>
      </c>
    </row>
    <row r="148" spans="1:20" s="34" customFormat="1" ht="15.75" customHeight="1" x14ac:dyDescent="0.3">
      <c r="A148" s="84"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204 to 704</v>
      </c>
      <c r="B148" s="85"/>
      <c r="C148" s="48" t="s">
        <v>306</v>
      </c>
      <c r="D148" s="56">
        <f t="shared" si="7"/>
        <v>271.36043999999998</v>
      </c>
      <c r="E148" s="56">
        <f t="shared" si="8"/>
        <v>31.215599999999998</v>
      </c>
      <c r="F148" s="48">
        <f>D148+E148</f>
        <v>302.57603999999998</v>
      </c>
      <c r="G148" s="48">
        <v>0</v>
      </c>
      <c r="H148" s="48">
        <v>445</v>
      </c>
      <c r="I148" s="33"/>
      <c r="J148" s="34">
        <f t="shared" si="9"/>
        <v>1.4707046863327315</v>
      </c>
    </row>
    <row r="149" spans="1:20" s="34" customFormat="1" ht="15.75" customHeight="1" x14ac:dyDescent="0.3">
      <c r="A149" s="84"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to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205 to 705</v>
      </c>
      <c r="B149" s="85"/>
      <c r="C149" s="48" t="s">
        <v>306</v>
      </c>
      <c r="D149" s="56">
        <f t="shared" si="7"/>
        <v>271.36043999999998</v>
      </c>
      <c r="E149" s="56">
        <f t="shared" si="8"/>
        <v>31.215599999999998</v>
      </c>
      <c r="F149" s="48">
        <f t="shared" ref="F149:F152" si="10">D149+E149</f>
        <v>302.57603999999998</v>
      </c>
      <c r="G149" s="48">
        <v>0</v>
      </c>
      <c r="H149" s="48">
        <v>445</v>
      </c>
      <c r="I149" s="33"/>
      <c r="J149" s="34">
        <f t="shared" si="9"/>
        <v>1.4707046863327315</v>
      </c>
    </row>
    <row r="150" spans="1:20" s="34" customFormat="1" ht="15.75" customHeight="1" x14ac:dyDescent="0.3">
      <c r="A150" s="84"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to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206 to 706</v>
      </c>
      <c r="B150" s="85"/>
      <c r="C150" s="48" t="s">
        <v>306</v>
      </c>
      <c r="D150" s="56">
        <f t="shared" si="7"/>
        <v>271.36043999999998</v>
      </c>
      <c r="E150" s="56">
        <f t="shared" si="8"/>
        <v>31.215599999999998</v>
      </c>
      <c r="F150" s="48">
        <f t="shared" si="10"/>
        <v>302.57603999999998</v>
      </c>
      <c r="G150" s="48">
        <v>0</v>
      </c>
      <c r="H150" s="48">
        <v>445</v>
      </c>
      <c r="I150" s="33"/>
      <c r="J150" s="34">
        <f t="shared" si="9"/>
        <v>1.4707046863327315</v>
      </c>
    </row>
    <row r="151" spans="1:20" s="34" customFormat="1" ht="15.75" customHeight="1" x14ac:dyDescent="0.3">
      <c r="A151" s="84"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to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207 to 707</v>
      </c>
      <c r="B151" s="85"/>
      <c r="C151" s="48" t="s">
        <v>306</v>
      </c>
      <c r="D151" s="56">
        <f t="shared" si="7"/>
        <v>271.36043999999998</v>
      </c>
      <c r="E151" s="56">
        <f t="shared" si="8"/>
        <v>31.215599999999998</v>
      </c>
      <c r="F151" s="48">
        <f t="shared" si="10"/>
        <v>302.57603999999998</v>
      </c>
      <c r="G151" s="48">
        <v>0</v>
      </c>
      <c r="H151" s="48">
        <v>445</v>
      </c>
      <c r="I151" s="33"/>
      <c r="J151" s="34">
        <f t="shared" si="9"/>
        <v>1.4707046863327315</v>
      </c>
    </row>
    <row r="152" spans="1:20" s="34" customFormat="1" ht="15.75" customHeight="1" x14ac:dyDescent="0.3">
      <c r="A152" s="84"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208 to 708</v>
      </c>
      <c r="B152" s="85"/>
      <c r="C152" s="48" t="s">
        <v>306</v>
      </c>
      <c r="D152" s="56">
        <f>(31.35)*(10.764)</f>
        <v>337.45139999999998</v>
      </c>
      <c r="E152" s="56">
        <f>(2.75*1.2)*(10.764)</f>
        <v>35.521199999999993</v>
      </c>
      <c r="F152" s="48">
        <f t="shared" si="10"/>
        <v>372.97259999999994</v>
      </c>
      <c r="G152" s="48">
        <v>0</v>
      </c>
      <c r="H152" s="48">
        <v>541</v>
      </c>
      <c r="I152" s="33"/>
      <c r="J152" s="34">
        <f>525/F152</f>
        <v>1.4076101032622774</v>
      </c>
    </row>
    <row r="153" spans="1:20" s="34" customFormat="1" x14ac:dyDescent="0.3">
      <c r="A153" s="168" t="s">
        <v>311</v>
      </c>
      <c r="B153" s="168"/>
      <c r="C153" s="168"/>
      <c r="D153" s="168"/>
      <c r="E153" s="168"/>
      <c r="F153" s="168"/>
      <c r="G153" s="168"/>
      <c r="H153" s="168"/>
      <c r="T153" s="32"/>
    </row>
    <row r="154" spans="1:20" s="34" customFormat="1" x14ac:dyDescent="0.3">
      <c r="A154" s="168" t="s">
        <v>314</v>
      </c>
      <c r="B154" s="168"/>
      <c r="C154" s="168"/>
      <c r="D154" s="168"/>
      <c r="E154" s="168"/>
      <c r="F154" s="168"/>
      <c r="G154" s="168"/>
      <c r="H154" s="168"/>
      <c r="T154" s="32"/>
    </row>
    <row r="155" spans="1:20" s="34" customFormat="1" x14ac:dyDescent="0.3">
      <c r="A155" s="198" t="s">
        <v>313</v>
      </c>
      <c r="B155" s="198"/>
      <c r="C155" s="198"/>
      <c r="D155" s="198"/>
      <c r="E155" s="198"/>
      <c r="F155" s="198"/>
      <c r="G155" s="198"/>
      <c r="H155" s="198"/>
      <c r="I155" s="33"/>
    </row>
    <row r="156" spans="1:20" s="34" customFormat="1" ht="15.75" customHeight="1" x14ac:dyDescent="0.3">
      <c r="A156" s="167"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10^ROW(INDIRECT("1:"&amp;LEN((LEFT(A155,SUM(LEN(A155)-LEN(SUBSTITUTE(A155,{"0","1","2"},""))))))))/10))*100+1&amp;""&amp;"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",LEN(A155))),LEN(A155)))))))/10))*100+1</f>
        <v>101 to 701</v>
      </c>
      <c r="B156" s="167"/>
      <c r="C156" s="48" t="s">
        <v>312</v>
      </c>
      <c r="D156" s="56">
        <f>(22)*(10.764)</f>
        <v>236.80799999999999</v>
      </c>
      <c r="E156" s="56">
        <f>(1*2.75)*(10.764)</f>
        <v>29.600999999999999</v>
      </c>
      <c r="F156" s="48">
        <f>D156+E156</f>
        <v>266.40899999999999</v>
      </c>
      <c r="G156" s="48">
        <v>0</v>
      </c>
      <c r="H156" s="48">
        <v>375</v>
      </c>
      <c r="I156" s="33">
        <f>(3.67*2.75+2.3*3.25+1.2*0.9+1.2*1.2+1*1)</f>
        <v>21.087500000000002</v>
      </c>
      <c r="J156" s="34">
        <f>375/F156</f>
        <v>1.4076101032622772</v>
      </c>
    </row>
    <row r="157" spans="1:20" s="34" customFormat="1" ht="15.75" customHeight="1" x14ac:dyDescent="0.3">
      <c r="A157" s="167"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102 to 702</v>
      </c>
      <c r="B157" s="167"/>
      <c r="C157" s="48" t="s">
        <v>312</v>
      </c>
      <c r="D157" s="56">
        <f>(21.92)*(10.764)</f>
        <v>235.94687999999999</v>
      </c>
      <c r="E157" s="56">
        <f>(1*2.75)*(10.764)</f>
        <v>29.600999999999999</v>
      </c>
      <c r="F157" s="48">
        <f>D157+E157</f>
        <v>265.54787999999996</v>
      </c>
      <c r="G157" s="48">
        <v>0</v>
      </c>
      <c r="H157" s="48">
        <v>375</v>
      </c>
      <c r="I157" s="33"/>
      <c r="J157" s="34">
        <f t="shared" ref="J157:J158" si="11">375/F157</f>
        <v>1.4121747083802743</v>
      </c>
    </row>
    <row r="158" spans="1:20" s="34" customFormat="1" ht="15.75" customHeight="1" x14ac:dyDescent="0.3">
      <c r="A158" s="167"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to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103 to 703</v>
      </c>
      <c r="B158" s="167"/>
      <c r="C158" s="48" t="s">
        <v>312</v>
      </c>
      <c r="D158" s="56">
        <f>(22)*(10.764)</f>
        <v>236.80799999999999</v>
      </c>
      <c r="E158" s="56">
        <f>(1*2.75)*(10.764)</f>
        <v>29.600999999999999</v>
      </c>
      <c r="F158" s="48">
        <f>D158+E158</f>
        <v>266.40899999999999</v>
      </c>
      <c r="G158" s="48">
        <v>0</v>
      </c>
      <c r="H158" s="48">
        <v>375</v>
      </c>
      <c r="I158" s="33"/>
      <c r="J158" s="34">
        <f t="shared" si="11"/>
        <v>1.4076101032622772</v>
      </c>
    </row>
    <row r="159" spans="1:20" s="34" customFormat="1" ht="15.75" customHeight="1" x14ac:dyDescent="0.3">
      <c r="A159" s="84"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to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104 to 704</v>
      </c>
      <c r="B159" s="85"/>
      <c r="C159" s="48" t="s">
        <v>306</v>
      </c>
      <c r="D159" s="56">
        <f>(25.21)*(10.764)</f>
        <v>271.36043999999998</v>
      </c>
      <c r="E159" s="56">
        <f>(1*2.9)*(10.764)</f>
        <v>31.215599999999998</v>
      </c>
      <c r="F159" s="48">
        <f>D159+E159</f>
        <v>302.57603999999998</v>
      </c>
      <c r="G159" s="48">
        <v>0</v>
      </c>
      <c r="H159" s="48">
        <v>445</v>
      </c>
      <c r="I159" s="33">
        <f>(3.08*2.9+3.55*1.5+3.05*2.45+1*1.2+0.9*1.2+1*0.9)</f>
        <v>24.909500000000001</v>
      </c>
      <c r="J159" s="34">
        <f>445/F159</f>
        <v>1.4707046863327315</v>
      </c>
    </row>
    <row r="160" spans="1:20" s="34" customFormat="1" ht="15.75" customHeight="1" x14ac:dyDescent="0.3">
      <c r="A160" s="84"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105 to 705</v>
      </c>
      <c r="B160" s="85"/>
      <c r="C160" s="48" t="s">
        <v>306</v>
      </c>
      <c r="D160" s="56">
        <f>(25.21)*(10.764)</f>
        <v>271.36043999999998</v>
      </c>
      <c r="E160" s="56">
        <f>(1*2.9)*(10.764)</f>
        <v>31.215599999999998</v>
      </c>
      <c r="F160" s="48">
        <f t="shared" ref="F160" si="12">D160+E160</f>
        <v>302.57603999999998</v>
      </c>
      <c r="G160" s="48">
        <v>0</v>
      </c>
      <c r="H160" s="48">
        <v>445</v>
      </c>
      <c r="I160" s="33"/>
      <c r="J160" s="34">
        <f>445/F160</f>
        <v>1.4707046863327315</v>
      </c>
    </row>
    <row r="161" spans="1:20" s="32" customFormat="1" x14ac:dyDescent="0.3">
      <c r="A161" s="163" t="s">
        <v>65</v>
      </c>
      <c r="B161" s="163"/>
      <c r="C161" s="163"/>
      <c r="D161" s="163"/>
      <c r="E161" s="163"/>
      <c r="F161" s="163"/>
      <c r="G161" s="163"/>
      <c r="H161" s="163"/>
      <c r="T161" s="34"/>
    </row>
    <row r="162" spans="1:20" s="32" customFormat="1" x14ac:dyDescent="0.3">
      <c r="A162" s="40" t="s">
        <v>146</v>
      </c>
      <c r="B162" s="160" t="s">
        <v>340</v>
      </c>
      <c r="C162" s="161"/>
      <c r="D162" s="161"/>
      <c r="E162" s="161"/>
      <c r="F162" s="161"/>
      <c r="G162" s="161"/>
      <c r="H162" s="162"/>
      <c r="I162" s="32" t="s">
        <v>339</v>
      </c>
      <c r="T162" s="34"/>
    </row>
    <row r="163" spans="1:20" s="32" customFormat="1" x14ac:dyDescent="0.3">
      <c r="A163" s="40" t="s">
        <v>146</v>
      </c>
      <c r="B163" s="160" t="str">
        <f>(IF(H132="Saleable area Loading :","We have considered Saleable area of Flats as per our Calculation.","We considered Saleable area of Flat as per Builder area Sheet."))</f>
        <v>We considered Saleable area of Flat as per Builder area Sheet.</v>
      </c>
      <c r="C163" s="161"/>
      <c r="D163" s="161"/>
      <c r="E163" s="161"/>
      <c r="F163" s="161"/>
      <c r="G163" s="161"/>
      <c r="H163" s="162"/>
      <c r="T163" s="34"/>
    </row>
    <row r="164" spans="1:20" s="32" customFormat="1" x14ac:dyDescent="0.3">
      <c r="A164" s="40" t="s">
        <v>146</v>
      </c>
      <c r="B164" s="160" t="str">
        <f>(IF(H121="Saleable area Loading :","We have considered Saleable area of Commercial as per our Calculation.","We considered Saleable area of Commercial as per Builder area Sheet."))</f>
        <v>We considered Saleable area of Commercial as per Builder area Sheet.</v>
      </c>
      <c r="C164" s="161"/>
      <c r="D164" s="161"/>
      <c r="E164" s="161"/>
      <c r="F164" s="161"/>
      <c r="G164" s="161"/>
      <c r="H164" s="162"/>
      <c r="T164" s="34"/>
    </row>
    <row r="165" spans="1:20" s="32" customFormat="1" x14ac:dyDescent="0.3">
      <c r="A165" s="40" t="s">
        <v>146</v>
      </c>
      <c r="B165" s="81" t="s">
        <v>117</v>
      </c>
      <c r="C165" s="82"/>
      <c r="D165" s="82"/>
      <c r="E165" s="82"/>
      <c r="F165" s="82"/>
      <c r="G165" s="82"/>
      <c r="H165" s="83"/>
      <c r="T165" s="34"/>
    </row>
    <row r="166" spans="1:20" s="32" customFormat="1" ht="16.5" customHeight="1" x14ac:dyDescent="0.3">
      <c r="A166" s="40" t="s">
        <v>146</v>
      </c>
      <c r="B166" s="81" t="s">
        <v>318</v>
      </c>
      <c r="C166" s="82"/>
      <c r="D166" s="82"/>
      <c r="E166" s="82"/>
      <c r="F166" s="82"/>
      <c r="G166" s="82"/>
      <c r="H166" s="83"/>
      <c r="T166" s="34"/>
    </row>
    <row r="167" spans="1:20" s="32" customFormat="1" x14ac:dyDescent="0.3">
      <c r="A167" s="40" t="s">
        <v>146</v>
      </c>
      <c r="B167" s="81" t="s">
        <v>145</v>
      </c>
      <c r="C167" s="82"/>
      <c r="D167" s="82"/>
      <c r="E167" s="82"/>
      <c r="F167" s="82"/>
      <c r="G167" s="82"/>
      <c r="H167" s="83"/>
    </row>
    <row r="168" spans="1:20" s="32" customFormat="1" x14ac:dyDescent="0.3">
      <c r="A168" s="40" t="s">
        <v>146</v>
      </c>
      <c r="B168" s="81" t="s">
        <v>118</v>
      </c>
      <c r="C168" s="82"/>
      <c r="D168" s="82"/>
      <c r="E168" s="82"/>
      <c r="F168" s="82"/>
      <c r="G168" s="82"/>
      <c r="H168" s="83"/>
    </row>
    <row r="169" spans="1:20" s="32" customFormat="1" ht="34.5" customHeight="1" x14ac:dyDescent="0.3">
      <c r="A169" s="40" t="s">
        <v>146</v>
      </c>
      <c r="B169" s="81" t="s">
        <v>147</v>
      </c>
      <c r="C169" s="82"/>
      <c r="D169" s="82"/>
      <c r="E169" s="82"/>
      <c r="F169" s="82"/>
      <c r="G169" s="82"/>
      <c r="H169" s="83"/>
    </row>
    <row r="170" spans="1:20" s="32" customFormat="1" x14ac:dyDescent="0.3">
      <c r="A170" s="40" t="s">
        <v>146</v>
      </c>
      <c r="B170" s="81" t="s">
        <v>119</v>
      </c>
      <c r="C170" s="82"/>
      <c r="D170" s="82"/>
      <c r="E170" s="82"/>
      <c r="F170" s="82"/>
      <c r="G170" s="82"/>
      <c r="H170" s="83"/>
    </row>
    <row r="171" spans="1:20" s="32" customFormat="1" ht="32.25" hidden="1" customHeight="1" x14ac:dyDescent="0.3">
      <c r="A171" s="40" t="s">
        <v>146</v>
      </c>
      <c r="B171" s="69" t="s">
        <v>172</v>
      </c>
      <c r="C171" s="70"/>
      <c r="D171" s="70"/>
      <c r="E171" s="70"/>
      <c r="F171" s="70"/>
      <c r="G171" s="70"/>
      <c r="H171" s="71"/>
    </row>
    <row r="172" spans="1:20" s="32" customFormat="1" hidden="1" x14ac:dyDescent="0.3">
      <c r="A172" s="40" t="s">
        <v>146</v>
      </c>
      <c r="B172" s="69" t="s">
        <v>228</v>
      </c>
      <c r="C172" s="70"/>
      <c r="D172" s="70"/>
      <c r="E172" s="70"/>
      <c r="F172" s="70"/>
      <c r="G172" s="70"/>
      <c r="H172" s="71"/>
    </row>
    <row r="173" spans="1:20" x14ac:dyDescent="0.3">
      <c r="A173" s="154" t="s">
        <v>58</v>
      </c>
      <c r="B173" s="154"/>
      <c r="C173" s="154"/>
      <c r="D173" s="154"/>
      <c r="E173" s="154"/>
      <c r="F173" s="154"/>
      <c r="G173" s="154"/>
      <c r="H173" s="154"/>
      <c r="T173" s="32"/>
    </row>
    <row r="174" spans="1:20" x14ac:dyDescent="0.3">
      <c r="A174" s="78" t="s">
        <v>59</v>
      </c>
      <c r="B174" s="78"/>
      <c r="C174" s="78"/>
      <c r="D174" s="78"/>
      <c r="E174" s="78"/>
      <c r="F174" s="78"/>
      <c r="G174" s="78"/>
      <c r="H174" s="78"/>
      <c r="T174" s="32"/>
    </row>
    <row r="175" spans="1:20" ht="15.75" customHeight="1" x14ac:dyDescent="0.3">
      <c r="A175" s="169" t="s">
        <v>60</v>
      </c>
      <c r="B175" s="169"/>
      <c r="C175" s="169"/>
      <c r="D175" s="169"/>
      <c r="E175" s="169"/>
      <c r="F175" s="169"/>
      <c r="G175" s="169"/>
      <c r="H175" s="169"/>
      <c r="T175" s="32"/>
    </row>
    <row r="176" spans="1:20" x14ac:dyDescent="0.3">
      <c r="A176" s="78" t="s">
        <v>61</v>
      </c>
      <c r="B176" s="78"/>
      <c r="C176" s="78"/>
      <c r="D176" s="78"/>
      <c r="E176" s="78"/>
      <c r="F176" s="78"/>
      <c r="G176" s="78"/>
      <c r="H176" s="78"/>
      <c r="T176" s="32"/>
    </row>
    <row r="177" spans="1:20" x14ac:dyDescent="0.3">
      <c r="A177" s="78" t="s">
        <v>62</v>
      </c>
      <c r="B177" s="78"/>
      <c r="C177" s="78"/>
      <c r="D177" s="78"/>
      <c r="E177" s="78"/>
      <c r="F177" s="78"/>
      <c r="G177" s="78"/>
      <c r="H177" s="78"/>
      <c r="T177" s="32"/>
    </row>
    <row r="178" spans="1:20" x14ac:dyDescent="0.3">
      <c r="A178" s="78" t="s">
        <v>120</v>
      </c>
      <c r="B178" s="78"/>
      <c r="C178" s="78"/>
      <c r="D178" s="78"/>
      <c r="E178" s="78"/>
      <c r="F178" s="78"/>
      <c r="G178" s="78"/>
      <c r="H178" s="78"/>
      <c r="T178" s="32"/>
    </row>
    <row r="179" spans="1:20" ht="33.9" customHeight="1" x14ac:dyDescent="0.3">
      <c r="A179" s="72" t="s">
        <v>121</v>
      </c>
      <c r="B179" s="72"/>
      <c r="C179" s="72"/>
      <c r="D179" s="72"/>
      <c r="E179" s="72"/>
      <c r="F179" s="72"/>
      <c r="G179" s="72"/>
      <c r="H179" s="72"/>
    </row>
    <row r="180" spans="1:20" x14ac:dyDescent="0.3">
      <c r="A180" s="153" t="s">
        <v>74</v>
      </c>
      <c r="B180" s="153"/>
      <c r="C180" s="153" t="s">
        <v>338</v>
      </c>
      <c r="D180" s="153"/>
      <c r="E180" s="153" t="s">
        <v>103</v>
      </c>
      <c r="F180" s="153"/>
      <c r="G180" s="153" t="s">
        <v>342</v>
      </c>
      <c r="H180" s="153"/>
    </row>
    <row r="181" spans="1:20" x14ac:dyDescent="0.3">
      <c r="A181" s="152" t="s">
        <v>76</v>
      </c>
      <c r="B181" s="152"/>
      <c r="C181" s="152"/>
      <c r="D181" s="152"/>
      <c r="E181" s="152"/>
      <c r="F181" s="152"/>
      <c r="G181" s="152"/>
      <c r="H181" s="152"/>
    </row>
    <row r="182" spans="1:20" x14ac:dyDescent="0.3">
      <c r="A182" s="152"/>
      <c r="B182" s="152"/>
      <c r="C182" s="152"/>
      <c r="D182" s="152"/>
      <c r="E182" s="152"/>
      <c r="F182" s="152"/>
      <c r="G182" s="152"/>
      <c r="H182" s="152"/>
    </row>
    <row r="183" spans="1:20" x14ac:dyDescent="0.3">
      <c r="A183" s="152"/>
      <c r="B183" s="152"/>
      <c r="C183" s="152"/>
      <c r="D183" s="152"/>
      <c r="E183" s="152"/>
      <c r="F183" s="152"/>
      <c r="G183" s="152"/>
      <c r="H183" s="152"/>
    </row>
    <row r="184" spans="1:20" x14ac:dyDescent="0.3">
      <c r="A184" s="152"/>
      <c r="B184" s="152"/>
      <c r="C184" s="152"/>
      <c r="D184" s="152"/>
      <c r="E184" s="152"/>
      <c r="F184" s="152"/>
      <c r="G184" s="152"/>
      <c r="H184" s="152"/>
    </row>
    <row r="185" spans="1:20" x14ac:dyDescent="0.3">
      <c r="A185" s="35" t="s">
        <v>63</v>
      </c>
      <c r="B185" s="36"/>
      <c r="C185" s="36"/>
      <c r="D185" s="35" t="str">
        <f>E9</f>
        <v>Mali Avenue</v>
      </c>
      <c r="F185" s="36"/>
      <c r="G185" s="36"/>
      <c r="H185" s="36"/>
    </row>
    <row r="186" spans="1:20" x14ac:dyDescent="0.3">
      <c r="A186" s="36"/>
      <c r="B186" s="36"/>
      <c r="C186" s="36"/>
      <c r="D186" s="36"/>
      <c r="E186" s="36"/>
      <c r="F186" s="36"/>
      <c r="G186" s="36"/>
      <c r="H186" s="36"/>
    </row>
    <row r="187" spans="1:20" x14ac:dyDescent="0.3">
      <c r="A187" s="36"/>
      <c r="B187" s="36"/>
      <c r="C187" s="36"/>
      <c r="D187" s="36"/>
      <c r="E187" s="36"/>
      <c r="F187" s="36"/>
      <c r="G187" s="36"/>
      <c r="H187" s="36"/>
    </row>
    <row r="188" spans="1:20" ht="15" customHeight="1" x14ac:dyDescent="0.3"/>
    <row r="201" spans="10:10" x14ac:dyDescent="0.3">
      <c r="J201"/>
    </row>
    <row r="227" spans="1:1" x14ac:dyDescent="0.3">
      <c r="A227" s="38" t="s">
        <v>157</v>
      </c>
    </row>
    <row r="269" spans="1:1" x14ac:dyDescent="0.3">
      <c r="A269" s="38" t="s">
        <v>64</v>
      </c>
    </row>
  </sheetData>
  <mergeCells count="321">
    <mergeCell ref="A139:B139"/>
    <mergeCell ref="A140:B140"/>
    <mergeCell ref="A141:B141"/>
    <mergeCell ref="A142:B142"/>
    <mergeCell ref="A143:B143"/>
    <mergeCell ref="A150:B150"/>
    <mergeCell ref="A151:B151"/>
    <mergeCell ref="A152:B152"/>
    <mergeCell ref="A155:H155"/>
    <mergeCell ref="A135:H135"/>
    <mergeCell ref="L135:M135"/>
    <mergeCell ref="A136:B136"/>
    <mergeCell ref="A137:B137"/>
    <mergeCell ref="A138:B138"/>
    <mergeCell ref="A131:H131"/>
    <mergeCell ref="A132:A133"/>
    <mergeCell ref="F132:F133"/>
    <mergeCell ref="C132:C133"/>
    <mergeCell ref="G132:G133"/>
    <mergeCell ref="I15:P15"/>
    <mergeCell ref="F106:H106"/>
    <mergeCell ref="F104:H104"/>
    <mergeCell ref="A120:H120"/>
    <mergeCell ref="G110:H110"/>
    <mergeCell ref="A105:E105"/>
    <mergeCell ref="A126:B126"/>
    <mergeCell ref="A54:B54"/>
    <mergeCell ref="C54:E54"/>
    <mergeCell ref="D56:H56"/>
    <mergeCell ref="F105:H105"/>
    <mergeCell ref="E110:F110"/>
    <mergeCell ref="A110:B110"/>
    <mergeCell ref="C114:D114"/>
    <mergeCell ref="D65:H65"/>
    <mergeCell ref="A66:C66"/>
    <mergeCell ref="E43:H43"/>
    <mergeCell ref="A43:D43"/>
    <mergeCell ref="A82:B82"/>
    <mergeCell ref="C82:H82"/>
    <mergeCell ref="A77:B77"/>
    <mergeCell ref="A50:B50"/>
    <mergeCell ref="C50:E50"/>
    <mergeCell ref="G50:H50"/>
    <mergeCell ref="A51:B51"/>
    <mergeCell ref="A55:H55"/>
    <mergeCell ref="A56:C56"/>
    <mergeCell ref="A57:C57"/>
    <mergeCell ref="D57:H57"/>
    <mergeCell ref="G54:H54"/>
    <mergeCell ref="G51:H51"/>
    <mergeCell ref="A52:B53"/>
    <mergeCell ref="C53:H53"/>
    <mergeCell ref="C52:E52"/>
    <mergeCell ref="A178:H178"/>
    <mergeCell ref="A175:H175"/>
    <mergeCell ref="A114:B114"/>
    <mergeCell ref="D132:D133"/>
    <mergeCell ref="E132:E133"/>
    <mergeCell ref="A90:B90"/>
    <mergeCell ref="A91:B91"/>
    <mergeCell ref="A92:B92"/>
    <mergeCell ref="F97:H97"/>
    <mergeCell ref="G111:H111"/>
    <mergeCell ref="F103:H103"/>
    <mergeCell ref="C110:D110"/>
    <mergeCell ref="C117:D117"/>
    <mergeCell ref="A125:B125"/>
    <mergeCell ref="B171:H171"/>
    <mergeCell ref="A118:B118"/>
    <mergeCell ref="C118:D118"/>
    <mergeCell ref="E118:F118"/>
    <mergeCell ref="B170:H170"/>
    <mergeCell ref="B168:H168"/>
    <mergeCell ref="A123:H123"/>
    <mergeCell ref="A129:B129"/>
    <mergeCell ref="A130:B130"/>
    <mergeCell ref="A134:H134"/>
    <mergeCell ref="B164:H164"/>
    <mergeCell ref="B162:H162"/>
    <mergeCell ref="B163:H163"/>
    <mergeCell ref="B165:H165"/>
    <mergeCell ref="B166:H166"/>
    <mergeCell ref="A161:H161"/>
    <mergeCell ref="A148:B148"/>
    <mergeCell ref="A149:B149"/>
    <mergeCell ref="A144:H144"/>
    <mergeCell ref="A156:B156"/>
    <mergeCell ref="A157:B157"/>
    <mergeCell ref="A158:B158"/>
    <mergeCell ref="A159:B159"/>
    <mergeCell ref="A160:B160"/>
    <mergeCell ref="A153:H153"/>
    <mergeCell ref="A154:H154"/>
    <mergeCell ref="A146:B146"/>
    <mergeCell ref="E86:F95"/>
    <mergeCell ref="A93:B93"/>
    <mergeCell ref="A94:B94"/>
    <mergeCell ref="E114:F114"/>
    <mergeCell ref="A119:H119"/>
    <mergeCell ref="A85:B85"/>
    <mergeCell ref="E111:F111"/>
    <mergeCell ref="B121:B122"/>
    <mergeCell ref="A121:A122"/>
    <mergeCell ref="G118:H118"/>
    <mergeCell ref="D121:D122"/>
    <mergeCell ref="A100:E100"/>
    <mergeCell ref="A99:E99"/>
    <mergeCell ref="A96:E96"/>
    <mergeCell ref="F100:H100"/>
    <mergeCell ref="G121:G122"/>
    <mergeCell ref="A181:H184"/>
    <mergeCell ref="A180:B180"/>
    <mergeCell ref="E180:F180"/>
    <mergeCell ref="C180:D180"/>
    <mergeCell ref="G180:H180"/>
    <mergeCell ref="A109:H109"/>
    <mergeCell ref="A107:E107"/>
    <mergeCell ref="F107:H107"/>
    <mergeCell ref="A108:E108"/>
    <mergeCell ref="F108:H108"/>
    <mergeCell ref="A115:B115"/>
    <mergeCell ref="A111:B111"/>
    <mergeCell ref="A176:H176"/>
    <mergeCell ref="A113:H113"/>
    <mergeCell ref="A179:H179"/>
    <mergeCell ref="A177:H177"/>
    <mergeCell ref="A173:H173"/>
    <mergeCell ref="G114:H114"/>
    <mergeCell ref="C121:C122"/>
    <mergeCell ref="B132:B133"/>
    <mergeCell ref="A174:H174"/>
    <mergeCell ref="A145:B145"/>
    <mergeCell ref="F121:F122"/>
    <mergeCell ref="C111:D111"/>
    <mergeCell ref="D67:H67"/>
    <mergeCell ref="A65:C65"/>
    <mergeCell ref="D66:H66"/>
    <mergeCell ref="A72:B72"/>
    <mergeCell ref="G71:H71"/>
    <mergeCell ref="E72:F81"/>
    <mergeCell ref="G72:H81"/>
    <mergeCell ref="A80:B80"/>
    <mergeCell ref="A81:B81"/>
    <mergeCell ref="A71:B71"/>
    <mergeCell ref="A74:B7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1:C61"/>
    <mergeCell ref="A62:C62"/>
    <mergeCell ref="D61:H61"/>
    <mergeCell ref="D62:H62"/>
    <mergeCell ref="A44:D44"/>
    <mergeCell ref="E44:H44"/>
    <mergeCell ref="E45:H45"/>
    <mergeCell ref="E46:H46"/>
    <mergeCell ref="E47:H47"/>
    <mergeCell ref="C40:H40"/>
    <mergeCell ref="A49:B49"/>
    <mergeCell ref="C49:H49"/>
    <mergeCell ref="F37:H37"/>
    <mergeCell ref="A59:C60"/>
    <mergeCell ref="D59:H59"/>
    <mergeCell ref="D60:H60"/>
    <mergeCell ref="C51:E51"/>
    <mergeCell ref="G52:H52"/>
    <mergeCell ref="L128:M128"/>
    <mergeCell ref="L127:M127"/>
    <mergeCell ref="L126:M126"/>
    <mergeCell ref="L125:M125"/>
    <mergeCell ref="A79:B79"/>
    <mergeCell ref="C115:D115"/>
    <mergeCell ref="E115:F115"/>
    <mergeCell ref="G115:H115"/>
    <mergeCell ref="A97:E97"/>
    <mergeCell ref="A124:H124"/>
    <mergeCell ref="E121:E122"/>
    <mergeCell ref="A86:B86"/>
    <mergeCell ref="C84:H84"/>
    <mergeCell ref="F96:H96"/>
    <mergeCell ref="F101:H101"/>
    <mergeCell ref="A128:B128"/>
    <mergeCell ref="A127:B127"/>
    <mergeCell ref="E85:F85"/>
    <mergeCell ref="G85:H85"/>
    <mergeCell ref="A102:E102"/>
    <mergeCell ref="F102:H102"/>
    <mergeCell ref="A104:E104"/>
    <mergeCell ref="F99:H99"/>
    <mergeCell ref="A103:E103"/>
    <mergeCell ref="A84:B84"/>
    <mergeCell ref="A39:B39"/>
    <mergeCell ref="C39:H39"/>
    <mergeCell ref="A46:D46"/>
    <mergeCell ref="A47:D47"/>
    <mergeCell ref="A48:H48"/>
    <mergeCell ref="D58:H58"/>
    <mergeCell ref="A58:C58"/>
    <mergeCell ref="A78:B78"/>
    <mergeCell ref="A45:D45"/>
    <mergeCell ref="A40:B40"/>
    <mergeCell ref="A70:B70"/>
    <mergeCell ref="A68:B68"/>
    <mergeCell ref="C68:H68"/>
    <mergeCell ref="A76:B76"/>
    <mergeCell ref="A63:C63"/>
    <mergeCell ref="D63:H63"/>
    <mergeCell ref="C70:H70"/>
    <mergeCell ref="A73:B73"/>
    <mergeCell ref="A75:B75"/>
    <mergeCell ref="E71:F71"/>
    <mergeCell ref="A64:C64"/>
    <mergeCell ref="D64:H64"/>
    <mergeCell ref="A67:C67"/>
    <mergeCell ref="B172:H172"/>
    <mergeCell ref="A101:E101"/>
    <mergeCell ref="A95:B95"/>
    <mergeCell ref="A117:B117"/>
    <mergeCell ref="E117:F117"/>
    <mergeCell ref="A106:E106"/>
    <mergeCell ref="G117:H117"/>
    <mergeCell ref="C112:D112"/>
    <mergeCell ref="G112:H112"/>
    <mergeCell ref="A112:B112"/>
    <mergeCell ref="E112:F112"/>
    <mergeCell ref="A116:B116"/>
    <mergeCell ref="C116:D116"/>
    <mergeCell ref="E116:F116"/>
    <mergeCell ref="G116:H116"/>
    <mergeCell ref="B169:H169"/>
    <mergeCell ref="A147:B147"/>
    <mergeCell ref="B167:H167"/>
    <mergeCell ref="G86:H95"/>
    <mergeCell ref="A87:B87"/>
    <mergeCell ref="A88:B88"/>
    <mergeCell ref="A89:B89"/>
    <mergeCell ref="F98:H98"/>
    <mergeCell ref="A98:E98"/>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1:E122" xr:uid="{00000000-0002-0000-0000-000003000000}">
      <formula1>"Attached Loft area,Attached Otla area,Attached Mezzanine area"</formula1>
    </dataValidation>
    <dataValidation type="list" allowBlank="1" showInputMessage="1" showErrorMessage="1" sqref="G180:H180" xr:uid="{00000000-0002-0000-0000-000004000000}">
      <formula1>"Kunal Kadam,Pranita Mhatre,Shruti Fule,Pooja Kawale,Neha Dhokale,Shruti Tathare, Hitakshi Mhatre, Sachin Sawant"</formula1>
    </dataValidation>
    <dataValidation type="list" allowBlank="1" showInputMessage="1" showErrorMessage="1" sqref="F96:H96" xr:uid="{00000000-0002-0000-0000-000005000000}">
      <formula1>"On Saleable Area,On Builtup Area,On Carpet Area,On Plot Area"</formula1>
    </dataValidation>
    <dataValidation type="list" allowBlank="1" showInputMessage="1" showErrorMessage="1" sqref="F107:H107" xr:uid="{00000000-0002-0000-0000-000006000000}">
      <formula1>OFFSET($S$96,1,MATCH($G20,$S$96:$W$96,0)-1,15,1)</formula1>
    </dataValidation>
    <dataValidation type="list" allowBlank="1" showInputMessage="1" showErrorMessage="1" sqref="B121:B122" xr:uid="{00000000-0002-0000-0000-000007000000}">
      <formula1>"Shop No. (Sale Plan),Sale / Rehab,Sale / Mhada"</formula1>
    </dataValidation>
    <dataValidation type="list" allowBlank="1" showInputMessage="1" showErrorMessage="1" sqref="B132:B133"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2:E133" xr:uid="{00000000-0002-0000-0000-00000B000000}">
      <formula1>"Fungible area,Balcony Area,Chajja Area,Cornice Area,AP Area,WS Area"</formula1>
    </dataValidation>
    <dataValidation type="list" allowBlank="1" showInputMessage="1" showErrorMessage="1" sqref="H122 H133"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77" xr:uid="{00000000-0002-0000-0000-00000F000000}">
      <formula1>0</formula1>
      <formula2>H69</formula2>
    </dataValidation>
    <dataValidation type="list" allowBlank="1" showInputMessage="1" showErrorMessage="1" sqref="H121 H132" xr:uid="{00000000-0002-0000-0000-000010000000}">
      <formula1>"Saleable area Loading :,Builder Saleable Area"</formula1>
    </dataValidation>
    <dataValidation type="list" allowBlank="1" showInputMessage="1" showErrorMessage="1" sqref="D121:D122 D132:D133"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67" max="16383" man="1"/>
    <brk id="184" max="16383" man="1"/>
    <brk id="226" max="16383" man="1"/>
    <brk id="26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99" t="s">
        <v>104</v>
      </c>
      <c r="C3" s="199"/>
      <c r="D3" s="199"/>
      <c r="E3" s="199"/>
      <c r="F3" s="199"/>
      <c r="G3" s="199"/>
      <c r="H3" s="199"/>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6"/>
      <c r="C4" s="46" t="s">
        <v>11</v>
      </c>
      <c r="D4" s="47" t="s">
        <v>173</v>
      </c>
      <c r="E4" s="47" t="s">
        <v>183</v>
      </c>
      <c r="F4" s="47" t="s">
        <v>166</v>
      </c>
      <c r="G4" s="47" t="s">
        <v>188</v>
      </c>
      <c r="H4" s="47" t="s">
        <v>206</v>
      </c>
      <c r="J4" t="s">
        <v>188</v>
      </c>
      <c r="K4" t="s">
        <v>204</v>
      </c>
    </row>
    <row r="5" spans="2:11" x14ac:dyDescent="0.3">
      <c r="B5" s="46"/>
      <c r="C5" s="46"/>
      <c r="D5" s="47" t="s">
        <v>174</v>
      </c>
      <c r="E5" s="47" t="s">
        <v>181</v>
      </c>
      <c r="F5" s="47" t="s">
        <v>203</v>
      </c>
      <c r="G5" s="47" t="s">
        <v>189</v>
      </c>
      <c r="H5" s="47" t="s">
        <v>207</v>
      </c>
    </row>
    <row r="6" spans="2:11" x14ac:dyDescent="0.3">
      <c r="B6" s="46"/>
      <c r="C6" s="46"/>
      <c r="D6" s="47" t="s">
        <v>175</v>
      </c>
      <c r="E6" s="47" t="s">
        <v>182</v>
      </c>
      <c r="F6" s="47" t="s">
        <v>204</v>
      </c>
      <c r="G6" s="47" t="s">
        <v>190</v>
      </c>
      <c r="H6" s="47" t="s">
        <v>220</v>
      </c>
    </row>
    <row r="7" spans="2:11" x14ac:dyDescent="0.3">
      <c r="B7" s="46"/>
      <c r="C7" s="46"/>
      <c r="D7" s="47" t="s">
        <v>176</v>
      </c>
      <c r="E7" s="47" t="s">
        <v>184</v>
      </c>
      <c r="F7" s="47" t="s">
        <v>205</v>
      </c>
      <c r="G7" s="47" t="s">
        <v>191</v>
      </c>
      <c r="H7" s="47" t="s">
        <v>208</v>
      </c>
    </row>
    <row r="8" spans="2:11" x14ac:dyDescent="0.3">
      <c r="B8" s="46"/>
      <c r="C8" s="46"/>
      <c r="D8" s="47" t="s">
        <v>177</v>
      </c>
      <c r="E8" s="47" t="s">
        <v>185</v>
      </c>
      <c r="F8" s="47"/>
      <c r="G8" s="47" t="s">
        <v>192</v>
      </c>
      <c r="H8" s="47" t="s">
        <v>209</v>
      </c>
    </row>
    <row r="9" spans="2:11" x14ac:dyDescent="0.3">
      <c r="B9" s="46"/>
      <c r="C9" s="46"/>
      <c r="D9" s="47" t="s">
        <v>178</v>
      </c>
      <c r="E9" s="47" t="s">
        <v>183</v>
      </c>
      <c r="F9" s="47"/>
      <c r="G9" s="47" t="s">
        <v>193</v>
      </c>
      <c r="H9" s="47" t="s">
        <v>210</v>
      </c>
    </row>
    <row r="10" spans="2:11" x14ac:dyDescent="0.3">
      <c r="B10" s="46"/>
      <c r="C10" s="46"/>
      <c r="D10" s="47" t="s">
        <v>179</v>
      </c>
      <c r="E10" s="47" t="s">
        <v>186</v>
      </c>
      <c r="F10" s="47"/>
      <c r="G10" s="47" t="s">
        <v>194</v>
      </c>
      <c r="H10" s="47" t="s">
        <v>211</v>
      </c>
    </row>
    <row r="11" spans="2:11" x14ac:dyDescent="0.3">
      <c r="B11" s="46"/>
      <c r="C11" s="46"/>
      <c r="D11" s="47" t="s">
        <v>180</v>
      </c>
      <c r="E11" s="47" t="s">
        <v>187</v>
      </c>
      <c r="F11" s="47"/>
      <c r="G11" s="47" t="s">
        <v>195</v>
      </c>
      <c r="H11" s="47" t="s">
        <v>212</v>
      </c>
    </row>
    <row r="12" spans="2:11" x14ac:dyDescent="0.3">
      <c r="B12" s="46"/>
      <c r="C12" s="46"/>
      <c r="D12" s="47"/>
      <c r="E12" s="47"/>
      <c r="F12" s="47"/>
      <c r="G12" s="47" t="s">
        <v>196</v>
      </c>
      <c r="H12" s="47" t="s">
        <v>213</v>
      </c>
    </row>
    <row r="13" spans="2:11" x14ac:dyDescent="0.3">
      <c r="B13" s="46"/>
      <c r="C13" s="46"/>
      <c r="D13" s="47"/>
      <c r="E13" s="47"/>
      <c r="F13" s="47"/>
      <c r="G13" s="47" t="s">
        <v>197</v>
      </c>
      <c r="H13" s="47" t="s">
        <v>214</v>
      </c>
    </row>
    <row r="14" spans="2:11" x14ac:dyDescent="0.3">
      <c r="B14" s="46"/>
      <c r="C14" s="46"/>
      <c r="D14" s="47"/>
      <c r="E14" s="47"/>
      <c r="F14" s="47"/>
      <c r="G14" s="47" t="s">
        <v>198</v>
      </c>
      <c r="H14" s="47" t="s">
        <v>215</v>
      </c>
    </row>
    <row r="15" spans="2:11" x14ac:dyDescent="0.3">
      <c r="B15" s="46"/>
      <c r="C15" s="46"/>
      <c r="D15" s="47"/>
      <c r="E15" s="47"/>
      <c r="F15" s="47"/>
      <c r="G15" s="47" t="s">
        <v>199</v>
      </c>
      <c r="H15" s="47" t="s">
        <v>216</v>
      </c>
    </row>
    <row r="16" spans="2:11" x14ac:dyDescent="0.3">
      <c r="B16" s="46"/>
      <c r="C16" s="46"/>
      <c r="D16" s="47"/>
      <c r="E16" s="47"/>
      <c r="F16" s="47"/>
      <c r="G16" s="47" t="s">
        <v>200</v>
      </c>
      <c r="H16" s="47" t="s">
        <v>217</v>
      </c>
    </row>
    <row r="17" spans="2:8" x14ac:dyDescent="0.3">
      <c r="B17" s="46"/>
      <c r="C17" s="46"/>
      <c r="D17" s="47"/>
      <c r="E17" s="47"/>
      <c r="F17" s="47"/>
      <c r="G17" s="47" t="s">
        <v>201</v>
      </c>
      <c r="H17" s="47" t="s">
        <v>218</v>
      </c>
    </row>
    <row r="18" spans="2:8" x14ac:dyDescent="0.3">
      <c r="B18" s="46"/>
      <c r="C18" s="46"/>
      <c r="D18" s="47"/>
      <c r="E18" s="47"/>
      <c r="F18" s="47"/>
      <c r="G18" s="47" t="s">
        <v>202</v>
      </c>
      <c r="H18" s="47" t="s">
        <v>219</v>
      </c>
    </row>
    <row r="24" spans="2:8" x14ac:dyDescent="0.3">
      <c r="C24" t="s">
        <v>163</v>
      </c>
    </row>
    <row r="25" spans="2:8" x14ac:dyDescent="0.3">
      <c r="C25" t="s">
        <v>221</v>
      </c>
    </row>
    <row r="26" spans="2:8" x14ac:dyDescent="0.3">
      <c r="C26" t="s">
        <v>222</v>
      </c>
    </row>
    <row r="27" spans="2:8" x14ac:dyDescent="0.3">
      <c r="C27" t="s">
        <v>223</v>
      </c>
    </row>
    <row r="28" spans="2:8" x14ac:dyDescent="0.3">
      <c r="C28" t="s">
        <v>224</v>
      </c>
    </row>
    <row r="29" spans="2:8" x14ac:dyDescent="0.3">
      <c r="C29" t="s">
        <v>225</v>
      </c>
    </row>
    <row r="30" spans="2:8" x14ac:dyDescent="0.3">
      <c r="C30" t="s">
        <v>163</v>
      </c>
    </row>
    <row r="33" spans="3:11" x14ac:dyDescent="0.3">
      <c r="J33">
        <v>1</v>
      </c>
      <c r="K33">
        <v>2</v>
      </c>
    </row>
    <row r="34" spans="3:11" x14ac:dyDescent="0.3">
      <c r="C34" s="49" t="s">
        <v>232</v>
      </c>
      <c r="D34" s="47" t="s">
        <v>230</v>
      </c>
      <c r="E34" s="47" t="s">
        <v>235</v>
      </c>
      <c r="F34" s="47" t="s">
        <v>233</v>
      </c>
      <c r="G34" s="47" t="s">
        <v>234</v>
      </c>
      <c r="H34" s="47" t="s">
        <v>236</v>
      </c>
      <c r="J34" t="s">
        <v>188</v>
      </c>
      <c r="K34" t="s">
        <v>204</v>
      </c>
    </row>
    <row r="35" spans="3:11" x14ac:dyDescent="0.3">
      <c r="C35" s="46" t="s">
        <v>231</v>
      </c>
      <c r="D35" s="47" t="s">
        <v>164</v>
      </c>
      <c r="E35" s="47" t="s">
        <v>240</v>
      </c>
      <c r="F35" s="47" t="s">
        <v>242</v>
      </c>
      <c r="G35" s="47" t="s">
        <v>244</v>
      </c>
      <c r="H35" s="47"/>
    </row>
    <row r="36" spans="3:11" x14ac:dyDescent="0.3">
      <c r="C36" s="46"/>
      <c r="D36" s="47" t="s">
        <v>237</v>
      </c>
      <c r="E36" s="47" t="s">
        <v>241</v>
      </c>
      <c r="F36" s="47" t="s">
        <v>243</v>
      </c>
      <c r="G36" s="47" t="s">
        <v>245</v>
      </c>
      <c r="H36" s="47"/>
    </row>
    <row r="37" spans="3:11" x14ac:dyDescent="0.3">
      <c r="C37" s="46"/>
      <c r="D37" s="47" t="s">
        <v>238</v>
      </c>
      <c r="E37" s="47"/>
      <c r="F37" s="47"/>
      <c r="G37" s="47" t="s">
        <v>246</v>
      </c>
      <c r="H37" s="47"/>
    </row>
    <row r="38" spans="3:11" x14ac:dyDescent="0.3">
      <c r="C38" s="46"/>
      <c r="D38" s="47" t="s">
        <v>239</v>
      </c>
      <c r="E38" s="47"/>
      <c r="F38" s="47"/>
      <c r="G38" s="47" t="s">
        <v>246</v>
      </c>
      <c r="H38" s="47"/>
    </row>
    <row r="39" spans="3:11" x14ac:dyDescent="0.3">
      <c r="C39" s="46"/>
      <c r="D39" s="47"/>
      <c r="E39" s="47"/>
      <c r="F39" s="47"/>
      <c r="G39" s="47" t="s">
        <v>247</v>
      </c>
      <c r="H39" s="47"/>
    </row>
    <row r="40" spans="3:11" x14ac:dyDescent="0.3">
      <c r="C40" s="46"/>
      <c r="D40" s="47"/>
      <c r="E40" s="47"/>
      <c r="F40" s="47"/>
      <c r="G40" s="47" t="s">
        <v>248</v>
      </c>
      <c r="H40" s="47"/>
    </row>
    <row r="41" spans="3:11" x14ac:dyDescent="0.3">
      <c r="C41" s="46"/>
      <c r="D41" s="47"/>
      <c r="E41" s="47"/>
      <c r="F41" s="47"/>
      <c r="G41" s="47"/>
      <c r="H41" s="47"/>
    </row>
    <row r="43" spans="3:11" x14ac:dyDescent="0.3">
      <c r="C43" t="s">
        <v>249</v>
      </c>
    </row>
    <row r="44" spans="3:11" x14ac:dyDescent="0.3">
      <c r="C44" t="s">
        <v>166</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173</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188</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183</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workbookViewId="0">
      <selection activeCell="C8" sqref="C8"/>
    </sheetView>
  </sheetViews>
  <sheetFormatPr defaultRowHeight="14.4" x14ac:dyDescent="0.3"/>
  <cols>
    <col min="2" max="2" width="3" bestFit="1" customWidth="1"/>
    <col min="3" max="3" width="130" customWidth="1"/>
  </cols>
  <sheetData>
    <row r="2" spans="2:3" ht="15" customHeight="1" x14ac:dyDescent="0.3">
      <c r="B2" s="50">
        <v>1</v>
      </c>
      <c r="C2" s="52" t="s">
        <v>277</v>
      </c>
    </row>
    <row r="3" spans="2:3" x14ac:dyDescent="0.3">
      <c r="B3" s="50">
        <v>2</v>
      </c>
      <c r="C3" s="51" t="s">
        <v>278</v>
      </c>
    </row>
    <row r="4" spans="2:3" x14ac:dyDescent="0.3">
      <c r="B4" s="50">
        <v>3</v>
      </c>
      <c r="C4" s="50" t="s">
        <v>279</v>
      </c>
    </row>
    <row r="5" spans="2:3" x14ac:dyDescent="0.3">
      <c r="B5" s="50">
        <v>4</v>
      </c>
      <c r="C5" s="51" t="s">
        <v>280</v>
      </c>
    </row>
    <row r="6" spans="2:3" x14ac:dyDescent="0.3">
      <c r="B6" s="50">
        <v>5</v>
      </c>
      <c r="C6" s="50" t="s">
        <v>281</v>
      </c>
    </row>
    <row r="7" spans="2:3" ht="28.8" x14ac:dyDescent="0.3">
      <c r="B7" s="50">
        <v>6</v>
      </c>
      <c r="C7" s="51" t="s">
        <v>282</v>
      </c>
    </row>
    <row r="8" spans="2:3" ht="72" x14ac:dyDescent="0.3">
      <c r="B8" s="50">
        <v>7</v>
      </c>
      <c r="C8" s="51" t="s">
        <v>283</v>
      </c>
    </row>
    <row r="9" spans="2:3" x14ac:dyDescent="0.3">
      <c r="B9" s="50">
        <v>8</v>
      </c>
      <c r="C9" s="50" t="s">
        <v>284</v>
      </c>
    </row>
    <row r="10" spans="2:3" x14ac:dyDescent="0.3">
      <c r="B10" s="50">
        <v>9</v>
      </c>
      <c r="C10" s="50" t="s">
        <v>285</v>
      </c>
    </row>
    <row r="11" spans="2:3" x14ac:dyDescent="0.3">
      <c r="B11" s="50">
        <v>10</v>
      </c>
      <c r="C11" s="50" t="s">
        <v>286</v>
      </c>
    </row>
    <row r="12" spans="2:3" x14ac:dyDescent="0.3">
      <c r="B12" s="50">
        <v>11</v>
      </c>
      <c r="C12" s="50" t="s">
        <v>287</v>
      </c>
    </row>
    <row r="13" spans="2:3" x14ac:dyDescent="0.3">
      <c r="B13" s="50">
        <v>12</v>
      </c>
      <c r="C13" s="50" t="s">
        <v>288</v>
      </c>
    </row>
    <row r="14" spans="2:3" x14ac:dyDescent="0.3">
      <c r="B14" s="50">
        <v>13</v>
      </c>
      <c r="C14" s="50" t="s">
        <v>289</v>
      </c>
    </row>
    <row r="15" spans="2:3" x14ac:dyDescent="0.3">
      <c r="B15" s="50">
        <v>14</v>
      </c>
      <c r="C15" s="50" t="s">
        <v>279</v>
      </c>
    </row>
    <row r="16" spans="2:3" x14ac:dyDescent="0.3">
      <c r="B16" s="50">
        <v>15</v>
      </c>
      <c r="C16" s="50" t="s">
        <v>290</v>
      </c>
    </row>
    <row r="17" spans="2:3" ht="31.5" customHeight="1" x14ac:dyDescent="0.3">
      <c r="B17" s="53">
        <v>16</v>
      </c>
      <c r="C17" s="55" t="s">
        <v>291</v>
      </c>
    </row>
    <row r="18" spans="2:3" x14ac:dyDescent="0.3">
      <c r="B18" s="54">
        <v>17</v>
      </c>
      <c r="C18" s="55" t="s">
        <v>292</v>
      </c>
    </row>
    <row r="19" spans="2:3" x14ac:dyDescent="0.3">
      <c r="B19" s="53">
        <v>18</v>
      </c>
      <c r="C19" s="50" t="s">
        <v>293</v>
      </c>
    </row>
    <row r="20" spans="2:3" x14ac:dyDescent="0.3">
      <c r="B20" s="54">
        <v>19</v>
      </c>
      <c r="C20" s="50"/>
    </row>
    <row r="21" spans="2:3" x14ac:dyDescent="0.3">
      <c r="B21" s="50">
        <v>20</v>
      </c>
      <c r="C21" s="50"/>
    </row>
    <row r="22" spans="2:3" x14ac:dyDescent="0.3">
      <c r="B22" s="50"/>
      <c r="C22" s="50"/>
    </row>
    <row r="23" spans="2:3" x14ac:dyDescent="0.3">
      <c r="B23" s="50"/>
      <c r="C23" s="50"/>
    </row>
    <row r="24" spans="2:3" x14ac:dyDescent="0.3">
      <c r="B24" s="50"/>
      <c r="C24" s="50"/>
    </row>
    <row r="25" spans="2:3" x14ac:dyDescent="0.3">
      <c r="B25" s="50"/>
      <c r="C25" s="50"/>
    </row>
    <row r="26" spans="2:3" x14ac:dyDescent="0.3">
      <c r="B26" s="50"/>
      <c r="C26" s="5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2025-08-14T11:59:01Z</cp:lastPrinted>
  <dcterms:created xsi:type="dcterms:W3CDTF">2019-07-16T09:29:46Z</dcterms:created>
  <dcterms:modified xsi:type="dcterms:W3CDTF">2025-08-14T12:00:57Z</dcterms:modified>
</cp:coreProperties>
</file>