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0753D33B-67C4-4D16-ADA1-8E5DD2AB69B0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7" i="1" l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D177" i="1"/>
  <c r="K177" i="1" s="1"/>
  <c r="D176" i="1"/>
  <c r="K176" i="1" s="1"/>
  <c r="D175" i="1"/>
  <c r="K175" i="1" s="1"/>
  <c r="D174" i="1"/>
  <c r="K174" i="1" s="1"/>
  <c r="D173" i="1"/>
  <c r="D172" i="1"/>
  <c r="K172" i="1" s="1"/>
  <c r="D171" i="1"/>
  <c r="K171" i="1" s="1"/>
  <c r="D170" i="1"/>
  <c r="K170" i="1" s="1"/>
  <c r="D169" i="1"/>
  <c r="K169" i="1" s="1"/>
  <c r="D168" i="1"/>
  <c r="K168" i="1" s="1"/>
  <c r="G167" i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D167" i="1"/>
  <c r="K167" i="1" s="1"/>
  <c r="D129" i="1" l="1"/>
  <c r="K129" i="1" s="1"/>
  <c r="D128" i="1"/>
  <c r="K128" i="1" s="1"/>
  <c r="D127" i="1"/>
  <c r="K127" i="1" s="1"/>
  <c r="D125" i="1"/>
  <c r="K125" i="1" s="1"/>
  <c r="D123" i="1"/>
  <c r="K123" i="1" s="1"/>
  <c r="D132" i="1"/>
  <c r="K132" i="1" s="1"/>
  <c r="L204" i="1" l="1"/>
  <c r="B220" i="1"/>
  <c r="D217" i="1"/>
  <c r="K217" i="1" s="1"/>
  <c r="D216" i="1"/>
  <c r="K216" i="1" s="1"/>
  <c r="D215" i="1"/>
  <c r="K215" i="1" s="1"/>
  <c r="D214" i="1"/>
  <c r="K214" i="1" s="1"/>
  <c r="D212" i="1"/>
  <c r="K212" i="1" s="1"/>
  <c r="D211" i="1"/>
  <c r="K211" i="1" s="1"/>
  <c r="D210" i="1"/>
  <c r="K210" i="1" s="1"/>
  <c r="G210" i="1"/>
  <c r="G211" i="1" s="1"/>
  <c r="G212" i="1" s="1"/>
  <c r="G213" i="1" s="1"/>
  <c r="G214" i="1" s="1"/>
  <c r="G215" i="1" s="1"/>
  <c r="G216" i="1" s="1"/>
  <c r="G217" i="1" s="1"/>
  <c r="A210" i="1"/>
  <c r="A211" i="1" s="1"/>
  <c r="A212" i="1" s="1"/>
  <c r="A213" i="1" s="1"/>
  <c r="A214" i="1" s="1"/>
  <c r="A215" i="1" s="1"/>
  <c r="A216" i="1" s="1"/>
  <c r="A217" i="1" s="1"/>
  <c r="D205" i="1"/>
  <c r="K205" i="1" s="1"/>
  <c r="D204" i="1"/>
  <c r="K204" i="1" s="1"/>
  <c r="D208" i="1"/>
  <c r="K208" i="1" s="1"/>
  <c r="D207" i="1"/>
  <c r="K207" i="1" s="1"/>
  <c r="D206" i="1"/>
  <c r="K206" i="1" s="1"/>
  <c r="D203" i="1"/>
  <c r="K203" i="1" s="1"/>
  <c r="D202" i="1"/>
  <c r="K202" i="1" s="1"/>
  <c r="D201" i="1"/>
  <c r="K201" i="1" s="1"/>
  <c r="G201" i="1"/>
  <c r="G202" i="1" s="1"/>
  <c r="G203" i="1" s="1"/>
  <c r="G204" i="1" s="1"/>
  <c r="G205" i="1" s="1"/>
  <c r="G206" i="1" s="1"/>
  <c r="G207" i="1" s="1"/>
  <c r="G208" i="1" s="1"/>
  <c r="E196" i="1"/>
  <c r="D199" i="1"/>
  <c r="K199" i="1" s="1"/>
  <c r="D198" i="1"/>
  <c r="K198" i="1" s="1"/>
  <c r="D197" i="1"/>
  <c r="K197" i="1" s="1"/>
  <c r="D196" i="1"/>
  <c r="E195" i="1"/>
  <c r="D195" i="1"/>
  <c r="D194" i="1"/>
  <c r="K194" i="1" s="1"/>
  <c r="D193" i="1"/>
  <c r="K193" i="1" s="1"/>
  <c r="D192" i="1"/>
  <c r="K192" i="1" s="1"/>
  <c r="G192" i="1"/>
  <c r="G193" i="1" s="1"/>
  <c r="G194" i="1" s="1"/>
  <c r="G195" i="1" s="1"/>
  <c r="G196" i="1" s="1"/>
  <c r="G197" i="1" s="1"/>
  <c r="G198" i="1" s="1"/>
  <c r="G199" i="1" s="1"/>
  <c r="A192" i="1"/>
  <c r="A193" i="1" s="1"/>
  <c r="A194" i="1" s="1"/>
  <c r="A195" i="1" s="1"/>
  <c r="A196" i="1" s="1"/>
  <c r="A197" i="1" s="1"/>
  <c r="A198" i="1" s="1"/>
  <c r="A199" i="1" s="1"/>
  <c r="D138" i="1"/>
  <c r="K138" i="1" s="1"/>
  <c r="D137" i="1"/>
  <c r="K137" i="1" s="1"/>
  <c r="D136" i="1"/>
  <c r="K136" i="1" s="1"/>
  <c r="D135" i="1"/>
  <c r="K135" i="1" s="1"/>
  <c r="A136" i="1"/>
  <c r="A137" i="1" s="1"/>
  <c r="A138" i="1" s="1"/>
  <c r="G135" i="1"/>
  <c r="G136" i="1" s="1"/>
  <c r="G137" i="1" s="1"/>
  <c r="G138" i="1" s="1"/>
  <c r="D189" i="1"/>
  <c r="K189" i="1" s="1"/>
  <c r="D188" i="1"/>
  <c r="K188" i="1" s="1"/>
  <c r="D187" i="1"/>
  <c r="K187" i="1" s="1"/>
  <c r="D184" i="1"/>
  <c r="K184" i="1" s="1"/>
  <c r="D183" i="1"/>
  <c r="K183" i="1" s="1"/>
  <c r="D182" i="1"/>
  <c r="K182" i="1" s="1"/>
  <c r="D181" i="1"/>
  <c r="K181" i="1" s="1"/>
  <c r="D180" i="1"/>
  <c r="K180" i="1" s="1"/>
  <c r="D179" i="1"/>
  <c r="K179" i="1" s="1"/>
  <c r="G179" i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A179" i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D165" i="1"/>
  <c r="K165" i="1" s="1"/>
  <c r="D164" i="1"/>
  <c r="K164" i="1" s="1"/>
  <c r="D163" i="1"/>
  <c r="K163" i="1" s="1"/>
  <c r="D162" i="1"/>
  <c r="K162" i="1" s="1"/>
  <c r="D161" i="1"/>
  <c r="K161" i="1" s="1"/>
  <c r="D160" i="1"/>
  <c r="K160" i="1" s="1"/>
  <c r="D159" i="1"/>
  <c r="K159" i="1" s="1"/>
  <c r="D158" i="1"/>
  <c r="K158" i="1" s="1"/>
  <c r="D157" i="1"/>
  <c r="K157" i="1" s="1"/>
  <c r="D156" i="1"/>
  <c r="K156" i="1" s="1"/>
  <c r="D155" i="1"/>
  <c r="K155" i="1" s="1"/>
  <c r="G155" i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D153" i="1"/>
  <c r="K153" i="1" s="1"/>
  <c r="D152" i="1"/>
  <c r="K152" i="1" s="1"/>
  <c r="D151" i="1"/>
  <c r="E151" i="1"/>
  <c r="E150" i="1"/>
  <c r="D150" i="1"/>
  <c r="E149" i="1"/>
  <c r="D149" i="1"/>
  <c r="E148" i="1"/>
  <c r="D148" i="1"/>
  <c r="D147" i="1"/>
  <c r="K147" i="1" s="1"/>
  <c r="D146" i="1"/>
  <c r="K146" i="1" s="1"/>
  <c r="D143" i="1"/>
  <c r="K143" i="1" s="1"/>
  <c r="D145" i="1"/>
  <c r="K145" i="1" s="1"/>
  <c r="D144" i="1"/>
  <c r="K144" i="1" s="1"/>
  <c r="G143" i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A143" i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D131" i="1"/>
  <c r="K131" i="1" s="1"/>
  <c r="D130" i="1"/>
  <c r="K130" i="1" s="1"/>
  <c r="D126" i="1"/>
  <c r="K126" i="1" s="1"/>
  <c r="D124" i="1"/>
  <c r="K124" i="1" s="1"/>
  <c r="A155" i="1"/>
  <c r="A201" i="1"/>
  <c r="K149" i="1" l="1"/>
  <c r="K148" i="1"/>
  <c r="K150" i="1"/>
  <c r="K195" i="1"/>
  <c r="K151" i="1"/>
  <c r="K196" i="1"/>
  <c r="C110" i="1"/>
  <c r="G111" i="1"/>
  <c r="E111" i="1"/>
  <c r="C116" i="1"/>
  <c r="E110" i="1"/>
  <c r="E115" i="1"/>
  <c r="E116" i="1"/>
  <c r="C111" i="1"/>
  <c r="C115" i="1"/>
  <c r="C14" i="1"/>
  <c r="A156" i="1"/>
  <c r="A202" i="1"/>
  <c r="C117" i="1" l="1"/>
  <c r="E112" i="1"/>
  <c r="C112" i="1"/>
  <c r="E117" i="1"/>
  <c r="G116" i="1"/>
  <c r="G115" i="1"/>
  <c r="E29" i="1"/>
  <c r="A203" i="1"/>
  <c r="A157" i="1"/>
  <c r="J112" i="1" l="1"/>
  <c r="G117" i="1"/>
  <c r="F107" i="1"/>
  <c r="A158" i="1"/>
  <c r="A204" i="1"/>
  <c r="G110" i="1" l="1"/>
  <c r="G112" i="1" s="1"/>
  <c r="A159" i="1"/>
  <c r="A205" i="1"/>
  <c r="B221" i="1" l="1"/>
  <c r="A206" i="1"/>
  <c r="A160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41" i="1"/>
  <c r="A124" i="1"/>
  <c r="A125" i="1" s="1"/>
  <c r="A126" i="1" s="1"/>
  <c r="A127" i="1" s="1"/>
  <c r="A128" i="1" s="1"/>
  <c r="A129" i="1" s="1"/>
  <c r="A130" i="1" s="1"/>
  <c r="A131" i="1" s="1"/>
  <c r="A132" i="1" s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J92" i="1"/>
  <c r="J91" i="1"/>
  <c r="J90" i="1"/>
  <c r="J89" i="1"/>
  <c r="C81" i="1"/>
  <c r="J78" i="1"/>
  <c r="J77" i="1"/>
  <c r="J76" i="1"/>
  <c r="J75" i="1"/>
  <c r="C67" i="1"/>
  <c r="D55" i="1"/>
  <c r="G49" i="1"/>
  <c r="G50" i="1" s="1"/>
  <c r="C49" i="1"/>
  <c r="E42" i="1"/>
  <c r="E43" i="1" s="1"/>
  <c r="E26" i="1"/>
  <c r="E24" i="1"/>
  <c r="E7" i="1"/>
  <c r="E3" i="1"/>
  <c r="A207" i="1"/>
  <c r="H68" i="1"/>
  <c r="A161" i="1"/>
  <c r="H82" i="1"/>
  <c r="D61" i="1" l="1"/>
  <c r="D92" i="1"/>
  <c r="D93" i="1"/>
  <c r="D94" i="1"/>
  <c r="D88" i="1"/>
  <c r="D89" i="1"/>
  <c r="D90" i="1"/>
  <c r="D91" i="1"/>
  <c r="J81" i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87" i="1"/>
  <c r="J85" i="1"/>
  <c r="J86" i="1"/>
  <c r="C85" i="1" s="1"/>
  <c r="J84" i="1"/>
  <c r="A208" i="1"/>
  <c r="A162" i="1"/>
  <c r="J88" i="1" l="1"/>
  <c r="J93" i="1" s="1"/>
  <c r="J94" i="1" s="1"/>
  <c r="C86" i="1" s="1"/>
  <c r="G85" i="1" s="1"/>
  <c r="D65" i="1" s="1"/>
  <c r="J79" i="1"/>
  <c r="J80" i="1" s="1"/>
  <c r="C72" i="1" s="1"/>
  <c r="D72" i="1" s="1"/>
  <c r="D87" i="1"/>
  <c r="J83" i="1"/>
  <c r="D73" i="1"/>
  <c r="J69" i="1"/>
  <c r="D71" i="1"/>
  <c r="D85" i="1"/>
  <c r="A163" i="1"/>
  <c r="D86" i="1" l="1"/>
  <c r="I82" i="1" s="1"/>
  <c r="I83" i="1" s="1"/>
  <c r="E85" i="1"/>
  <c r="E71" i="1"/>
  <c r="J68" i="1"/>
  <c r="G71" i="1"/>
  <c r="F66" i="1" s="1"/>
  <c r="J82" i="1"/>
  <c r="I68" i="1"/>
  <c r="A164" i="1"/>
  <c r="D66" i="1" l="1"/>
  <c r="I81" i="1"/>
  <c r="C83" i="1" s="1"/>
  <c r="I69" i="1"/>
  <c r="I67" i="1" s="1"/>
  <c r="A165" i="1"/>
</calcChain>
</file>

<file path=xl/sharedStrings.xml><?xml version="1.0" encoding="utf-8"?>
<sst xmlns="http://schemas.openxmlformats.org/spreadsheetml/2006/main" count="330" uniqueCount="231">
  <si>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</si>
  <si>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</si>
  <si>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</si>
  <si>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</si>
  <si>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</si>
  <si>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</si>
  <si>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</si>
  <si>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</si>
  <si>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</si>
  <si>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</si>
  <si>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</si>
  <si>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</si>
  <si>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</si>
  <si>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</si>
  <si>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</si>
  <si>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</si>
  <si>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</si>
  <si>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</si>
  <si>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</si>
  <si>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</si>
  <si>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</si>
  <si>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</si>
  <si>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</si>
  <si>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</si>
  <si>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</si>
  <si>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</si>
  <si>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</si>
  <si>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</si>
  <si>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</si>
  <si>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</si>
  <si>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</si>
  <si>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</si>
  <si>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</si>
  <si>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</si>
  <si>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</si>
  <si>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</si>
  <si>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</si>
  <si>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</si>
  <si>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</si>
  <si>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</si>
  <si>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</si>
  <si>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</si>
  <si>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</si>
  <si>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</si>
  <si>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</si>
  <si>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</si>
  <si>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</si>
  <si>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</si>
  <si>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</si>
  <si>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</si>
  <si>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</si>
  <si>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</si>
  <si>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</si>
  <si>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</si>
  <si>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</si>
  <si>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</si>
  <si>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</si>
  <si>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</si>
  <si>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</si>
  <si>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</si>
  <si>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</si>
  <si>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</si>
  <si>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</si>
  <si>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</si>
  <si>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</si>
  <si>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</si>
  <si>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</si>
  <si>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</si>
  <si>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</si>
  <si>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</si>
  <si>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</si>
  <si>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</si>
  <si>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</si>
  <si>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</si>
  <si>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</si>
  <si>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</si>
  <si>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</si>
  <si>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</si>
  <si>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</si>
  <si>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</si>
  <si>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</si>
  <si>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</si>
  <si>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</si>
  <si>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</si>
  <si>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</si>
  <si>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</si>
  <si>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</si>
  <si>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</si>
  <si>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</si>
  <si>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</si>
  <si>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</si>
  <si>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</si>
  <si>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</si>
  <si>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</si>
  <si>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</si>
  <si>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</si>
  <si>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</si>
  <si>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</si>
  <si>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</si>
  <si>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</si>
  <si>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</si>
  <si>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</si>
  <si>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</si>
  <si>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</si>
  <si>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</si>
  <si>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</si>
  <si>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</si>
  <si>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</si>
  <si>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</si>
  <si>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</si>
  <si>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</si>
  <si>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</si>
  <si>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</si>
  <si>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</si>
  <si>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</si>
  <si>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</si>
  <si>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</si>
  <si>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</si>
  <si>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</si>
  <si>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</si>
  <si>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</si>
  <si>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</si>
  <si>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</si>
  <si>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</si>
  <si>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</si>
  <si>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</si>
  <si>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</si>
  <si>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</si>
  <si>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</si>
  <si>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</si>
  <si>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</si>
  <si>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</si>
  <si>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</si>
  <si>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</si>
  <si>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</si>
  <si>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</si>
  <si>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</si>
  <si>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</si>
  <si>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</si>
  <si>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</si>
  <si>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</si>
  <si>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</si>
  <si>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</si>
  <si>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</si>
  <si>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</si>
  <si>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</si>
  <si>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</si>
  <si>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</si>
  <si>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</si>
  <si>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</si>
  <si>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</si>
  <si>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</si>
  <si>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</si>
  <si>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</si>
  <si>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</si>
  <si>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</si>
  <si>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</si>
  <si>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</si>
  <si>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</si>
  <si>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</si>
  <si>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</si>
  <si>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</si>
  <si>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</si>
  <si>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</si>
  <si>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</si>
  <si>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</si>
  <si>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</si>
  <si>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</si>
  <si>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P52000045672</t>
  </si>
  <si>
    <t>Axis Sanpada</t>
  </si>
  <si>
    <t>H B Realty</t>
  </si>
  <si>
    <t>Nandanvan</t>
  </si>
  <si>
    <t>Buildng No.1 &amp; 2</t>
  </si>
  <si>
    <t>Survey No</t>
  </si>
  <si>
    <t>116/2B</t>
  </si>
  <si>
    <t>02 Building</t>
  </si>
  <si>
    <t>Panvel Municipal Corporation</t>
  </si>
  <si>
    <t>JK/PMP/NRV/16269/NK-947-1/2022</t>
  </si>
  <si>
    <t>PMC/TP/Taloje Majkur/116/2B/21-22/16269/947/1/2022</t>
  </si>
  <si>
    <t>Building 1 = G + 1st to 10th Floor</t>
  </si>
  <si>
    <t>Building 2 = G + 1st to 10th Floor</t>
  </si>
  <si>
    <t>As per RERA - 31/12/2026</t>
  </si>
  <si>
    <t>Building No. 1</t>
  </si>
  <si>
    <t>Shop</t>
  </si>
  <si>
    <t>1st Floor</t>
  </si>
  <si>
    <t>Refuge Area</t>
  </si>
  <si>
    <t>7th Floor (Part Refuge Area)</t>
  </si>
  <si>
    <t>Building No. 2</t>
  </si>
  <si>
    <t>Building No.2</t>
  </si>
  <si>
    <t>2nd to 6th &amp; 8th to 10th Floor</t>
  </si>
  <si>
    <t>Ground Floor For Commercial &amp; Parking</t>
  </si>
  <si>
    <t>We considered Gross carpet area = Net carpet + Enclose balcony + W.S Area</t>
  </si>
  <si>
    <t>Building No.1</t>
  </si>
  <si>
    <t>Flats -187, Shops -14</t>
  </si>
  <si>
    <t>https://goo.gl/maps/p6kgbZc3u41Ktu428</t>
  </si>
  <si>
    <t>Internal Road</t>
  </si>
  <si>
    <t>Open Plot</t>
  </si>
  <si>
    <t>TSP Tara Apartment</t>
  </si>
  <si>
    <t>Taloje Majkur</t>
  </si>
  <si>
    <t>Panvel</t>
  </si>
  <si>
    <t>Raigad</t>
  </si>
  <si>
    <t>Taloja Phase 2</t>
  </si>
  <si>
    <t>Ghot Road</t>
  </si>
  <si>
    <t>Taloja</t>
  </si>
  <si>
    <t>1st Floor for Residential</t>
  </si>
  <si>
    <t>2.5KM from Taloja Panchanand Railway Station</t>
  </si>
  <si>
    <t>Builder Saleable Area</t>
  </si>
  <si>
    <t>Approved Plans, CC, Builder Saleable Area</t>
  </si>
  <si>
    <t>Builder Saleable area</t>
  </si>
  <si>
    <t>50/- from 3rd floor</t>
  </si>
  <si>
    <t>Society Formation &amp; transfer Charges</t>
  </si>
  <si>
    <t>Club house Charges</t>
  </si>
  <si>
    <t>5500 to 6000</t>
  </si>
  <si>
    <t>Smith</t>
  </si>
  <si>
    <t>Cost sheet</t>
  </si>
  <si>
    <t xml:space="preserve">Office No. 1031, Wing J, Akshar Business Park, Plot No. 03 Sector 25, Near APMC Market,
Vashi, Navi Mumbai, Maharashtra 400703 TEL: 022-46090378/79/80                                                                                                                            E mail : vsjcapf@gmail.com. Web site : www.vsjadon.com </t>
  </si>
  <si>
    <t>Site Meet Person Contact Details ( Name &amp; Contact No.)</t>
  </si>
  <si>
    <t>4th Floor</t>
  </si>
  <si>
    <t>Sale Area chaged by smith for 65% LTV on 29/06/2024</t>
  </si>
  <si>
    <t>2nd to 3rd, 5th to 6th &amp; 8th to 10th Floor</t>
  </si>
  <si>
    <t>Recommended Rates / Other charges of the Property have been revised on 29/06/2024.</t>
  </si>
  <si>
    <t xml:space="preserve">Building 1 &amp; 2 = G + 1st to 10th Floor
</t>
  </si>
  <si>
    <t>Building 1 &amp; 2 = G + 1st to 10th Floor</t>
  </si>
  <si>
    <t xml:space="preserve">Commencement-CC No
Valid Up to: </t>
  </si>
  <si>
    <t>Latitude,Longitude</t>
  </si>
  <si>
    <t>19.074446,73.1013328</t>
  </si>
  <si>
    <t>31/03/2022.</t>
  </si>
  <si>
    <t>Pranita Mhatre</t>
  </si>
  <si>
    <t>All work completed. Provide OC.</t>
  </si>
  <si>
    <t>Building 1 = All work completed. Provide OC.
Building 2 = Construction work is in process at the time of Visit.</t>
  </si>
  <si>
    <t>Sunil Peravi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</si>
</sst>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  <numFmt numFmtId="169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8" fillId="0" borderId="1" xfId="1" applyFont="1" applyBorder="1" applyAlignment="1" applyProtection="1">
      <alignment vertical="top"/>
      <protection locked="0"/>
    </xf>
    <xf numFmtId="169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2" fontId="7" fillId="0" borderId="0" xfId="1" applyNumberFormat="1" applyFont="1"/>
    <xf numFmtId="0" fontId="7" fillId="0" borderId="2" xfId="1" applyFont="1" applyBorder="1"/>
    <xf numFmtId="0" fontId="24" fillId="2" borderId="1" xfId="0" applyFont="1" applyFill="1" applyBorder="1"/>
    <xf numFmtId="0" fontId="7" fillId="0" borderId="24" xfId="1" applyFont="1" applyBorder="1"/>
    <xf numFmtId="0" fontId="7" fillId="2" borderId="0" xfId="1" applyFont="1" applyFill="1"/>
    <xf numFmtId="14" fontId="7" fillId="2" borderId="0" xfId="1" applyNumberFormat="1" applyFont="1" applyFill="1"/>
    <xf numFmtId="1" fontId="7" fillId="0" borderId="0" xfId="0" applyNumberFormat="1" applyFont="1" applyAlignment="1">
      <alignment horizontal="center" vertical="center"/>
    </xf>
    <xf numFmtId="1" fontId="7" fillId="2" borderId="25" xfId="1" applyNumberFormat="1" applyFont="1" applyFill="1" applyBorder="1" applyAlignment="1">
      <alignment horizontal="center" vertical="center"/>
    </xf>
    <xf numFmtId="1" fontId="7" fillId="2" borderId="0" xfId="1" applyNumberFormat="1" applyFont="1" applyFill="1" applyAlignment="1">
      <alignment horizontal="center" vertical="center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7" fillId="0" borderId="21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8" fillId="0" borderId="32" xfId="1" applyFont="1" applyBorder="1" applyAlignment="1" applyProtection="1">
      <alignment horizontal="left" vertical="top" wrapText="1"/>
      <protection locked="0"/>
    </xf>
    <xf numFmtId="0" fontId="8" fillId="0" borderId="3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68" fontId="12" fillId="0" borderId="1" xfId="9" applyNumberFormat="1" applyFont="1" applyFill="1" applyBorder="1" applyAlignment="1" applyProtection="1">
      <alignment horizontal="righ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284</xdr:row>
      <xdr:rowOff>161925</xdr:rowOff>
    </xdr:from>
    <xdr:to>
      <xdr:col>7</xdr:col>
      <xdr:colOff>66000</xdr:colOff>
      <xdr:row>299</xdr:row>
      <xdr:rowOff>107006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59426475"/>
          <a:ext cx="5400000" cy="294545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781050</xdr:colOff>
      <xdr:row>300</xdr:row>
      <xdr:rowOff>107950</xdr:rowOff>
    </xdr:from>
    <xdr:to>
      <xdr:col>7</xdr:col>
      <xdr:colOff>66000</xdr:colOff>
      <xdr:row>315</xdr:row>
      <xdr:rowOff>53030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58642250"/>
          <a:ext cx="5260300" cy="28978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175845</xdr:colOff>
      <xdr:row>251</xdr:row>
      <xdr:rowOff>154474</xdr:rowOff>
    </xdr:from>
    <xdr:to>
      <xdr:col>13</xdr:col>
      <xdr:colOff>63367</xdr:colOff>
      <xdr:row>253</xdr:row>
      <xdr:rowOff>123756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9329370" y="50132149"/>
          <a:ext cx="1468672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Building No.2</a:t>
          </a:r>
        </a:p>
      </xdr:txBody>
    </xdr:sp>
    <xdr:clientData/>
  </xdr:twoCellAnchor>
  <xdr:twoCellAnchor>
    <xdr:from>
      <xdr:col>10</xdr:col>
      <xdr:colOff>499784</xdr:colOff>
      <xdr:row>235</xdr:row>
      <xdr:rowOff>41275</xdr:rowOff>
    </xdr:from>
    <xdr:to>
      <xdr:col>11</xdr:col>
      <xdr:colOff>769871</xdr:colOff>
      <xdr:row>236</xdr:row>
      <xdr:rowOff>152746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8948459" y="49390300"/>
          <a:ext cx="974937" cy="31149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400" b="1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</a:t>
          </a:r>
          <a:r>
            <a:rPr lang="en-IN" sz="1400" b="1" cap="none" spc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No. 1</a:t>
          </a:r>
          <a:endParaRPr lang="en-IN" sz="1400" b="1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12</xdr:col>
      <xdr:colOff>170893</xdr:colOff>
      <xdr:row>235</xdr:row>
      <xdr:rowOff>66675</xdr:rowOff>
    </xdr:from>
    <xdr:to>
      <xdr:col>13</xdr:col>
      <xdr:colOff>402880</xdr:colOff>
      <xdr:row>236</xdr:row>
      <xdr:rowOff>178146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10114993" y="49415700"/>
          <a:ext cx="1022562" cy="31149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400" b="1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</a:t>
          </a:r>
          <a:r>
            <a:rPr lang="en-IN" sz="1400" b="1" cap="none" spc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No. 1</a:t>
          </a:r>
          <a:endParaRPr lang="en-IN" sz="1400" b="1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9</xdr:col>
      <xdr:colOff>38100</xdr:colOff>
      <xdr:row>234</xdr:row>
      <xdr:rowOff>85725</xdr:rowOff>
    </xdr:from>
    <xdr:to>
      <xdr:col>10</xdr:col>
      <xdr:colOff>298662</xdr:colOff>
      <xdr:row>234</xdr:row>
      <xdr:rowOff>394046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7724775" y="48987075"/>
          <a:ext cx="1022562" cy="308321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400" b="1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</a:t>
          </a:r>
          <a:r>
            <a:rPr lang="en-IN" sz="1400" b="1" cap="none" spc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No. 1</a:t>
          </a:r>
          <a:endParaRPr lang="en-IN" sz="1400" b="1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8</xdr:col>
      <xdr:colOff>474681</xdr:colOff>
      <xdr:row>240</xdr:row>
      <xdr:rowOff>76200</xdr:rowOff>
    </xdr:from>
    <xdr:to>
      <xdr:col>16</xdr:col>
      <xdr:colOff>302050</xdr:colOff>
      <xdr:row>280</xdr:row>
      <xdr:rowOff>163818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194136" y="49065873"/>
          <a:ext cx="6505259" cy="7846163"/>
          <a:chOff x="78441" y="51121235"/>
          <a:chExt cx="6361743" cy="8144648"/>
        </a:xfrm>
      </xdr:grpSpPr>
      <xdr:pic>
        <xdr:nvPicPr>
          <xdr:cNvPr id="34" name="Picture 33" descr="insp-233833-1525.jpg (959×1280)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21872" y="57105883"/>
            <a:ext cx="1618312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insp-233833-843.jpg (959×1280)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7491" y="54817409"/>
            <a:ext cx="1618312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insp-233833-845.jpg (959×1280)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0925" y="51121235"/>
            <a:ext cx="2697187" cy="36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insp-233833-844.jpg (959×1280)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28872" y="54817409"/>
            <a:ext cx="1618312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insp-233833-847.jpg (959×1280)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46801" y="51121235"/>
            <a:ext cx="2697187" cy="36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insp-233833-849.jpg (1079×810)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560253" y="54824034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insp-233833-883.jpg (959×1280)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441" y="57092633"/>
            <a:ext cx="1618312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insp-233833-931.jpg (1079×810)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20646" y="57092633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472440</xdr:colOff>
      <xdr:row>241</xdr:row>
      <xdr:rowOff>68577</xdr:rowOff>
    </xdr:from>
    <xdr:to>
      <xdr:col>7</xdr:col>
      <xdr:colOff>533400</xdr:colOff>
      <xdr:row>281</xdr:row>
      <xdr:rowOff>22857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4CE38AB7-7027-A1AB-D032-A72326FAA466}"/>
            </a:ext>
          </a:extLst>
        </xdr:cNvPr>
        <xdr:cNvGrpSpPr/>
      </xdr:nvGrpSpPr>
      <xdr:grpSpPr>
        <a:xfrm>
          <a:off x="472440" y="49252213"/>
          <a:ext cx="5921433" cy="7712826"/>
          <a:chOff x="474530" y="50252761"/>
          <a:chExt cx="5581280" cy="8002139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9B945FE-212E-F3F1-CCE6-0E351BA0EF45}"/>
              </a:ext>
            </a:extLst>
          </xdr:cNvPr>
          <xdr:cNvGrpSpPr/>
        </xdr:nvGrpSpPr>
        <xdr:grpSpPr>
          <a:xfrm>
            <a:off x="474530" y="50252761"/>
            <a:ext cx="5581280" cy="8002139"/>
            <a:chOff x="651292" y="348377"/>
            <a:chExt cx="5028841" cy="7467409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DDE9919C-8091-97FF-13D3-BC9FB731E92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95844" y="6375786"/>
              <a:ext cx="1079000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70DA031E-22C3-D62B-87D0-1B6917AC157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53920" y="348377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2D534D8E-D550-7219-F621-D8D01ACACBD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522783" y="354473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6F3D4D4E-ED63-100E-68A3-24220F7F7B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61633" y="260604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A56CC26B-9219-F76B-70FC-1CC4F35237A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4880" y="4822317"/>
              <a:ext cx="1079000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49BE57CC-B3CD-1336-884C-11B9B5A46F1C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20925" y="4822317"/>
              <a:ext cx="1079000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851B74AD-6DEC-8985-E32F-FFA1C3319D8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377237" y="4822317"/>
              <a:ext cx="1079000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A33F26BF-DE43-3259-2AE3-9C48F53B657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58963" y="260604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056A5EEA-5168-1215-E29F-04FB5B1AB71F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7465"/>
            <a:stretch>
              <a:fillRect/>
            </a:stretch>
          </xdr:blipFill>
          <xdr:spPr bwMode="auto">
            <a:xfrm>
              <a:off x="2046695" y="4822317"/>
              <a:ext cx="1068633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4E37C948-C003-26CE-7D10-1470E155D07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1292" y="2606894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36258BED-65DA-AFC9-AF63-D59C5B4516E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16788" y="6375786"/>
              <a:ext cx="1079000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AD01FEE2-A294-D3BC-ED51-B5B29A4F63F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38361" y="6375786"/>
              <a:ext cx="1079000" cy="144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65" name="Rectangle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/>
        </xdr:nvSpPr>
        <xdr:spPr>
          <a:xfrm>
            <a:off x="1465658" y="50366780"/>
            <a:ext cx="1064472" cy="31403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1" cap="none" spc="0">
                <a:ln w="0"/>
                <a:solidFill>
                  <a:srgbClr val="FF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</a:t>
            </a:r>
            <a:r>
              <a:rPr lang="en-IN" sz="1400" b="1" cap="none" spc="0" baseline="0">
                <a:ln w="0"/>
                <a:solidFill>
                  <a:srgbClr val="FF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No. 1</a:t>
            </a:r>
            <a:endParaRPr lang="en-IN" sz="1400" b="1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63B60799-5ABC-D449-B8E7-AC207F6F36C7}"/>
              </a:ext>
            </a:extLst>
          </xdr:cNvPr>
          <xdr:cNvSpPr/>
        </xdr:nvSpPr>
        <xdr:spPr>
          <a:xfrm>
            <a:off x="4208858" y="52706120"/>
            <a:ext cx="1064472" cy="31403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1" cap="none" spc="0">
                <a:ln w="0"/>
                <a:solidFill>
                  <a:srgbClr val="FF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</a:t>
            </a:r>
            <a:r>
              <a:rPr lang="en-IN" sz="1400" b="1" cap="none" spc="0" baseline="0">
                <a:ln w="0"/>
                <a:solidFill>
                  <a:srgbClr val="FF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No. 2</a:t>
            </a:r>
            <a:endParaRPr lang="en-IN" sz="1400" b="1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p6kgbZc3u41Ktu42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83"/>
  <sheetViews>
    <sheetView tabSelected="1" view="pageBreakPreview" topLeftCell="A266" zoomScale="55" zoomScaleNormal="100" zoomScaleSheetLayoutView="55" zoomScalePageLayoutView="85" workbookViewId="0">
      <selection activeCell="J289" sqref="J289"/>
    </sheetView>
  </sheetViews>
  <sheetFormatPr defaultColWidth="9.109375" defaultRowHeight="15.6" x14ac:dyDescent="0.3"/>
  <cols>
    <col min="1" max="1" width="11.44140625" style="39" customWidth="1"/>
    <col min="2" max="2" width="12" style="39" customWidth="1"/>
    <col min="3" max="3" width="12.6640625" style="39" customWidth="1"/>
    <col min="4" max="4" width="14.109375" style="39" customWidth="1"/>
    <col min="5" max="7" width="11.6640625" style="39" customWidth="1"/>
    <col min="8" max="8" width="12.44140625" style="39" customWidth="1"/>
    <col min="9" max="9" width="17.44140625" style="20" customWidth="1"/>
    <col min="10" max="10" width="11.44140625" style="20" customWidth="1"/>
    <col min="11" max="11" width="10.5546875" style="20" bestFit="1" customWidth="1"/>
    <col min="12" max="12" width="11.88671875" style="20" bestFit="1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8" ht="46.5" customHeight="1" x14ac:dyDescent="0.3">
      <c r="A1" s="142" t="s">
        <v>215</v>
      </c>
      <c r="B1" s="142"/>
      <c r="C1" s="142"/>
      <c r="D1" s="142"/>
      <c r="E1" s="142"/>
      <c r="F1" s="142"/>
      <c r="G1" s="142"/>
      <c r="H1" s="142"/>
    </row>
    <row r="2" spans="1:8" ht="16.5" customHeight="1" x14ac:dyDescent="0.3">
      <c r="A2" s="132" t="s">
        <v>0</v>
      </c>
      <c r="B2" s="132"/>
      <c r="C2" s="132"/>
      <c r="D2" s="132"/>
      <c r="E2" s="132"/>
      <c r="F2" s="132"/>
      <c r="G2" s="132"/>
      <c r="H2" s="132"/>
    </row>
    <row r="3" spans="1:8" x14ac:dyDescent="0.3">
      <c r="A3" s="103" t="s">
        <v>1</v>
      </c>
      <c r="B3" s="103"/>
      <c r="C3" s="103"/>
      <c r="D3" s="103"/>
      <c r="E3" s="103" t="str">
        <f ca="1">TEXT(TODAY(),"DD/MM/YYYY")</f>
        <v>13/08/2025</v>
      </c>
      <c r="F3" s="103"/>
      <c r="G3" s="103"/>
      <c r="H3" s="103"/>
    </row>
    <row r="4" spans="1:8" ht="15" customHeight="1" x14ac:dyDescent="0.3">
      <c r="A4" s="103" t="s">
        <v>2</v>
      </c>
      <c r="B4" s="103"/>
      <c r="C4" s="103"/>
      <c r="D4" s="103"/>
      <c r="E4" s="103" t="s">
        <v>169</v>
      </c>
      <c r="F4" s="103"/>
      <c r="G4" s="103"/>
      <c r="H4" s="103"/>
    </row>
    <row r="5" spans="1:8" x14ac:dyDescent="0.3">
      <c r="A5" s="103" t="s">
        <v>3</v>
      </c>
      <c r="B5" s="103"/>
      <c r="C5" s="103"/>
      <c r="D5" s="103"/>
      <c r="E5" s="144">
        <v>45881</v>
      </c>
      <c r="F5" s="103"/>
      <c r="G5" s="103"/>
      <c r="H5" s="103"/>
    </row>
    <row r="6" spans="1:8" ht="16.5" customHeight="1" x14ac:dyDescent="0.3">
      <c r="A6" s="103" t="s">
        <v>4</v>
      </c>
      <c r="B6" s="103"/>
      <c r="C6" s="103"/>
      <c r="D6" s="103"/>
      <c r="E6" s="102" t="s">
        <v>170</v>
      </c>
      <c r="F6" s="103"/>
      <c r="G6" s="103"/>
      <c r="H6" s="103"/>
    </row>
    <row r="7" spans="1:8" ht="15" customHeight="1" x14ac:dyDescent="0.3">
      <c r="A7" s="103" t="s">
        <v>5</v>
      </c>
      <c r="B7" s="103"/>
      <c r="C7" s="103"/>
      <c r="D7" s="103"/>
      <c r="E7" s="103" t="str">
        <f>E6</f>
        <v>H B Realty</v>
      </c>
      <c r="F7" s="103"/>
      <c r="G7" s="103"/>
      <c r="H7" s="103"/>
    </row>
    <row r="8" spans="1:8" x14ac:dyDescent="0.3">
      <c r="A8" s="103" t="s">
        <v>6</v>
      </c>
      <c r="B8" s="103"/>
      <c r="C8" s="103"/>
      <c r="D8" s="103"/>
      <c r="E8" s="143" t="s">
        <v>171</v>
      </c>
      <c r="F8" s="143"/>
      <c r="G8" s="143"/>
      <c r="H8" s="143"/>
    </row>
    <row r="9" spans="1:8" x14ac:dyDescent="0.3">
      <c r="A9" s="103" t="s">
        <v>123</v>
      </c>
      <c r="B9" s="103"/>
      <c r="C9" s="103"/>
      <c r="D9" s="103"/>
      <c r="E9" s="103">
        <v>9867133720</v>
      </c>
      <c r="F9" s="103"/>
      <c r="G9" s="103"/>
      <c r="H9" s="103"/>
    </row>
    <row r="10" spans="1:8" x14ac:dyDescent="0.3">
      <c r="A10" s="103" t="s">
        <v>216</v>
      </c>
      <c r="B10" s="103"/>
      <c r="C10" s="103"/>
      <c r="D10" s="103"/>
      <c r="E10" s="103">
        <v>9867133720</v>
      </c>
      <c r="F10" s="103"/>
      <c r="G10" s="103"/>
      <c r="H10" s="103"/>
    </row>
    <row r="11" spans="1:8" x14ac:dyDescent="0.3">
      <c r="A11" s="103" t="s">
        <v>7</v>
      </c>
      <c r="B11" s="103"/>
      <c r="C11" s="103"/>
      <c r="D11" s="103"/>
      <c r="E11" s="103" t="s">
        <v>172</v>
      </c>
      <c r="F11" s="103"/>
      <c r="G11" s="103"/>
      <c r="H11" s="103"/>
    </row>
    <row r="12" spans="1:8" x14ac:dyDescent="0.3">
      <c r="A12" s="89" t="s">
        <v>8</v>
      </c>
      <c r="B12" s="89"/>
      <c r="C12" s="89"/>
      <c r="D12" s="89"/>
      <c r="E12" s="102" t="s">
        <v>207</v>
      </c>
      <c r="F12" s="102"/>
      <c r="G12" s="102"/>
      <c r="H12" s="102"/>
    </row>
    <row r="13" spans="1:8" x14ac:dyDescent="0.3">
      <c r="A13" s="89" t="s">
        <v>9</v>
      </c>
      <c r="B13" s="89"/>
      <c r="C13" s="89"/>
      <c r="D13" s="89"/>
      <c r="E13" s="102" t="s">
        <v>168</v>
      </c>
      <c r="F13" s="103"/>
      <c r="G13" s="103"/>
      <c r="H13" s="103"/>
    </row>
    <row r="14" spans="1:8" ht="33" customHeight="1" x14ac:dyDescent="0.3">
      <c r="A14" s="101" t="s">
        <v>10</v>
      </c>
      <c r="B14" s="101"/>
      <c r="C14" s="10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Nandanvan, Survey No.116/2B, near TSP Tara Apartment, Ghot Road, Taloja Phase 2, Taloje Majkur, Taloja, Panvel, Raigad - 410208.</v>
      </c>
      <c r="D14" s="101"/>
      <c r="E14" s="101"/>
      <c r="F14" s="101"/>
      <c r="G14" s="101"/>
      <c r="H14" s="101"/>
    </row>
    <row r="15" spans="1:8" x14ac:dyDescent="0.3">
      <c r="A15" s="102" t="s">
        <v>173</v>
      </c>
      <c r="B15" s="102"/>
      <c r="C15" s="102" t="s">
        <v>174</v>
      </c>
      <c r="D15" s="102"/>
      <c r="E15" s="102"/>
      <c r="F15" s="102"/>
      <c r="G15" s="102"/>
      <c r="H15" s="102"/>
    </row>
    <row r="16" spans="1:8" ht="15.75" customHeight="1" x14ac:dyDescent="0.3">
      <c r="A16" s="145" t="s">
        <v>165</v>
      </c>
      <c r="B16" s="146"/>
      <c r="C16" s="145" t="s">
        <v>201</v>
      </c>
      <c r="D16" s="147"/>
      <c r="E16" s="147"/>
      <c r="F16" s="147"/>
      <c r="G16" s="147"/>
      <c r="H16" s="146"/>
    </row>
    <row r="17" spans="1:8" ht="15.75" customHeight="1" x14ac:dyDescent="0.3">
      <c r="A17" s="101" t="s">
        <v>11</v>
      </c>
      <c r="B17" s="101"/>
      <c r="C17" s="103" t="s">
        <v>202</v>
      </c>
      <c r="D17" s="103"/>
      <c r="E17" s="101" t="s">
        <v>166</v>
      </c>
      <c r="F17" s="101"/>
      <c r="G17" s="102" t="s">
        <v>198</v>
      </c>
      <c r="H17" s="102"/>
    </row>
    <row r="18" spans="1:8" x14ac:dyDescent="0.3">
      <c r="A18" s="89" t="s">
        <v>13</v>
      </c>
      <c r="B18" s="89"/>
      <c r="C18" s="102" t="s">
        <v>203</v>
      </c>
      <c r="D18" s="102"/>
      <c r="E18" s="101" t="s">
        <v>12</v>
      </c>
      <c r="F18" s="101"/>
      <c r="G18" s="148" t="s">
        <v>200</v>
      </c>
      <c r="H18" s="148"/>
    </row>
    <row r="19" spans="1:8" x14ac:dyDescent="0.3">
      <c r="A19" s="89" t="s">
        <v>74</v>
      </c>
      <c r="B19" s="89"/>
      <c r="C19" s="102" t="s">
        <v>199</v>
      </c>
      <c r="D19" s="102"/>
      <c r="E19" s="101" t="s">
        <v>14</v>
      </c>
      <c r="F19" s="101"/>
      <c r="G19" s="102">
        <v>410208</v>
      </c>
      <c r="H19" s="102"/>
    </row>
    <row r="20" spans="1:8" ht="49.5" customHeight="1" x14ac:dyDescent="0.3">
      <c r="A20" s="89" t="s">
        <v>124</v>
      </c>
      <c r="B20" s="89"/>
      <c r="C20" s="102" t="s">
        <v>197</v>
      </c>
      <c r="D20" s="102"/>
      <c r="E20" s="101" t="s">
        <v>15</v>
      </c>
      <c r="F20" s="101"/>
      <c r="G20" s="102" t="s">
        <v>205</v>
      </c>
      <c r="H20" s="102"/>
    </row>
    <row r="21" spans="1:8" ht="15" customHeight="1" x14ac:dyDescent="0.3">
      <c r="A21" s="101" t="s">
        <v>77</v>
      </c>
      <c r="B21" s="101"/>
      <c r="C21" s="101"/>
      <c r="D21" s="101"/>
      <c r="E21" s="103" t="s">
        <v>16</v>
      </c>
      <c r="F21" s="103"/>
      <c r="G21" s="103"/>
      <c r="H21" s="103"/>
    </row>
    <row r="22" spans="1:8" ht="18.75" customHeight="1" x14ac:dyDescent="0.3">
      <c r="A22" s="101"/>
      <c r="B22" s="101"/>
      <c r="C22" s="101"/>
      <c r="D22" s="101"/>
      <c r="E22" s="103"/>
      <c r="F22" s="103"/>
      <c r="G22" s="103"/>
      <c r="H22" s="103"/>
    </row>
    <row r="23" spans="1:8" ht="15" customHeight="1" x14ac:dyDescent="0.3">
      <c r="A23" s="101" t="s">
        <v>17</v>
      </c>
      <c r="B23" s="101"/>
      <c r="C23" s="101"/>
      <c r="D23" s="101"/>
      <c r="E23" s="102" t="s">
        <v>18</v>
      </c>
      <c r="F23" s="102"/>
      <c r="G23" s="102"/>
      <c r="H23" s="102"/>
    </row>
    <row r="24" spans="1:8" ht="15" customHeight="1" x14ac:dyDescent="0.3">
      <c r="A24" s="89" t="s">
        <v>19</v>
      </c>
      <c r="B24" s="89"/>
      <c r="C24" s="89"/>
      <c r="D24" s="89"/>
      <c r="E24" s="102" t="str">
        <f>IF(AND(G18="Mumbai"),"Upper Class","Middle Class")</f>
        <v>Middle Class</v>
      </c>
      <c r="F24" s="102"/>
      <c r="G24" s="102"/>
      <c r="H24" s="102"/>
    </row>
    <row r="25" spans="1:8" x14ac:dyDescent="0.3">
      <c r="A25" s="89" t="s">
        <v>20</v>
      </c>
      <c r="B25" s="89"/>
      <c r="C25" s="89"/>
      <c r="D25" s="89"/>
      <c r="E25" s="102" t="s">
        <v>21</v>
      </c>
      <c r="F25" s="102"/>
      <c r="G25" s="102"/>
      <c r="H25" s="102"/>
    </row>
    <row r="26" spans="1:8" ht="15.75" customHeight="1" x14ac:dyDescent="0.3">
      <c r="A26" s="89" t="s">
        <v>22</v>
      </c>
      <c r="B26" s="89"/>
      <c r="C26" s="89"/>
      <c r="D26" s="89"/>
      <c r="E26" s="102" t="str">
        <f>IF(AND(G18="Mumbai"),"Developed","Developing")</f>
        <v>Developing</v>
      </c>
      <c r="F26" s="102"/>
      <c r="G26" s="102"/>
      <c r="H26" s="102"/>
    </row>
    <row r="27" spans="1:8" x14ac:dyDescent="0.3">
      <c r="A27" s="89" t="s">
        <v>23</v>
      </c>
      <c r="B27" s="89"/>
      <c r="C27" s="89"/>
      <c r="D27" s="89"/>
      <c r="E27" s="102" t="s">
        <v>24</v>
      </c>
      <c r="F27" s="102"/>
      <c r="G27" s="102"/>
      <c r="H27" s="102"/>
    </row>
    <row r="28" spans="1:8" ht="15.75" customHeight="1" x14ac:dyDescent="0.3">
      <c r="A28" s="89" t="s">
        <v>82</v>
      </c>
      <c r="B28" s="89"/>
      <c r="C28" s="89"/>
      <c r="D28" s="89"/>
      <c r="E28" s="102" t="s">
        <v>83</v>
      </c>
      <c r="F28" s="102"/>
      <c r="G28" s="102"/>
      <c r="H28" s="102"/>
    </row>
    <row r="29" spans="1:8" ht="15" customHeight="1" x14ac:dyDescent="0.3">
      <c r="A29" s="89" t="s">
        <v>33</v>
      </c>
      <c r="B29" s="89"/>
      <c r="C29" s="89"/>
      <c r="D29" s="89"/>
      <c r="E29" s="102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29" s="102"/>
      <c r="G29" s="102"/>
      <c r="H29" s="102"/>
    </row>
    <row r="30" spans="1:8" ht="15.75" customHeight="1" x14ac:dyDescent="0.3">
      <c r="A30" s="89" t="s">
        <v>94</v>
      </c>
      <c r="B30" s="89"/>
      <c r="C30" s="89"/>
      <c r="D30" s="89"/>
      <c r="E30" s="102" t="s">
        <v>34</v>
      </c>
      <c r="F30" s="102"/>
      <c r="G30" s="102"/>
      <c r="H30" s="102"/>
    </row>
    <row r="31" spans="1:8" s="21" customFormat="1" x14ac:dyDescent="0.3">
      <c r="A31" s="152" t="s">
        <v>95</v>
      </c>
      <c r="B31" s="152"/>
      <c r="C31" s="151" t="s">
        <v>29</v>
      </c>
      <c r="D31" s="151"/>
      <c r="E31" s="151"/>
      <c r="F31" s="151" t="s">
        <v>31</v>
      </c>
      <c r="G31" s="151"/>
      <c r="H31" s="151"/>
    </row>
    <row r="32" spans="1:8" s="21" customFormat="1" x14ac:dyDescent="0.3">
      <c r="A32" s="149" t="s">
        <v>25</v>
      </c>
      <c r="B32" s="149" t="s">
        <v>30</v>
      </c>
      <c r="C32" s="150" t="s">
        <v>30</v>
      </c>
      <c r="D32" s="150"/>
      <c r="E32" s="150"/>
      <c r="F32" s="150" t="s">
        <v>195</v>
      </c>
      <c r="G32" s="150"/>
      <c r="H32" s="150"/>
    </row>
    <row r="33" spans="1:8" x14ac:dyDescent="0.3">
      <c r="A33" s="149" t="s">
        <v>26</v>
      </c>
      <c r="B33" s="149" t="s">
        <v>30</v>
      </c>
      <c r="C33" s="150" t="s">
        <v>30</v>
      </c>
      <c r="D33" s="150"/>
      <c r="E33" s="150"/>
      <c r="F33" s="150" t="s">
        <v>196</v>
      </c>
      <c r="G33" s="150"/>
      <c r="H33" s="150"/>
    </row>
    <row r="34" spans="1:8" s="21" customFormat="1" x14ac:dyDescent="0.3">
      <c r="A34" s="149" t="s">
        <v>28</v>
      </c>
      <c r="B34" s="149" t="s">
        <v>30</v>
      </c>
      <c r="C34" s="150" t="s">
        <v>30</v>
      </c>
      <c r="D34" s="150"/>
      <c r="E34" s="150"/>
      <c r="F34" s="150" t="s">
        <v>195</v>
      </c>
      <c r="G34" s="150"/>
      <c r="H34" s="150"/>
    </row>
    <row r="35" spans="1:8" x14ac:dyDescent="0.3">
      <c r="A35" s="149" t="s">
        <v>27</v>
      </c>
      <c r="B35" s="149" t="s">
        <v>30</v>
      </c>
      <c r="C35" s="150" t="s">
        <v>30</v>
      </c>
      <c r="D35" s="150"/>
      <c r="E35" s="150"/>
      <c r="F35" s="150" t="s">
        <v>196</v>
      </c>
      <c r="G35" s="150"/>
      <c r="H35" s="150"/>
    </row>
    <row r="36" spans="1:8" x14ac:dyDescent="0.3">
      <c r="A36" s="89" t="s">
        <v>32</v>
      </c>
      <c r="B36" s="89"/>
      <c r="C36" s="89"/>
      <c r="D36" s="89"/>
      <c r="E36" s="89"/>
      <c r="F36" s="89"/>
      <c r="G36" s="89"/>
      <c r="H36" s="89"/>
    </row>
    <row r="37" spans="1:8" ht="15.75" customHeight="1" x14ac:dyDescent="0.3">
      <c r="A37" s="132" t="s">
        <v>224</v>
      </c>
      <c r="B37" s="132"/>
      <c r="C37" s="71" t="s">
        <v>225</v>
      </c>
      <c r="D37" s="72"/>
      <c r="E37" s="72"/>
      <c r="F37" s="72"/>
      <c r="G37" s="72"/>
      <c r="H37" s="73"/>
    </row>
    <row r="38" spans="1:8" x14ac:dyDescent="0.3">
      <c r="A38" s="132" t="s">
        <v>164</v>
      </c>
      <c r="B38" s="132"/>
      <c r="C38" s="160" t="s">
        <v>194</v>
      </c>
      <c r="D38" s="161"/>
      <c r="E38" s="161"/>
      <c r="F38" s="161"/>
      <c r="G38" s="161"/>
      <c r="H38" s="161"/>
    </row>
    <row r="39" spans="1:8" x14ac:dyDescent="0.3">
      <c r="A39" s="137" t="s">
        <v>35</v>
      </c>
      <c r="B39" s="137"/>
      <c r="C39" s="137"/>
      <c r="D39" s="137"/>
      <c r="E39" s="137"/>
      <c r="F39" s="137"/>
      <c r="G39" s="137"/>
      <c r="H39" s="137"/>
    </row>
    <row r="40" spans="1:8" x14ac:dyDescent="0.3">
      <c r="A40" s="89" t="s">
        <v>36</v>
      </c>
      <c r="B40" s="89"/>
      <c r="C40" s="89"/>
      <c r="D40" s="89"/>
      <c r="E40" s="153">
        <v>6060</v>
      </c>
      <c r="F40" s="153"/>
      <c r="G40" s="153"/>
      <c r="H40" s="153"/>
    </row>
    <row r="41" spans="1:8" x14ac:dyDescent="0.3">
      <c r="A41" s="89" t="s">
        <v>37</v>
      </c>
      <c r="B41" s="89"/>
      <c r="C41" s="89"/>
      <c r="D41" s="89"/>
      <c r="E41" s="131">
        <v>1</v>
      </c>
      <c r="F41" s="131"/>
      <c r="G41" s="131"/>
      <c r="H41" s="131"/>
    </row>
    <row r="42" spans="1:8" x14ac:dyDescent="0.3">
      <c r="A42" s="89" t="s">
        <v>38</v>
      </c>
      <c r="B42" s="89"/>
      <c r="C42" s="89"/>
      <c r="D42" s="89"/>
      <c r="E42" s="131">
        <f>E44/E40-E41</f>
        <v>0.60498300330033006</v>
      </c>
      <c r="F42" s="131"/>
      <c r="G42" s="131"/>
      <c r="H42" s="131"/>
    </row>
    <row r="43" spans="1:8" x14ac:dyDescent="0.3">
      <c r="A43" s="89" t="s">
        <v>39</v>
      </c>
      <c r="B43" s="89"/>
      <c r="C43" s="89"/>
      <c r="D43" s="89"/>
      <c r="E43" s="131">
        <f>E41+E42</f>
        <v>1.6049830033003301</v>
      </c>
      <c r="F43" s="131"/>
      <c r="G43" s="131"/>
      <c r="H43" s="131"/>
    </row>
    <row r="44" spans="1:8" x14ac:dyDescent="0.3">
      <c r="A44" s="89" t="s">
        <v>93</v>
      </c>
      <c r="B44" s="89"/>
      <c r="C44" s="89"/>
      <c r="D44" s="89"/>
      <c r="E44" s="175">
        <v>9726.1970000000001</v>
      </c>
      <c r="F44" s="175"/>
      <c r="G44" s="175"/>
      <c r="H44" s="175"/>
    </row>
    <row r="45" spans="1:8" x14ac:dyDescent="0.3">
      <c r="A45" s="103" t="s">
        <v>40</v>
      </c>
      <c r="B45" s="103"/>
      <c r="C45" s="103"/>
      <c r="D45" s="103"/>
      <c r="E45" s="103" t="s">
        <v>175</v>
      </c>
      <c r="F45" s="103"/>
      <c r="G45" s="103"/>
      <c r="H45" s="103"/>
    </row>
    <row r="46" spans="1:8" x14ac:dyDescent="0.3">
      <c r="A46" s="137" t="s">
        <v>41</v>
      </c>
      <c r="B46" s="137"/>
      <c r="C46" s="137"/>
      <c r="D46" s="137"/>
      <c r="E46" s="137"/>
      <c r="F46" s="137"/>
      <c r="G46" s="137"/>
      <c r="H46" s="137"/>
    </row>
    <row r="47" spans="1:8" ht="33.75" customHeight="1" x14ac:dyDescent="0.3">
      <c r="A47" s="85" t="s">
        <v>153</v>
      </c>
      <c r="B47" s="86"/>
      <c r="C47" s="185" t="s">
        <v>176</v>
      </c>
      <c r="D47" s="186"/>
      <c r="E47" s="186"/>
      <c r="F47" s="186"/>
      <c r="G47" s="186"/>
      <c r="H47" s="187"/>
    </row>
    <row r="48" spans="1:8" ht="15.75" customHeight="1" x14ac:dyDescent="0.3">
      <c r="A48" s="85" t="s">
        <v>42</v>
      </c>
      <c r="B48" s="86"/>
      <c r="C48" s="85" t="s">
        <v>177</v>
      </c>
      <c r="D48" s="90"/>
      <c r="E48" s="86"/>
      <c r="F48" s="17" t="s">
        <v>43</v>
      </c>
      <c r="G48" s="87" t="s">
        <v>226</v>
      </c>
      <c r="H48" s="86"/>
    </row>
    <row r="49" spans="1:14" x14ac:dyDescent="0.3">
      <c r="A49" s="85" t="s">
        <v>44</v>
      </c>
      <c r="B49" s="86"/>
      <c r="C49" s="85" t="str">
        <f>C48</f>
        <v>JK/PMP/NRV/16269/NK-947-1/2022</v>
      </c>
      <c r="D49" s="90"/>
      <c r="E49" s="86"/>
      <c r="F49" s="17" t="s">
        <v>43</v>
      </c>
      <c r="G49" s="87" t="str">
        <f>G48</f>
        <v>31/03/2022.</v>
      </c>
      <c r="H49" s="88"/>
    </row>
    <row r="50" spans="1:14" s="22" customFormat="1" ht="30.75" customHeight="1" x14ac:dyDescent="0.3">
      <c r="A50" s="156" t="s">
        <v>223</v>
      </c>
      <c r="B50" s="157"/>
      <c r="C50" s="85" t="s">
        <v>178</v>
      </c>
      <c r="D50" s="90"/>
      <c r="E50" s="86"/>
      <c r="F50" s="17" t="s">
        <v>43</v>
      </c>
      <c r="G50" s="87" t="str">
        <f>G49</f>
        <v>31/03/2022.</v>
      </c>
      <c r="H50" s="88"/>
    </row>
    <row r="51" spans="1:14" s="22" customFormat="1" x14ac:dyDescent="0.3">
      <c r="A51" s="158"/>
      <c r="B51" s="159"/>
      <c r="C51" s="85" t="s">
        <v>222</v>
      </c>
      <c r="D51" s="90"/>
      <c r="E51" s="90"/>
      <c r="F51" s="90"/>
      <c r="G51" s="90"/>
      <c r="H51" s="86"/>
    </row>
    <row r="52" spans="1:14" x14ac:dyDescent="0.3">
      <c r="A52" s="106" t="s">
        <v>167</v>
      </c>
      <c r="B52" s="107"/>
      <c r="C52" s="110" t="s">
        <v>30</v>
      </c>
      <c r="D52" s="111"/>
      <c r="E52" s="112"/>
      <c r="F52" s="52" t="s">
        <v>43</v>
      </c>
      <c r="G52" s="104" t="s">
        <v>30</v>
      </c>
      <c r="H52" s="105"/>
    </row>
    <row r="53" spans="1:14" x14ac:dyDescent="0.3">
      <c r="A53" s="108"/>
      <c r="B53" s="109"/>
      <c r="C53" s="110" t="s">
        <v>30</v>
      </c>
      <c r="D53" s="111"/>
      <c r="E53" s="111"/>
      <c r="F53" s="111"/>
      <c r="G53" s="111"/>
      <c r="H53" s="112"/>
    </row>
    <row r="54" spans="1:14" x14ac:dyDescent="0.3">
      <c r="A54" s="138" t="s">
        <v>46</v>
      </c>
      <c r="B54" s="138"/>
      <c r="C54" s="138"/>
      <c r="D54" s="138"/>
      <c r="E54" s="138"/>
      <c r="F54" s="138"/>
      <c r="G54" s="138"/>
      <c r="H54" s="138"/>
    </row>
    <row r="55" spans="1:14" x14ac:dyDescent="0.3">
      <c r="A55" s="101" t="s">
        <v>92</v>
      </c>
      <c r="B55" s="101"/>
      <c r="C55" s="101"/>
      <c r="D55" s="89">
        <f>E44</f>
        <v>9726.1970000000001</v>
      </c>
      <c r="E55" s="89"/>
      <c r="F55" s="89"/>
      <c r="G55" s="89"/>
      <c r="H55" s="89"/>
    </row>
    <row r="56" spans="1:14" x14ac:dyDescent="0.3">
      <c r="A56" s="102" t="s">
        <v>47</v>
      </c>
      <c r="B56" s="103"/>
      <c r="C56" s="103"/>
      <c r="D56" s="103" t="s">
        <v>193</v>
      </c>
      <c r="E56" s="103"/>
      <c r="F56" s="103"/>
      <c r="G56" s="103"/>
      <c r="H56" s="103"/>
      <c r="I56" s="23"/>
    </row>
    <row r="57" spans="1:14" x14ac:dyDescent="0.3">
      <c r="A57" s="91" t="s">
        <v>48</v>
      </c>
      <c r="B57" s="92"/>
      <c r="C57" s="155"/>
      <c r="D57" s="140" t="s">
        <v>221</v>
      </c>
      <c r="E57" s="154"/>
      <c r="F57" s="154"/>
      <c r="G57" s="154"/>
      <c r="H57" s="154"/>
    </row>
    <row r="58" spans="1:14" ht="15.75" customHeight="1" x14ac:dyDescent="0.3">
      <c r="A58" s="91" t="s">
        <v>90</v>
      </c>
      <c r="B58" s="92"/>
      <c r="C58" s="92"/>
      <c r="D58" s="95" t="s">
        <v>179</v>
      </c>
      <c r="E58" s="96"/>
      <c r="F58" s="96"/>
      <c r="G58" s="96"/>
      <c r="H58" s="97"/>
    </row>
    <row r="59" spans="1:14" ht="15.75" customHeight="1" x14ac:dyDescent="0.3">
      <c r="A59" s="93"/>
      <c r="B59" s="94"/>
      <c r="C59" s="94"/>
      <c r="D59" s="98" t="s">
        <v>180</v>
      </c>
      <c r="E59" s="99"/>
      <c r="F59" s="99"/>
      <c r="G59" s="99"/>
      <c r="H59" s="100"/>
    </row>
    <row r="60" spans="1:14" ht="15.75" customHeight="1" x14ac:dyDescent="0.3">
      <c r="A60" s="89" t="s">
        <v>45</v>
      </c>
      <c r="B60" s="89"/>
      <c r="C60" s="89"/>
      <c r="D60" s="162" t="s">
        <v>181</v>
      </c>
      <c r="E60" s="162"/>
      <c r="F60" s="162"/>
      <c r="G60" s="162"/>
      <c r="H60" s="162"/>
      <c r="J60" s="24"/>
      <c r="K60" s="23"/>
      <c r="N60" s="23"/>
    </row>
    <row r="61" spans="1:14" ht="15.75" customHeight="1" x14ac:dyDescent="0.3">
      <c r="A61" s="89" t="s">
        <v>88</v>
      </c>
      <c r="B61" s="89"/>
      <c r="C61" s="89"/>
      <c r="D61" s="174" t="str">
        <f>(IF(G52="NA","60 Years After Completion",IF(G52&lt;&gt;"NA",""&amp;60-ROUNDDOWN((E3-G52)/360,0)&amp;" Years"," ")))</f>
        <v>60 Years After Completion</v>
      </c>
      <c r="E61" s="174"/>
      <c r="F61" s="174"/>
      <c r="G61" s="174"/>
      <c r="H61" s="174"/>
      <c r="N61" s="23"/>
    </row>
    <row r="62" spans="1:14" ht="15.75" customHeight="1" x14ac:dyDescent="0.3">
      <c r="A62" s="89" t="s">
        <v>89</v>
      </c>
      <c r="B62" s="89"/>
      <c r="C62" s="89"/>
      <c r="D62" s="101" t="s">
        <v>24</v>
      </c>
      <c r="E62" s="101"/>
      <c r="F62" s="101"/>
      <c r="G62" s="101"/>
      <c r="H62" s="101"/>
      <c r="J62" s="25"/>
      <c r="K62" s="25"/>
    </row>
    <row r="63" spans="1:14" ht="15" hidden="1" customHeight="1" x14ac:dyDescent="0.3">
      <c r="A63" s="89" t="s">
        <v>75</v>
      </c>
      <c r="B63" s="89"/>
      <c r="C63" s="89"/>
      <c r="D63" s="102" t="s">
        <v>150</v>
      </c>
      <c r="E63" s="101"/>
      <c r="F63" s="101"/>
      <c r="G63" s="101"/>
      <c r="H63" s="101"/>
    </row>
    <row r="64" spans="1:14" x14ac:dyDescent="0.3">
      <c r="A64" s="101" t="s">
        <v>151</v>
      </c>
      <c r="B64" s="101"/>
      <c r="C64" s="101"/>
      <c r="D64" s="101" t="s">
        <v>30</v>
      </c>
      <c r="E64" s="101"/>
      <c r="F64" s="101"/>
      <c r="G64" s="101"/>
      <c r="H64" s="101"/>
      <c r="I64" s="26"/>
      <c r="J64" s="26"/>
      <c r="K64" s="26"/>
      <c r="L64" s="26"/>
      <c r="M64" s="26"/>
      <c r="N64" s="26"/>
    </row>
    <row r="65" spans="1:10" ht="15.75" customHeight="1" x14ac:dyDescent="0.3">
      <c r="A65" s="139" t="s">
        <v>87</v>
      </c>
      <c r="B65" s="139"/>
      <c r="C65" s="139"/>
      <c r="D65" s="140" t="str">
        <f ca="1">(IF(G85&gt;95%,"Nothing",IF(G85&gt;0%,"Cement, Aggregate, Steel, etc",IF(G85=0%,"Work not yet Started"))))</f>
        <v>Cement, Aggregate, Steel, etc</v>
      </c>
      <c r="E65" s="140"/>
      <c r="F65" s="140"/>
      <c r="G65" s="140"/>
      <c r="H65" s="140"/>
      <c r="J65" s="25"/>
    </row>
    <row r="66" spans="1:10" s="60" customFormat="1" ht="33.75" customHeight="1" x14ac:dyDescent="0.3">
      <c r="A66" s="101" t="s">
        <v>117</v>
      </c>
      <c r="B66" s="101"/>
      <c r="C66" s="101"/>
      <c r="D66" s="102" t="str">
        <f ca="1">(IF(D65="Nothing","Yes",IF(D65="Cement, Aggregate, Steel, etc","Under Construction",IF(D65="Work not yet Started","Work not yet Started"))))</f>
        <v>Under Construction</v>
      </c>
      <c r="E66" s="102"/>
      <c r="F66" s="102" t="str">
        <f ca="1">(IF(D65="Nothing","Yes",IF(D65="Cement, Aggregate, Steel, etc","Under Construction",IF(D65="Work not yet Started","Work not yet Started"))))</f>
        <v>Under Construction</v>
      </c>
      <c r="G66" s="102"/>
      <c r="H66" s="102"/>
    </row>
    <row r="67" spans="1:10" s="62" customFormat="1" ht="15.75" customHeight="1" x14ac:dyDescent="0.3">
      <c r="A67" s="177" t="s">
        <v>142</v>
      </c>
      <c r="B67" s="112"/>
      <c r="C67" s="110" t="str">
        <f>D58</f>
        <v>Building 1 = G + 1st to 10th Floor</v>
      </c>
      <c r="D67" s="111"/>
      <c r="E67" s="111"/>
      <c r="F67" s="111"/>
      <c r="G67" s="111"/>
      <c r="H67" s="178"/>
      <c r="I67" s="61" t="str">
        <f ca="1">IF(D80=100%,"All work Completed. Possession granted to the Building.",IF(D79=100%,"All work Completed, Waiting for OC",I68&amp;""&amp;I69&amp;""&amp;J68&amp;""&amp;J67&amp;" "&amp;J69))</f>
        <v>All work Completed. Possession granted to the Building.</v>
      </c>
      <c r="J67" s="51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/>
      </c>
    </row>
    <row r="68" spans="1:10" x14ac:dyDescent="0.3">
      <c r="A68" s="15" t="s">
        <v>144</v>
      </c>
      <c r="B68" s="46">
        <v>0</v>
      </c>
      <c r="C68" s="46" t="s">
        <v>73</v>
      </c>
      <c r="D68" s="46">
        <v>1</v>
      </c>
      <c r="E68" s="46" t="s">
        <v>72</v>
      </c>
      <c r="F68" s="46">
        <v>0</v>
      </c>
      <c r="G68" s="47" t="s">
        <v>81</v>
      </c>
      <c r="H68" s="16">
        <f ca="1">--TRIM(RIGHT(SUBSTITUTE(LEFT(C67,_xlfn.AGGREGATE(16,6,FIND({0,1,2,3,4,5,6,7,8,9},C67,ROW(INDIRECT("1:"&amp;LEN(C67)))),1))," ",REPT(" ",LEN(C67))),LEN(C67)))</f>
        <v>10</v>
      </c>
      <c r="I68" s="50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Plaster, Flooring, Painting, Building common Amenities</v>
      </c>
      <c r="J68" s="51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x14ac:dyDescent="0.3">
      <c r="A69" s="176" t="s">
        <v>91</v>
      </c>
      <c r="B69" s="143"/>
      <c r="C69" s="179" t="s">
        <v>228</v>
      </c>
      <c r="D69" s="179"/>
      <c r="E69" s="179"/>
      <c r="F69" s="179"/>
      <c r="G69" s="179"/>
      <c r="H69" s="180"/>
      <c r="I69" s="50" t="str">
        <f ca="1">IF(I68&lt;&gt;""," Completed","")</f>
        <v xml:space="preserve"> Completed</v>
      </c>
      <c r="J69" s="51" t="str">
        <f ca="1">IF(J67&lt;&gt;"","Completed","")</f>
        <v/>
      </c>
    </row>
    <row r="70" spans="1:10" ht="15.75" customHeight="1" x14ac:dyDescent="0.3">
      <c r="A70" s="80" t="s">
        <v>49</v>
      </c>
      <c r="B70" s="81"/>
      <c r="C70" s="43" t="s">
        <v>141</v>
      </c>
      <c r="D70" s="43" t="s">
        <v>84</v>
      </c>
      <c r="E70" s="81" t="s">
        <v>86</v>
      </c>
      <c r="F70" s="81"/>
      <c r="G70" s="81" t="s">
        <v>85</v>
      </c>
      <c r="H70" s="141"/>
      <c r="I70" s="13" t="s">
        <v>143</v>
      </c>
      <c r="J70" s="27">
        <f ca="1">H68*25%</f>
        <v>2.5</v>
      </c>
    </row>
    <row r="71" spans="1:10" x14ac:dyDescent="0.3">
      <c r="A71" s="80" t="s">
        <v>130</v>
      </c>
      <c r="B71" s="81"/>
      <c r="C71" s="43">
        <f ca="1">J72</f>
        <v>10</v>
      </c>
      <c r="D71" s="18">
        <f ca="1">((100/H68)*C71)/100</f>
        <v>1</v>
      </c>
      <c r="E71" s="163">
        <f ca="1">(((C72/H68*10)+(40/(D68+F68+H68)*C73)+(7.5/(H68)*C74)+(7.5/(H68)*C75)+(10/H68*C76)+(10/H68*C77)+(5/H68*C78)+(5/H68*C79)+(5/H68*C80))/100)</f>
        <v>1</v>
      </c>
      <c r="F71" s="164"/>
      <c r="G71" s="163">
        <f ca="1">((((C71/H68)*20)+((C72/H68)*25)+(30/(H68+F68+D68)*C73)+(5/H68*C74)+(5/H68*C75)+(5/H68*C76)+(5/H68*C77)+(0/H68*C78)+(0/H68*C79)+(5/H68*C80))/100)</f>
        <v>1</v>
      </c>
      <c r="H71" s="169"/>
      <c r="I71" s="13" t="s">
        <v>100</v>
      </c>
      <c r="J71" s="28">
        <f ca="1">H68*50%</f>
        <v>5</v>
      </c>
    </row>
    <row r="72" spans="1:10" x14ac:dyDescent="0.3">
      <c r="A72" s="80" t="s">
        <v>50</v>
      </c>
      <c r="B72" s="81"/>
      <c r="C72" s="56">
        <f ca="1">J80</f>
        <v>10</v>
      </c>
      <c r="D72" s="18">
        <f ca="1">((100/H68)*C72)/100</f>
        <v>1</v>
      </c>
      <c r="E72" s="165"/>
      <c r="F72" s="166"/>
      <c r="G72" s="165"/>
      <c r="H72" s="170"/>
      <c r="I72" s="13" t="s">
        <v>101</v>
      </c>
      <c r="J72" s="28">
        <f ca="1">H68</f>
        <v>10</v>
      </c>
    </row>
    <row r="73" spans="1:10" ht="15.75" customHeight="1" x14ac:dyDescent="0.3">
      <c r="A73" s="80" t="s">
        <v>131</v>
      </c>
      <c r="B73" s="81"/>
      <c r="C73" s="43">
        <v>11</v>
      </c>
      <c r="D73" s="18">
        <f ca="1">((100/(D68+F68+H68))*C73)/100</f>
        <v>1.0000000000000002</v>
      </c>
      <c r="E73" s="165"/>
      <c r="F73" s="166"/>
      <c r="G73" s="165"/>
      <c r="H73" s="170"/>
      <c r="I73" s="13" t="s">
        <v>102</v>
      </c>
      <c r="J73" s="29">
        <f ca="1">(IF(B68&gt;1,(H68/(B68+2)),H68/4))</f>
        <v>2.5</v>
      </c>
    </row>
    <row r="74" spans="1:10" ht="15.75" customHeight="1" x14ac:dyDescent="0.3">
      <c r="A74" s="80" t="s">
        <v>138</v>
      </c>
      <c r="B74" s="81" t="s">
        <v>132</v>
      </c>
      <c r="C74" s="43">
        <v>10</v>
      </c>
      <c r="D74" s="18">
        <f ca="1">((100/H68)*C74)/100</f>
        <v>1</v>
      </c>
      <c r="E74" s="165"/>
      <c r="F74" s="166"/>
      <c r="G74" s="165"/>
      <c r="H74" s="170"/>
      <c r="I74" s="13" t="s">
        <v>103</v>
      </c>
      <c r="J74" s="29">
        <f ca="1">(IF(B68&gt;1,(H68/(B68+2)+J73),H68/4+J73))</f>
        <v>5</v>
      </c>
    </row>
    <row r="75" spans="1:10" ht="15.75" customHeight="1" x14ac:dyDescent="0.3">
      <c r="A75" s="80" t="s">
        <v>139</v>
      </c>
      <c r="B75" s="81" t="s">
        <v>132</v>
      </c>
      <c r="C75" s="43">
        <v>10</v>
      </c>
      <c r="D75" s="18">
        <f ca="1">((100/H68)*C75)/100</f>
        <v>1</v>
      </c>
      <c r="E75" s="165"/>
      <c r="F75" s="166"/>
      <c r="G75" s="165"/>
      <c r="H75" s="170"/>
      <c r="I75" s="13" t="s">
        <v>148</v>
      </c>
      <c r="J75" s="29">
        <f>(IF(B68&gt;1,(H68/(B68+2)+J74),0))</f>
        <v>0</v>
      </c>
    </row>
    <row r="76" spans="1:10" ht="15" customHeight="1" x14ac:dyDescent="0.3">
      <c r="A76" s="80" t="s">
        <v>137</v>
      </c>
      <c r="B76" s="81" t="s">
        <v>134</v>
      </c>
      <c r="C76" s="43">
        <v>10</v>
      </c>
      <c r="D76" s="18">
        <f ca="1">((100/(H68))*C76)/100</f>
        <v>1</v>
      </c>
      <c r="E76" s="165"/>
      <c r="F76" s="166"/>
      <c r="G76" s="165"/>
      <c r="H76" s="170"/>
      <c r="I76" s="13" t="s">
        <v>145</v>
      </c>
      <c r="J76" s="29">
        <f>(IF(B68&gt;2,(H68/(B68+2)+J75),0))</f>
        <v>0</v>
      </c>
    </row>
    <row r="77" spans="1:10" ht="15.75" customHeight="1" x14ac:dyDescent="0.3">
      <c r="A77" s="80" t="s">
        <v>133</v>
      </c>
      <c r="B77" s="81" t="s">
        <v>133</v>
      </c>
      <c r="C77" s="43">
        <v>10</v>
      </c>
      <c r="D77" s="18">
        <f ca="1">((100/H68)*C77)/100</f>
        <v>1</v>
      </c>
      <c r="E77" s="165"/>
      <c r="F77" s="166"/>
      <c r="G77" s="165"/>
      <c r="H77" s="170"/>
      <c r="I77" s="13" t="s">
        <v>146</v>
      </c>
      <c r="J77" s="30">
        <f>(IF(B68&gt;3,(H68/(B68+2)+J76),0))</f>
        <v>0</v>
      </c>
    </row>
    <row r="78" spans="1:10" ht="15.75" customHeight="1" x14ac:dyDescent="0.3">
      <c r="A78" s="80" t="s">
        <v>140</v>
      </c>
      <c r="B78" s="81"/>
      <c r="C78" s="43">
        <v>10</v>
      </c>
      <c r="D78" s="18">
        <f ca="1">((100/H68)*C78)/100</f>
        <v>1</v>
      </c>
      <c r="E78" s="165"/>
      <c r="F78" s="166"/>
      <c r="G78" s="165"/>
      <c r="H78" s="170"/>
      <c r="I78" s="13" t="s">
        <v>147</v>
      </c>
      <c r="J78" s="29">
        <f>(IF(B68&gt;4,(H68/(B68+2)+J77),0))</f>
        <v>0</v>
      </c>
    </row>
    <row r="79" spans="1:10" ht="15.75" customHeight="1" x14ac:dyDescent="0.3">
      <c r="A79" s="80" t="s">
        <v>135</v>
      </c>
      <c r="B79" s="81" t="s">
        <v>135</v>
      </c>
      <c r="C79" s="43">
        <v>10</v>
      </c>
      <c r="D79" s="18">
        <f ca="1">((100/(H68))*C79)/100</f>
        <v>1</v>
      </c>
      <c r="E79" s="165"/>
      <c r="F79" s="166"/>
      <c r="G79" s="165"/>
      <c r="H79" s="170"/>
      <c r="I79" s="13" t="s">
        <v>149</v>
      </c>
      <c r="J79" s="29">
        <f ca="1">(IF(B68=1,(H68/(B68+3)+J74),IF(B68=0,(H68/4+J74),IF(B68&gt;1,0))))</f>
        <v>7.5</v>
      </c>
    </row>
    <row r="80" spans="1:10" ht="16.2" thickBot="1" x14ac:dyDescent="0.35">
      <c r="A80" s="172" t="s">
        <v>136</v>
      </c>
      <c r="B80" s="173"/>
      <c r="C80" s="44">
        <v>10</v>
      </c>
      <c r="D80" s="19">
        <f ca="1">((100/(H68))*C80)/100</f>
        <v>1</v>
      </c>
      <c r="E80" s="167"/>
      <c r="F80" s="168"/>
      <c r="G80" s="167"/>
      <c r="H80" s="171"/>
      <c r="I80" s="14" t="s">
        <v>104</v>
      </c>
      <c r="J80" s="31">
        <f ca="1">(IF(B68&gt;1.5,(H68/(B68+2)+J74+MAX(0,J75-J74)+MAX(0,J76-J75)+MAX(0,J77-J76)+MAX(0,J78-J77)+MAX(0,J79-J78)),IF(B68=1,(H68/(B68+3)+J79),IF(B68=0,H68/4+J79))))</f>
        <v>10</v>
      </c>
    </row>
    <row r="81" spans="1:12" ht="15.75" customHeight="1" x14ac:dyDescent="0.3">
      <c r="A81" s="117" t="s">
        <v>142</v>
      </c>
      <c r="B81" s="118"/>
      <c r="C81" s="119" t="str">
        <f>D59</f>
        <v>Building 2 = G + 1st to 10th Floor</v>
      </c>
      <c r="D81" s="120"/>
      <c r="E81" s="120"/>
      <c r="F81" s="120"/>
      <c r="G81" s="120"/>
      <c r="H81" s="121"/>
      <c r="I81" s="48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Plaster, External Plaster Completed, Flooring upto 7 Floor, Painting upto 4 Floor Completed</v>
      </c>
      <c r="J81" s="49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Flooring upto 7 Floor, Painting upto 4 Floor</v>
      </c>
    </row>
    <row r="82" spans="1:12" x14ac:dyDescent="0.3">
      <c r="A82" s="15" t="s">
        <v>144</v>
      </c>
      <c r="B82" s="46">
        <v>0</v>
      </c>
      <c r="C82" s="46" t="s">
        <v>73</v>
      </c>
      <c r="D82" s="46">
        <v>1</v>
      </c>
      <c r="E82" s="46" t="s">
        <v>72</v>
      </c>
      <c r="F82" s="46">
        <v>0</v>
      </c>
      <c r="G82" s="47" t="s">
        <v>81</v>
      </c>
      <c r="H82" s="16">
        <f ca="1">--TRIM(RIGHT(SUBSTITUTE(LEFT(C81,_xlfn.AGGREGATE(16,6,FIND({0,1,2,3,4,5,6,7,8,9},C81,ROW(INDIRECT("1:"&amp;LEN(C81)))),1))," ",REPT(" ",LEN(C81))),LEN(C81)))</f>
        <v>10</v>
      </c>
      <c r="I82" s="50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</v>
      </c>
      <c r="J82" s="51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2" ht="34.799999999999997" customHeight="1" x14ac:dyDescent="0.3">
      <c r="A83" s="176" t="s">
        <v>91</v>
      </c>
      <c r="B83" s="143"/>
      <c r="C83" s="179" t="str">
        <f ca="1">(IF($C$53=C81,"All work Completed. OC Received.",I81))</f>
        <v>Excavation, Plinth, RCC Slab, Brickwork, Internal Plaster, External Plaster Completed, Flooring upto 7 Floor, Painting upto 4 Floor Completed</v>
      </c>
      <c r="D83" s="179"/>
      <c r="E83" s="179"/>
      <c r="F83" s="179"/>
      <c r="G83" s="179"/>
      <c r="H83" s="180"/>
      <c r="I83" s="50" t="str">
        <f ca="1">IF(I82&lt;&gt;""," Completed","")</f>
        <v xml:space="preserve"> Completed</v>
      </c>
      <c r="J83" s="51" t="str">
        <f ca="1">IF(J81&lt;&gt;"","Completed","")</f>
        <v>Completed</v>
      </c>
    </row>
    <row r="84" spans="1:12" ht="15.75" customHeight="1" x14ac:dyDescent="0.3">
      <c r="A84" s="80" t="s">
        <v>49</v>
      </c>
      <c r="B84" s="81"/>
      <c r="C84" s="43" t="s">
        <v>141</v>
      </c>
      <c r="D84" s="43" t="s">
        <v>84</v>
      </c>
      <c r="E84" s="81" t="s">
        <v>86</v>
      </c>
      <c r="F84" s="81"/>
      <c r="G84" s="81" t="s">
        <v>85</v>
      </c>
      <c r="H84" s="141"/>
      <c r="I84" s="13" t="s">
        <v>143</v>
      </c>
      <c r="J84" s="27">
        <f ca="1">H82*25%</f>
        <v>2.5</v>
      </c>
    </row>
    <row r="85" spans="1:12" x14ac:dyDescent="0.3">
      <c r="A85" s="80" t="s">
        <v>130</v>
      </c>
      <c r="B85" s="81"/>
      <c r="C85" s="43">
        <f ca="1">J86</f>
        <v>10</v>
      </c>
      <c r="D85" s="18">
        <f ca="1">((100/H82)*C85)/100</f>
        <v>1</v>
      </c>
      <c r="E85" s="163">
        <f ca="1">(((C86/H82*10)+(40/(D82+F82+H82)*C87)+(7.5/(H82)*C88)+(7.5/(H82)*C89)+(10/H82*C90)+(10/H82*C91)+(5/H82*C92)+(5/H82*C93)+(5/H82*C94))/100)</f>
        <v>0.84</v>
      </c>
      <c r="F85" s="164"/>
      <c r="G85" s="163">
        <f ca="1">((((C85/H82)*20)+((C86/H82)*25)+(30/(H82+F82+D82)*C87)+(5/H82*C88)+(5/H82*C89)+(5/H82*C90)+(5/H82*C91)+(0/H82*C92)+(0/H82*C93)+(5/H82*C94))/100)</f>
        <v>0.93500000000000005</v>
      </c>
      <c r="H85" s="169"/>
      <c r="I85" s="13" t="s">
        <v>100</v>
      </c>
      <c r="J85" s="28">
        <f ca="1">H82*50%</f>
        <v>5</v>
      </c>
    </row>
    <row r="86" spans="1:12" x14ac:dyDescent="0.3">
      <c r="A86" s="80" t="s">
        <v>50</v>
      </c>
      <c r="B86" s="81"/>
      <c r="C86" s="56">
        <f ca="1">J94</f>
        <v>10</v>
      </c>
      <c r="D86" s="18">
        <f ca="1">((100/H82)*C86)/100</f>
        <v>1</v>
      </c>
      <c r="E86" s="165"/>
      <c r="F86" s="166"/>
      <c r="G86" s="165"/>
      <c r="H86" s="170"/>
      <c r="I86" s="13" t="s">
        <v>101</v>
      </c>
      <c r="J86" s="28">
        <f ca="1">H82</f>
        <v>10</v>
      </c>
    </row>
    <row r="87" spans="1:12" ht="15.75" customHeight="1" x14ac:dyDescent="0.3">
      <c r="A87" s="80" t="s">
        <v>131</v>
      </c>
      <c r="B87" s="81"/>
      <c r="C87" s="43">
        <v>11</v>
      </c>
      <c r="D87" s="18">
        <f ca="1">((100/(D82+F82+H82))*C87)/100</f>
        <v>1.0000000000000002</v>
      </c>
      <c r="E87" s="165"/>
      <c r="F87" s="166"/>
      <c r="G87" s="165"/>
      <c r="H87" s="170"/>
      <c r="I87" s="13" t="s">
        <v>102</v>
      </c>
      <c r="J87" s="29">
        <f ca="1">(IF(B82&gt;1,(H82/(B82+2)),H82/4))</f>
        <v>2.5</v>
      </c>
    </row>
    <row r="88" spans="1:12" ht="15.75" customHeight="1" x14ac:dyDescent="0.3">
      <c r="A88" s="80" t="s">
        <v>138</v>
      </c>
      <c r="B88" s="81" t="s">
        <v>132</v>
      </c>
      <c r="C88" s="43">
        <v>10</v>
      </c>
      <c r="D88" s="18">
        <f ca="1">((100/H82)*C88)/100</f>
        <v>1</v>
      </c>
      <c r="E88" s="165"/>
      <c r="F88" s="166"/>
      <c r="G88" s="165"/>
      <c r="H88" s="170"/>
      <c r="I88" s="13" t="s">
        <v>103</v>
      </c>
      <c r="J88" s="29">
        <f ca="1">(IF(B82&gt;1,(H82/(B82+2)+J87),H82/4+J87))</f>
        <v>5</v>
      </c>
    </row>
    <row r="89" spans="1:12" ht="15.75" customHeight="1" x14ac:dyDescent="0.3">
      <c r="A89" s="80" t="s">
        <v>139</v>
      </c>
      <c r="B89" s="81" t="s">
        <v>132</v>
      </c>
      <c r="C89" s="43">
        <v>10</v>
      </c>
      <c r="D89" s="18">
        <f ca="1">((100/H82)*C89)/100</f>
        <v>1</v>
      </c>
      <c r="E89" s="165"/>
      <c r="F89" s="166"/>
      <c r="G89" s="165"/>
      <c r="H89" s="170"/>
      <c r="I89" s="13" t="s">
        <v>148</v>
      </c>
      <c r="J89" s="29">
        <f>(IF(B82&gt;1,(H82/(B82+2)+J88),0))</f>
        <v>0</v>
      </c>
    </row>
    <row r="90" spans="1:12" ht="15" customHeight="1" x14ac:dyDescent="0.3">
      <c r="A90" s="80" t="s">
        <v>137</v>
      </c>
      <c r="B90" s="81" t="s">
        <v>134</v>
      </c>
      <c r="C90" s="43">
        <v>10</v>
      </c>
      <c r="D90" s="18">
        <f ca="1">((100/(H82))*C90)/100</f>
        <v>1</v>
      </c>
      <c r="E90" s="165"/>
      <c r="F90" s="166"/>
      <c r="G90" s="165"/>
      <c r="H90" s="170"/>
      <c r="I90" s="13" t="s">
        <v>145</v>
      </c>
      <c r="J90" s="29">
        <f>(IF(B82&gt;2,(H82/(B82+2)+J89),0))</f>
        <v>0</v>
      </c>
    </row>
    <row r="91" spans="1:12" ht="15.75" customHeight="1" x14ac:dyDescent="0.3">
      <c r="A91" s="80" t="s">
        <v>133</v>
      </c>
      <c r="B91" s="81" t="s">
        <v>133</v>
      </c>
      <c r="C91" s="43">
        <v>7</v>
      </c>
      <c r="D91" s="18">
        <f ca="1">((100/H82)*C91)/100</f>
        <v>0.7</v>
      </c>
      <c r="E91" s="165"/>
      <c r="F91" s="166"/>
      <c r="G91" s="165"/>
      <c r="H91" s="170"/>
      <c r="I91" s="13" t="s">
        <v>146</v>
      </c>
      <c r="J91" s="30">
        <f>(IF(B82&gt;3,(H82/(B82+2)+J90),0))</f>
        <v>0</v>
      </c>
    </row>
    <row r="92" spans="1:12" ht="15.75" customHeight="1" x14ac:dyDescent="0.3">
      <c r="A92" s="80" t="s">
        <v>140</v>
      </c>
      <c r="B92" s="81"/>
      <c r="C92" s="43">
        <v>4</v>
      </c>
      <c r="D92" s="18">
        <f ca="1">((100/H82)*C92)/100</f>
        <v>0.4</v>
      </c>
      <c r="E92" s="165"/>
      <c r="F92" s="166"/>
      <c r="G92" s="165"/>
      <c r="H92" s="170"/>
      <c r="I92" s="13" t="s">
        <v>147</v>
      </c>
      <c r="J92" s="29">
        <f>(IF(B82&gt;4,(H82/(B82+2)+J91),0))</f>
        <v>0</v>
      </c>
    </row>
    <row r="93" spans="1:12" ht="15.75" customHeight="1" x14ac:dyDescent="0.3">
      <c r="A93" s="80" t="s">
        <v>135</v>
      </c>
      <c r="B93" s="81" t="s">
        <v>135</v>
      </c>
      <c r="C93" s="43">
        <v>0</v>
      </c>
      <c r="D93" s="18">
        <f ca="1">((100/(H82))*C93)/100</f>
        <v>0</v>
      </c>
      <c r="E93" s="165"/>
      <c r="F93" s="166"/>
      <c r="G93" s="165"/>
      <c r="H93" s="170"/>
      <c r="I93" s="13" t="s">
        <v>149</v>
      </c>
      <c r="J93" s="29">
        <f ca="1">(IF(B82=1,(H82/(B82+3)+J88),IF(B82=0,(H82/4+J88),IF(B82&gt;1,0))))</f>
        <v>7.5</v>
      </c>
    </row>
    <row r="94" spans="1:12" ht="16.2" thickBot="1" x14ac:dyDescent="0.35">
      <c r="A94" s="172" t="s">
        <v>136</v>
      </c>
      <c r="B94" s="173"/>
      <c r="C94" s="44">
        <v>0</v>
      </c>
      <c r="D94" s="19">
        <f ca="1">((100/(H82))*C94)/100</f>
        <v>0</v>
      </c>
      <c r="E94" s="167"/>
      <c r="F94" s="168"/>
      <c r="G94" s="167"/>
      <c r="H94" s="171"/>
      <c r="I94" s="14" t="s">
        <v>104</v>
      </c>
      <c r="J94" s="31">
        <f ca="1">(IF(B82&gt;1.5,(H82/(B82+2)+J88+MAX(0,J89-J88)+MAX(0,J90-J89)+MAX(0,J91-J90)+MAX(0,J92-J91)+MAX(0,J93-J92)),IF(B82=1,(H82/(B82+3)+J93),IF(B82=0,H82/4+J93))))</f>
        <v>10</v>
      </c>
    </row>
    <row r="95" spans="1:12" x14ac:dyDescent="0.3">
      <c r="A95" s="182" t="s">
        <v>158</v>
      </c>
      <c r="B95" s="182"/>
      <c r="C95" s="182"/>
      <c r="D95" s="182"/>
      <c r="E95" s="182"/>
      <c r="F95" s="181" t="s">
        <v>162</v>
      </c>
      <c r="G95" s="181"/>
      <c r="H95" s="181"/>
    </row>
    <row r="96" spans="1:12" x14ac:dyDescent="0.3">
      <c r="A96" s="89" t="s">
        <v>161</v>
      </c>
      <c r="B96" s="89"/>
      <c r="C96" s="89"/>
      <c r="D96" s="89"/>
      <c r="E96" s="89"/>
      <c r="F96" s="82">
        <v>6000</v>
      </c>
      <c r="G96" s="82"/>
      <c r="H96" s="82"/>
      <c r="I96" s="63" t="s">
        <v>212</v>
      </c>
      <c r="J96" s="63" t="s">
        <v>213</v>
      </c>
      <c r="K96" s="63" t="s">
        <v>214</v>
      </c>
      <c r="L96" s="64">
        <v>44954</v>
      </c>
    </row>
    <row r="97" spans="1:10" x14ac:dyDescent="0.3">
      <c r="A97" s="89" t="s">
        <v>160</v>
      </c>
      <c r="B97" s="89"/>
      <c r="C97" s="89"/>
      <c r="D97" s="89"/>
      <c r="E97" s="89"/>
      <c r="F97" s="82">
        <v>12000</v>
      </c>
      <c r="G97" s="82"/>
      <c r="H97" s="82"/>
    </row>
    <row r="98" spans="1:10" s="32" customFormat="1" hidden="1" x14ac:dyDescent="0.25">
      <c r="A98" s="89" t="s">
        <v>159</v>
      </c>
      <c r="B98" s="89"/>
      <c r="C98" s="89"/>
      <c r="D98" s="89"/>
      <c r="E98" s="89"/>
      <c r="F98" s="188" t="s">
        <v>209</v>
      </c>
      <c r="G98" s="188"/>
      <c r="H98" s="188"/>
    </row>
    <row r="99" spans="1:10" s="32" customFormat="1" x14ac:dyDescent="0.25">
      <c r="A99" s="89" t="s">
        <v>96</v>
      </c>
      <c r="B99" s="89"/>
      <c r="C99" s="89"/>
      <c r="D99" s="89"/>
      <c r="E99" s="89"/>
      <c r="F99" s="82">
        <v>250000</v>
      </c>
      <c r="G99" s="82"/>
      <c r="H99" s="82"/>
    </row>
    <row r="100" spans="1:10" s="32" customFormat="1" x14ac:dyDescent="0.25">
      <c r="A100" s="89" t="s">
        <v>211</v>
      </c>
      <c r="B100" s="89"/>
      <c r="C100" s="89"/>
      <c r="D100" s="89"/>
      <c r="E100" s="89"/>
      <c r="F100" s="82">
        <v>150000</v>
      </c>
      <c r="G100" s="82"/>
      <c r="H100" s="82"/>
    </row>
    <row r="101" spans="1:10" s="32" customFormat="1" hidden="1" x14ac:dyDescent="0.25">
      <c r="A101" s="89" t="s">
        <v>163</v>
      </c>
      <c r="B101" s="89"/>
      <c r="C101" s="89"/>
      <c r="D101" s="89"/>
      <c r="E101" s="89"/>
      <c r="F101" s="82"/>
      <c r="G101" s="82"/>
      <c r="H101" s="82"/>
    </row>
    <row r="102" spans="1:10" s="32" customFormat="1" hidden="1" x14ac:dyDescent="0.25">
      <c r="A102" s="89" t="s">
        <v>97</v>
      </c>
      <c r="B102" s="89"/>
      <c r="C102" s="89"/>
      <c r="D102" s="89"/>
      <c r="E102" s="89"/>
      <c r="F102" s="82"/>
      <c r="G102" s="82"/>
      <c r="H102" s="82"/>
    </row>
    <row r="103" spans="1:10" s="32" customFormat="1" hidden="1" x14ac:dyDescent="0.25">
      <c r="A103" s="89" t="s">
        <v>98</v>
      </c>
      <c r="B103" s="89"/>
      <c r="C103" s="89"/>
      <c r="D103" s="89"/>
      <c r="E103" s="89"/>
      <c r="F103" s="82"/>
      <c r="G103" s="82"/>
      <c r="H103" s="82"/>
    </row>
    <row r="104" spans="1:10" s="32" customFormat="1" x14ac:dyDescent="0.25">
      <c r="A104" s="89" t="s">
        <v>210</v>
      </c>
      <c r="B104" s="89"/>
      <c r="C104" s="89"/>
      <c r="D104" s="89"/>
      <c r="E104" s="89"/>
      <c r="F104" s="82">
        <v>50000</v>
      </c>
      <c r="G104" s="82"/>
      <c r="H104" s="82"/>
    </row>
    <row r="105" spans="1:10" s="32" customFormat="1" hidden="1" x14ac:dyDescent="0.25">
      <c r="A105" s="89" t="s">
        <v>99</v>
      </c>
      <c r="B105" s="89"/>
      <c r="C105" s="89"/>
      <c r="D105" s="89"/>
      <c r="E105" s="89"/>
      <c r="F105" s="82"/>
      <c r="G105" s="82"/>
      <c r="H105" s="82"/>
    </row>
    <row r="106" spans="1:10" x14ac:dyDescent="0.3">
      <c r="A106" s="89" t="s">
        <v>51</v>
      </c>
      <c r="B106" s="89"/>
      <c r="C106" s="89"/>
      <c r="D106" s="89"/>
      <c r="E106" s="89"/>
      <c r="F106" s="82">
        <v>250000</v>
      </c>
      <c r="G106" s="82"/>
      <c r="H106" s="82"/>
    </row>
    <row r="107" spans="1:10" s="33" customFormat="1" x14ac:dyDescent="0.3">
      <c r="A107" s="137" t="s">
        <v>52</v>
      </c>
      <c r="B107" s="137"/>
      <c r="C107" s="137"/>
      <c r="D107" s="137"/>
      <c r="E107" s="137"/>
      <c r="F107" s="82">
        <f>F96*0.8</f>
        <v>4800</v>
      </c>
      <c r="G107" s="82"/>
      <c r="H107" s="82"/>
    </row>
    <row r="108" spans="1:10" s="34" customFormat="1" ht="15.75" customHeight="1" x14ac:dyDescent="0.3">
      <c r="A108" s="128" t="s">
        <v>76</v>
      </c>
      <c r="B108" s="128"/>
      <c r="C108" s="128"/>
      <c r="D108" s="128"/>
      <c r="E108" s="128"/>
      <c r="F108" s="128"/>
      <c r="G108" s="128"/>
      <c r="H108" s="128"/>
    </row>
    <row r="109" spans="1:10" s="34" customFormat="1" ht="15.75" customHeight="1" x14ac:dyDescent="0.3">
      <c r="A109" s="114" t="s">
        <v>53</v>
      </c>
      <c r="B109" s="114"/>
      <c r="C109" s="122" t="s">
        <v>79</v>
      </c>
      <c r="D109" s="122"/>
      <c r="E109" s="124" t="s">
        <v>54</v>
      </c>
      <c r="F109" s="124"/>
      <c r="G109" s="114" t="s">
        <v>55</v>
      </c>
      <c r="H109" s="114"/>
    </row>
    <row r="110" spans="1:10" s="34" customFormat="1" x14ac:dyDescent="0.3">
      <c r="A110" s="129" t="s">
        <v>192</v>
      </c>
      <c r="B110" s="129"/>
      <c r="C110" s="184">
        <f>COUNT(D123:D132)</f>
        <v>10</v>
      </c>
      <c r="D110" s="130"/>
      <c r="E110" s="83">
        <f>SUM(D123:D132)</f>
        <v>2137.78422</v>
      </c>
      <c r="F110" s="84"/>
      <c r="G110" s="83">
        <f>SUM(F123:F132)</f>
        <v>4297</v>
      </c>
      <c r="H110" s="84"/>
    </row>
    <row r="111" spans="1:10" s="34" customFormat="1" x14ac:dyDescent="0.3">
      <c r="A111" s="129" t="s">
        <v>188</v>
      </c>
      <c r="B111" s="129"/>
      <c r="C111" s="184">
        <f>COUNT(D135:D138)</f>
        <v>4</v>
      </c>
      <c r="D111" s="130"/>
      <c r="E111" s="83">
        <f>SUM(D135:D138)</f>
        <v>789.64704000000017</v>
      </c>
      <c r="F111" s="84"/>
      <c r="G111" s="83">
        <f>SUM(F135:F138)</f>
        <v>1598</v>
      </c>
      <c r="H111" s="84"/>
    </row>
    <row r="112" spans="1:10" s="34" customFormat="1" x14ac:dyDescent="0.3">
      <c r="A112" s="128" t="s">
        <v>152</v>
      </c>
      <c r="B112" s="128"/>
      <c r="C112" s="123">
        <f>SUM(C110:D111)</f>
        <v>14</v>
      </c>
      <c r="D112" s="124"/>
      <c r="E112" s="123">
        <f>SUM(E110:F111)</f>
        <v>2927.4312600000003</v>
      </c>
      <c r="F112" s="124"/>
      <c r="G112" s="123">
        <f>SUM(G110:H111)</f>
        <v>5895</v>
      </c>
      <c r="H112" s="124"/>
      <c r="J112" s="65">
        <f>SUM(E112,E117)</f>
        <v>80905.924125000005</v>
      </c>
    </row>
    <row r="113" spans="1:14" s="34" customFormat="1" x14ac:dyDescent="0.3">
      <c r="A113" s="128" t="s">
        <v>71</v>
      </c>
      <c r="B113" s="128"/>
      <c r="C113" s="128"/>
      <c r="D113" s="128"/>
      <c r="E113" s="128"/>
      <c r="F113" s="128"/>
      <c r="G113" s="128"/>
      <c r="H113" s="128"/>
    </row>
    <row r="114" spans="1:14" s="34" customFormat="1" ht="15.75" customHeight="1" x14ac:dyDescent="0.3">
      <c r="A114" s="114" t="s">
        <v>53</v>
      </c>
      <c r="B114" s="114"/>
      <c r="C114" s="122" t="s">
        <v>79</v>
      </c>
      <c r="D114" s="122"/>
      <c r="E114" s="124" t="s">
        <v>54</v>
      </c>
      <c r="F114" s="124"/>
      <c r="G114" s="114" t="s">
        <v>55</v>
      </c>
      <c r="H114" s="114"/>
    </row>
    <row r="115" spans="1:14" s="34" customFormat="1" ht="15.75" customHeight="1" x14ac:dyDescent="0.3">
      <c r="A115" s="129" t="s">
        <v>192</v>
      </c>
      <c r="B115" s="129"/>
      <c r="C115" s="130">
        <f>COUNT(D143:D153)+COUNT(D155:D165)*8+COUNT(D179:D184,D187:D189)</f>
        <v>108</v>
      </c>
      <c r="D115" s="130"/>
      <c r="E115" s="83">
        <f>SUM(D143:D153)+SUM(D155:D165)*8+SUM(D179:D184,D187:D189)</f>
        <v>50050.675935000007</v>
      </c>
      <c r="F115" s="83"/>
      <c r="G115" s="83">
        <f>SUM(F143:F153)+SUM(F155:F165)*8+SUM(F179:F184,F187:F189)</f>
        <v>82184</v>
      </c>
      <c r="H115" s="83"/>
    </row>
    <row r="116" spans="1:14" s="34" customFormat="1" ht="15.75" customHeight="1" x14ac:dyDescent="0.3">
      <c r="A116" s="129" t="s">
        <v>188</v>
      </c>
      <c r="B116" s="129"/>
      <c r="C116" s="130">
        <f>COUNT(D192:D199)+COUNT(D201:D208)*8+COUNT(D210:D212,D214:D217)</f>
        <v>79</v>
      </c>
      <c r="D116" s="130"/>
      <c r="E116" s="83">
        <f>SUM(D192:D199)+SUM(D201:D208)*8+SUM(D210:D212,D214:D217)</f>
        <v>27927.816929999997</v>
      </c>
      <c r="F116" s="83"/>
      <c r="G116" s="83">
        <f>SUM(F192:F199)+SUM(F201:F208)*8+SUM(F210:F212,F214:F217)</f>
        <v>46036</v>
      </c>
      <c r="H116" s="83"/>
    </row>
    <row r="117" spans="1:14" s="34" customFormat="1" x14ac:dyDescent="0.3">
      <c r="A117" s="128" t="s">
        <v>152</v>
      </c>
      <c r="B117" s="128"/>
      <c r="C117" s="122">
        <f>SUM(C115:D116)</f>
        <v>187</v>
      </c>
      <c r="D117" s="122"/>
      <c r="E117" s="123">
        <f>SUM(E115:F116)</f>
        <v>77978.492865000007</v>
      </c>
      <c r="F117" s="124"/>
      <c r="G117" s="123">
        <f>SUM(G115:H116)</f>
        <v>128220</v>
      </c>
      <c r="H117" s="124"/>
    </row>
    <row r="118" spans="1:14" s="33" customFormat="1" x14ac:dyDescent="0.3">
      <c r="A118" s="132" t="s">
        <v>56</v>
      </c>
      <c r="B118" s="132"/>
      <c r="C118" s="132"/>
      <c r="D118" s="132"/>
      <c r="E118" s="132"/>
      <c r="F118" s="132"/>
      <c r="G118" s="132"/>
      <c r="H118" s="132"/>
    </row>
    <row r="119" spans="1:14" x14ac:dyDescent="0.3">
      <c r="A119" s="132" t="s">
        <v>57</v>
      </c>
      <c r="B119" s="132"/>
      <c r="C119" s="132"/>
      <c r="D119" s="132"/>
      <c r="E119" s="132"/>
      <c r="F119" s="132"/>
      <c r="G119" s="132"/>
      <c r="H119" s="132"/>
    </row>
    <row r="120" spans="1:14" ht="47.25" customHeight="1" x14ac:dyDescent="0.3">
      <c r="A120" s="42" t="s">
        <v>120</v>
      </c>
      <c r="B120" s="42" t="s">
        <v>119</v>
      </c>
      <c r="C120" s="42" t="s">
        <v>58</v>
      </c>
      <c r="D120" s="42" t="s">
        <v>59</v>
      </c>
      <c r="E120" s="55" t="s">
        <v>157</v>
      </c>
      <c r="F120" s="42" t="s">
        <v>206</v>
      </c>
      <c r="G120" s="115" t="s">
        <v>61</v>
      </c>
      <c r="H120" s="116"/>
    </row>
    <row r="121" spans="1:14" s="36" customFormat="1" x14ac:dyDescent="0.3">
      <c r="A121" s="76" t="s">
        <v>192</v>
      </c>
      <c r="B121" s="77"/>
      <c r="C121" s="77"/>
      <c r="D121" s="77"/>
      <c r="E121" s="77"/>
      <c r="F121" s="77"/>
      <c r="G121" s="77"/>
      <c r="H121" s="78"/>
      <c r="J121" s="35"/>
    </row>
    <row r="122" spans="1:14" s="36" customFormat="1" x14ac:dyDescent="0.3">
      <c r="A122" s="76" t="s">
        <v>190</v>
      </c>
      <c r="B122" s="77"/>
      <c r="C122" s="77"/>
      <c r="D122" s="77"/>
      <c r="E122" s="77"/>
      <c r="F122" s="77"/>
      <c r="G122" s="77"/>
      <c r="H122" s="78"/>
      <c r="J122" s="35"/>
    </row>
    <row r="123" spans="1:14" s="36" customFormat="1" x14ac:dyDescent="0.3">
      <c r="A123" s="74">
        <v>1</v>
      </c>
      <c r="B123" s="75"/>
      <c r="C123" s="41" t="s">
        <v>183</v>
      </c>
      <c r="D123" s="41">
        <f>(3.65*4.9+2.35*1+1.2*0.9)*10.764</f>
        <v>229.43466000000004</v>
      </c>
      <c r="E123" s="41">
        <v>0</v>
      </c>
      <c r="F123" s="57">
        <v>464</v>
      </c>
      <c r="G123" s="74" t="str">
        <f>A122</f>
        <v>Ground Floor For Commercial &amp; Parking</v>
      </c>
      <c r="H123" s="75"/>
      <c r="I123" s="35"/>
      <c r="K123" s="58">
        <f>F123/D123</f>
        <v>2.0223622708094755</v>
      </c>
      <c r="L123" s="183"/>
      <c r="M123" s="183"/>
      <c r="N123" s="35"/>
    </row>
    <row r="124" spans="1:14" s="36" customFormat="1" x14ac:dyDescent="0.3">
      <c r="A124" s="74">
        <f t="shared" ref="A124:A132" si="0">A123+1</f>
        <v>2</v>
      </c>
      <c r="B124" s="75"/>
      <c r="C124" s="41" t="s">
        <v>183</v>
      </c>
      <c r="D124" s="41">
        <f>(3.45*4.2+2.15*1+1.2*0.9)*10.764</f>
        <v>190.73807999999997</v>
      </c>
      <c r="E124" s="41">
        <v>0</v>
      </c>
      <c r="F124" s="57">
        <v>386</v>
      </c>
      <c r="G124" s="74" t="str">
        <f t="shared" ref="G124:G132" si="1">G123</f>
        <v>Ground Floor For Commercial &amp; Parking</v>
      </c>
      <c r="H124" s="75"/>
      <c r="I124" s="35"/>
      <c r="K124" s="58">
        <f t="shared" ref="K124:K132" si="2">F124/D124</f>
        <v>2.0237175502657889</v>
      </c>
      <c r="L124" s="183"/>
      <c r="M124" s="183"/>
      <c r="N124" s="35"/>
    </row>
    <row r="125" spans="1:14" s="36" customFormat="1" x14ac:dyDescent="0.3">
      <c r="A125" s="74">
        <f t="shared" si="0"/>
        <v>3</v>
      </c>
      <c r="B125" s="75"/>
      <c r="C125" s="41" t="s">
        <v>183</v>
      </c>
      <c r="D125" s="41">
        <f>(2.9*5.2+1.6*1+1.2*0.9)*10.764</f>
        <v>191.16863999999995</v>
      </c>
      <c r="E125" s="41">
        <v>0</v>
      </c>
      <c r="F125" s="57">
        <v>387</v>
      </c>
      <c r="G125" s="74" t="str">
        <f t="shared" si="1"/>
        <v>Ground Floor For Commercial &amp; Parking</v>
      </c>
      <c r="H125" s="75"/>
      <c r="I125" s="35"/>
      <c r="K125" s="58">
        <f t="shared" si="2"/>
        <v>2.0243906113471337</v>
      </c>
      <c r="L125" s="183"/>
      <c r="M125" s="183"/>
      <c r="N125" s="35"/>
    </row>
    <row r="126" spans="1:14" s="36" customFormat="1" x14ac:dyDescent="0.3">
      <c r="A126" s="74">
        <f t="shared" si="0"/>
        <v>4</v>
      </c>
      <c r="B126" s="75"/>
      <c r="C126" s="41" t="s">
        <v>183</v>
      </c>
      <c r="D126" s="41">
        <f>(2.75*5.2+1.45*1+1.2*0.9)*10.764</f>
        <v>181.15811999999997</v>
      </c>
      <c r="E126" s="41">
        <v>0</v>
      </c>
      <c r="F126" s="57">
        <v>367</v>
      </c>
      <c r="G126" s="74" t="str">
        <f t="shared" si="1"/>
        <v>Ground Floor For Commercial &amp; Parking</v>
      </c>
      <c r="H126" s="75"/>
      <c r="I126" s="35"/>
      <c r="K126" s="58">
        <f t="shared" si="2"/>
        <v>2.0258545407735524</v>
      </c>
      <c r="L126" s="183"/>
      <c r="M126" s="183"/>
      <c r="N126" s="35"/>
    </row>
    <row r="127" spans="1:14" s="36" customFormat="1" x14ac:dyDescent="0.3">
      <c r="A127" s="74">
        <f t="shared" si="0"/>
        <v>5</v>
      </c>
      <c r="B127" s="75"/>
      <c r="C127" s="41" t="s">
        <v>183</v>
      </c>
      <c r="D127" s="41">
        <f>(3.2*4.2+1.9*1+1.2*0.9)*10.764</f>
        <v>176.74487999999999</v>
      </c>
      <c r="E127" s="41">
        <v>0</v>
      </c>
      <c r="F127" s="57">
        <v>358</v>
      </c>
      <c r="G127" s="74" t="str">
        <f t="shared" si="1"/>
        <v>Ground Floor For Commercial &amp; Parking</v>
      </c>
      <c r="H127" s="75"/>
      <c r="I127" s="35"/>
      <c r="K127" s="58">
        <f t="shared" si="2"/>
        <v>2.0255183629647435</v>
      </c>
      <c r="L127" s="183"/>
      <c r="M127" s="183"/>
      <c r="N127" s="35"/>
    </row>
    <row r="128" spans="1:14" s="36" customFormat="1" x14ac:dyDescent="0.3">
      <c r="A128" s="74">
        <f t="shared" si="0"/>
        <v>6</v>
      </c>
      <c r="B128" s="75"/>
      <c r="C128" s="41" t="s">
        <v>183</v>
      </c>
      <c r="D128" s="41">
        <f>(3.95*4.2+2.65*1+1.2*0.9)*10.764</f>
        <v>218.72448</v>
      </c>
      <c r="E128" s="41">
        <v>0</v>
      </c>
      <c r="F128" s="57">
        <v>442</v>
      </c>
      <c r="G128" s="74" t="str">
        <f t="shared" si="1"/>
        <v>Ground Floor For Commercial &amp; Parking</v>
      </c>
      <c r="H128" s="75"/>
      <c r="I128" s="35"/>
      <c r="K128" s="58">
        <f t="shared" si="2"/>
        <v>2.0208071817109818</v>
      </c>
      <c r="L128" s="183"/>
      <c r="M128" s="183"/>
      <c r="N128" s="35"/>
    </row>
    <row r="129" spans="1:14" s="36" customFormat="1" x14ac:dyDescent="0.3">
      <c r="A129" s="74">
        <f t="shared" si="0"/>
        <v>7</v>
      </c>
      <c r="B129" s="75"/>
      <c r="C129" s="41" t="s">
        <v>183</v>
      </c>
      <c r="D129" s="41">
        <f>(3.2*4.2+1.9*1+1.2*0.9)*10.764</f>
        <v>176.74487999999999</v>
      </c>
      <c r="E129" s="41">
        <v>0</v>
      </c>
      <c r="F129" s="57">
        <v>358</v>
      </c>
      <c r="G129" s="74" t="str">
        <f t="shared" si="1"/>
        <v>Ground Floor For Commercial &amp; Parking</v>
      </c>
      <c r="H129" s="75"/>
      <c r="I129" s="35"/>
      <c r="K129" s="58">
        <f t="shared" si="2"/>
        <v>2.0255183629647435</v>
      </c>
      <c r="L129" s="183"/>
      <c r="M129" s="183"/>
      <c r="N129" s="35"/>
    </row>
    <row r="130" spans="1:14" s="36" customFormat="1" x14ac:dyDescent="0.3">
      <c r="A130" s="74">
        <f t="shared" si="0"/>
        <v>8</v>
      </c>
      <c r="B130" s="75"/>
      <c r="C130" s="41" t="s">
        <v>183</v>
      </c>
      <c r="D130" s="41">
        <f>(2.75*5.2+1.45*1+1.2*0.9)*10.764</f>
        <v>181.15811999999997</v>
      </c>
      <c r="E130" s="41">
        <v>0</v>
      </c>
      <c r="F130" s="57">
        <v>367</v>
      </c>
      <c r="G130" s="74" t="str">
        <f t="shared" si="1"/>
        <v>Ground Floor For Commercial &amp; Parking</v>
      </c>
      <c r="H130" s="75"/>
      <c r="I130" s="35"/>
      <c r="K130" s="58">
        <f t="shared" si="2"/>
        <v>2.0258545407735524</v>
      </c>
      <c r="L130" s="183"/>
      <c r="M130" s="183"/>
      <c r="N130" s="35"/>
    </row>
    <row r="131" spans="1:14" s="36" customFormat="1" x14ac:dyDescent="0.3">
      <c r="A131" s="74">
        <f t="shared" si="0"/>
        <v>9</v>
      </c>
      <c r="B131" s="75"/>
      <c r="C131" s="41" t="s">
        <v>183</v>
      </c>
      <c r="D131" s="41">
        <f>(2.9*5.2+1.45*1+1.2*0.9)*10.764</f>
        <v>189.55403999999999</v>
      </c>
      <c r="E131" s="41">
        <v>0</v>
      </c>
      <c r="F131" s="57">
        <v>387</v>
      </c>
      <c r="G131" s="74" t="str">
        <f t="shared" si="1"/>
        <v>Ground Floor For Commercial &amp; Parking</v>
      </c>
      <c r="H131" s="75"/>
      <c r="I131" s="35"/>
      <c r="K131" s="58">
        <f t="shared" si="2"/>
        <v>2.0416341429599707</v>
      </c>
      <c r="L131" s="183"/>
      <c r="M131" s="183"/>
      <c r="N131" s="35"/>
    </row>
    <row r="132" spans="1:14" s="36" customFormat="1" x14ac:dyDescent="0.3">
      <c r="A132" s="74">
        <f t="shared" si="0"/>
        <v>10</v>
      </c>
      <c r="B132" s="75"/>
      <c r="C132" s="41" t="s">
        <v>183</v>
      </c>
      <c r="D132" s="41">
        <f>(3.6*4.2+2.3*1+1.2*0.9+3.2*3.4+3.2*2.5)*10.764</f>
        <v>402.35831999999999</v>
      </c>
      <c r="E132" s="41">
        <v>0</v>
      </c>
      <c r="F132" s="57">
        <v>781</v>
      </c>
      <c r="G132" s="74" t="str">
        <f t="shared" si="1"/>
        <v>Ground Floor For Commercial &amp; Parking</v>
      </c>
      <c r="H132" s="75"/>
      <c r="I132" s="35"/>
      <c r="K132" s="58">
        <f t="shared" si="2"/>
        <v>1.9410559224921706</v>
      </c>
      <c r="L132" s="183"/>
      <c r="M132" s="183"/>
      <c r="N132" s="35"/>
    </row>
    <row r="133" spans="1:14" s="36" customFormat="1" x14ac:dyDescent="0.3">
      <c r="A133" s="76" t="s">
        <v>188</v>
      </c>
      <c r="B133" s="77"/>
      <c r="C133" s="77"/>
      <c r="D133" s="77"/>
      <c r="E133" s="77"/>
      <c r="F133" s="77"/>
      <c r="G133" s="77"/>
      <c r="H133" s="78"/>
      <c r="J133" s="35"/>
      <c r="K133" s="58"/>
    </row>
    <row r="134" spans="1:14" s="36" customFormat="1" x14ac:dyDescent="0.3">
      <c r="A134" s="76" t="s">
        <v>118</v>
      </c>
      <c r="B134" s="77"/>
      <c r="C134" s="77"/>
      <c r="D134" s="77"/>
      <c r="E134" s="77"/>
      <c r="F134" s="77"/>
      <c r="G134" s="77"/>
      <c r="H134" s="78"/>
      <c r="J134" s="35"/>
      <c r="K134" s="58"/>
    </row>
    <row r="135" spans="1:14" s="36" customFormat="1" x14ac:dyDescent="0.3">
      <c r="A135" s="74">
        <v>1</v>
      </c>
      <c r="B135" s="75"/>
      <c r="C135" s="53" t="s">
        <v>183</v>
      </c>
      <c r="D135" s="41">
        <f>(3.1*5.4+1.8*1+1.2*0.9)*10.764</f>
        <v>211.18968000000004</v>
      </c>
      <c r="E135" s="41">
        <v>0</v>
      </c>
      <c r="F135" s="57">
        <v>427</v>
      </c>
      <c r="G135" s="74" t="str">
        <f>A134</f>
        <v>Ground Floor</v>
      </c>
      <c r="H135" s="75"/>
      <c r="I135" s="35"/>
      <c r="K135" s="58">
        <f t="shared" ref="K135:K138" si="3">F135/D135</f>
        <v>2.0218790993953868</v>
      </c>
      <c r="L135" s="183"/>
      <c r="M135" s="183"/>
      <c r="N135" s="35"/>
    </row>
    <row r="136" spans="1:14" s="36" customFormat="1" x14ac:dyDescent="0.3">
      <c r="A136" s="74">
        <f t="shared" ref="A136:A138" si="4">A135+1</f>
        <v>2</v>
      </c>
      <c r="B136" s="75"/>
      <c r="C136" s="53" t="s">
        <v>183</v>
      </c>
      <c r="D136" s="41">
        <f>(2.7*5.4+1.4*1+1.2*0.9)*10.764</f>
        <v>183.63384000000002</v>
      </c>
      <c r="E136" s="41">
        <v>0</v>
      </c>
      <c r="F136" s="57">
        <v>372</v>
      </c>
      <c r="G136" s="74" t="str">
        <f t="shared" ref="G136:G138" si="5">G135</f>
        <v>Ground Floor</v>
      </c>
      <c r="H136" s="75"/>
      <c r="I136" s="35"/>
      <c r="K136" s="58">
        <f t="shared" si="3"/>
        <v>2.0257704135577623</v>
      </c>
      <c r="L136" s="183"/>
      <c r="M136" s="183"/>
      <c r="N136" s="35"/>
    </row>
    <row r="137" spans="1:14" s="36" customFormat="1" x14ac:dyDescent="0.3">
      <c r="A137" s="74">
        <f t="shared" si="4"/>
        <v>3</v>
      </c>
      <c r="B137" s="75"/>
      <c r="C137" s="53" t="s">
        <v>183</v>
      </c>
      <c r="D137" s="41">
        <f>(2.7*5.4+1.4*1+1.2*0.9)*10.764</f>
        <v>183.63384000000002</v>
      </c>
      <c r="E137" s="41">
        <v>0</v>
      </c>
      <c r="F137" s="57">
        <v>372</v>
      </c>
      <c r="G137" s="74" t="str">
        <f t="shared" si="5"/>
        <v>Ground Floor</v>
      </c>
      <c r="H137" s="75"/>
      <c r="I137" s="35"/>
      <c r="K137" s="58">
        <f t="shared" si="3"/>
        <v>2.0257704135577623</v>
      </c>
      <c r="L137" s="183"/>
      <c r="M137" s="183"/>
      <c r="N137" s="35"/>
    </row>
    <row r="138" spans="1:14" s="36" customFormat="1" x14ac:dyDescent="0.3">
      <c r="A138" s="74">
        <f t="shared" si="4"/>
        <v>4</v>
      </c>
      <c r="B138" s="75"/>
      <c r="C138" s="53" t="s">
        <v>183</v>
      </c>
      <c r="D138" s="41">
        <f>(3.1*5.4+1.8*1+1.2*0.9)*10.764</f>
        <v>211.18968000000004</v>
      </c>
      <c r="E138" s="41">
        <v>0</v>
      </c>
      <c r="F138" s="57">
        <v>427</v>
      </c>
      <c r="G138" s="74" t="str">
        <f t="shared" si="5"/>
        <v>Ground Floor</v>
      </c>
      <c r="H138" s="75"/>
      <c r="I138" s="35"/>
      <c r="K138" s="58">
        <f t="shared" si="3"/>
        <v>2.0218790993953868</v>
      </c>
      <c r="L138" s="183"/>
      <c r="M138" s="183"/>
      <c r="N138" s="35"/>
    </row>
    <row r="139" spans="1:14" s="36" customFormat="1" x14ac:dyDescent="0.3">
      <c r="A139" s="74"/>
      <c r="B139" s="134"/>
      <c r="C139" s="134"/>
      <c r="D139" s="134"/>
      <c r="E139" s="134"/>
      <c r="F139" s="134"/>
      <c r="G139" s="134"/>
      <c r="H139" s="75"/>
      <c r="I139" s="35"/>
      <c r="K139" s="58"/>
      <c r="N139" s="35"/>
    </row>
    <row r="140" spans="1:14" ht="47.25" customHeight="1" x14ac:dyDescent="0.3">
      <c r="A140" s="54" t="s">
        <v>121</v>
      </c>
      <c r="B140" s="54" t="s">
        <v>122</v>
      </c>
      <c r="C140" s="42" t="s">
        <v>58</v>
      </c>
      <c r="D140" s="42" t="s">
        <v>59</v>
      </c>
      <c r="E140" s="55" t="s">
        <v>60</v>
      </c>
      <c r="F140" s="42" t="s">
        <v>208</v>
      </c>
      <c r="G140" s="115" t="s">
        <v>61</v>
      </c>
      <c r="H140" s="116"/>
      <c r="I140" s="35"/>
      <c r="K140" s="59"/>
    </row>
    <row r="141" spans="1:14" s="36" customFormat="1" x14ac:dyDescent="0.3">
      <c r="A141" s="76" t="s">
        <v>182</v>
      </c>
      <c r="B141" s="77"/>
      <c r="C141" s="77"/>
      <c r="D141" s="77"/>
      <c r="E141" s="77"/>
      <c r="F141" s="77"/>
      <c r="G141" s="77"/>
      <c r="H141" s="78"/>
      <c r="J141" s="35"/>
      <c r="K141" s="58"/>
    </row>
    <row r="142" spans="1:14" s="36" customFormat="1" x14ac:dyDescent="0.3">
      <c r="A142" s="189" t="s">
        <v>204</v>
      </c>
      <c r="B142" s="189"/>
      <c r="C142" s="189"/>
      <c r="D142" s="189"/>
      <c r="E142" s="189"/>
      <c r="F142" s="189"/>
      <c r="G142" s="189"/>
      <c r="H142" s="189"/>
      <c r="I142" s="35"/>
      <c r="K142" s="58"/>
      <c r="L142" s="183"/>
      <c r="M142" s="183"/>
    </row>
    <row r="143" spans="1:14" s="36" customFormat="1" x14ac:dyDescent="0.3">
      <c r="A143" s="79">
        <f>LEFT(A142,SUM(LEN(A142)-LEN(SUBSTITUTE(A142,{"0","1","2","3","4","5","6","7","8","9"},""))))*100+1</f>
        <v>101</v>
      </c>
      <c r="B143" s="79"/>
      <c r="C143" s="53">
        <v>1</v>
      </c>
      <c r="D143" s="41">
        <f>(3*2.9+3*1.1+2.4*2.1+2.45*2.95+2.95*1.1+2.45*1.2+1.2*1.95+2.3*0.9+2.9*0.75+2.1*0.75)*10.764</f>
        <v>415.62495000000001</v>
      </c>
      <c r="E143" s="41">
        <v>0</v>
      </c>
      <c r="F143" s="57">
        <v>681</v>
      </c>
      <c r="G143" s="79" t="str">
        <f>A142</f>
        <v>1st Floor for Residential</v>
      </c>
      <c r="H143" s="79"/>
      <c r="I143" s="35"/>
      <c r="K143" s="58">
        <f t="shared" ref="K143:K153" si="6">(F143-E143)/D143</f>
        <v>1.6384964377138571</v>
      </c>
      <c r="N143" s="35"/>
    </row>
    <row r="144" spans="1:14" s="36" customFormat="1" x14ac:dyDescent="0.3">
      <c r="A144" s="79">
        <f t="shared" ref="A144:A153" si="7">A143+1</f>
        <v>102</v>
      </c>
      <c r="B144" s="79"/>
      <c r="C144" s="53">
        <v>2</v>
      </c>
      <c r="D144" s="41">
        <f>(2*2.65+2.65*1.1+2.95*1.6+2.5*2.2+2.2*2.75+3.05*1.2+2.05*1.2+3.775*1.9+3.85*1+1.2*1.25+2.1*0.9+2.65*0.75+2.2*0.75)*10.764</f>
        <v>523.72241999999994</v>
      </c>
      <c r="E144" s="41">
        <v>0</v>
      </c>
      <c r="F144" s="57">
        <v>858</v>
      </c>
      <c r="G144" s="79" t="str">
        <f t="shared" ref="G144:G153" si="8">G143</f>
        <v>1st Floor for Residential</v>
      </c>
      <c r="H144" s="79"/>
      <c r="I144" s="35"/>
      <c r="K144" s="58">
        <f t="shared" si="6"/>
        <v>1.6382724268325195</v>
      </c>
      <c r="N144" s="35"/>
    </row>
    <row r="145" spans="1:14" s="36" customFormat="1" x14ac:dyDescent="0.3">
      <c r="A145" s="79">
        <f t="shared" si="7"/>
        <v>103</v>
      </c>
      <c r="B145" s="79"/>
      <c r="C145" s="53">
        <v>2</v>
      </c>
      <c r="D145" s="41">
        <f>(2*2.65+2.65*1.1+2.95*1.6+2.5*2.2+2.2*2.75+3.05*1.2+2.05*1.2+3.775*1.9+3.85*1+1.2*1.25+2.1*0.9+2.65*0.75+2.2*0.75)*10.764</f>
        <v>523.72241999999994</v>
      </c>
      <c r="E145" s="41">
        <v>0</v>
      </c>
      <c r="F145" s="57">
        <v>858</v>
      </c>
      <c r="G145" s="79" t="str">
        <f t="shared" si="8"/>
        <v>1st Floor for Residential</v>
      </c>
      <c r="H145" s="79"/>
      <c r="I145" s="35"/>
      <c r="K145" s="58">
        <f t="shared" si="6"/>
        <v>1.6382724268325195</v>
      </c>
      <c r="N145" s="35"/>
    </row>
    <row r="146" spans="1:14" s="36" customFormat="1" x14ac:dyDescent="0.3">
      <c r="A146" s="79">
        <f t="shared" si="7"/>
        <v>104</v>
      </c>
      <c r="B146" s="79"/>
      <c r="C146" s="53">
        <v>1</v>
      </c>
      <c r="D146" s="41">
        <f>(3.1*2.9+3*1+2.4*2.1+2.35*2.95+2.95*1.2+2.1*1.2+1.2*1.95+2.3*0.9+2.9*0.75+2.1*0.75)*10.764</f>
        <v>410.99642999999998</v>
      </c>
      <c r="E146" s="41">
        <v>0</v>
      </c>
      <c r="F146" s="57">
        <v>674</v>
      </c>
      <c r="G146" s="79" t="str">
        <f t="shared" si="8"/>
        <v>1st Floor for Residential</v>
      </c>
      <c r="H146" s="79"/>
      <c r="I146" s="35"/>
      <c r="K146" s="58">
        <f t="shared" si="6"/>
        <v>1.6399169209328657</v>
      </c>
      <c r="N146" s="35"/>
    </row>
    <row r="147" spans="1:14" s="36" customFormat="1" x14ac:dyDescent="0.3">
      <c r="A147" s="79">
        <f t="shared" si="7"/>
        <v>105</v>
      </c>
      <c r="B147" s="79"/>
      <c r="C147" s="53">
        <v>1</v>
      </c>
      <c r="D147" s="41">
        <f>(2.25*3.95+3.6*1+2.4*2.1+2.35*2.95+2.95*1.2+2.1*1.2+1.2*1.95+2.3*0.9+3.6*0.75+2.1*0.75)*10.764</f>
        <v>422.00262000000004</v>
      </c>
      <c r="E147" s="41">
        <v>0</v>
      </c>
      <c r="F147" s="57">
        <v>689</v>
      </c>
      <c r="G147" s="79" t="str">
        <f t="shared" si="8"/>
        <v>1st Floor for Residential</v>
      </c>
      <c r="H147" s="79"/>
      <c r="I147" s="35"/>
      <c r="K147" s="58">
        <f t="shared" si="6"/>
        <v>1.6326912851868074</v>
      </c>
      <c r="N147" s="35"/>
    </row>
    <row r="148" spans="1:14" s="36" customFormat="1" x14ac:dyDescent="0.3">
      <c r="A148" s="79">
        <f t="shared" si="7"/>
        <v>106</v>
      </c>
      <c r="B148" s="79"/>
      <c r="C148" s="53">
        <v>2</v>
      </c>
      <c r="D148" s="41">
        <f>(4.5*3.2+2.2*1.75+2.3*1+2.7*2.3+2.7*1.2+2.8*2.9+2.9*1+2.15*1.2+1.25*1.2+0.7*0.7+0.6*0.5+2.2*0.75+2.2*0.9)*10.764</f>
        <v>533.03327999999988</v>
      </c>
      <c r="E148" s="41">
        <f>(2.8*2.7)*10.764</f>
        <v>81.375839999999997</v>
      </c>
      <c r="F148" s="57">
        <v>1017</v>
      </c>
      <c r="G148" s="79" t="str">
        <f t="shared" si="8"/>
        <v>1st Floor for Residential</v>
      </c>
      <c r="H148" s="79"/>
      <c r="I148" s="35"/>
      <c r="K148" s="58">
        <f t="shared" si="6"/>
        <v>1.7552828221157226</v>
      </c>
      <c r="N148" s="35"/>
    </row>
    <row r="149" spans="1:14" s="36" customFormat="1" x14ac:dyDescent="0.3">
      <c r="A149" s="79">
        <f t="shared" si="7"/>
        <v>107</v>
      </c>
      <c r="B149" s="79"/>
      <c r="C149" s="53">
        <v>1</v>
      </c>
      <c r="D149" s="41">
        <f>(4.05*3.2+2.1*2.55+3.05*2.2+3.275*1.25+1.95*1.2+1.95*1.2+2*0.9+2.1*0.75)*10.764</f>
        <v>400.13824499999998</v>
      </c>
      <c r="E149" s="41">
        <f>(2.7*2.7)*10.764</f>
        <v>78.469560000000001</v>
      </c>
      <c r="F149" s="57">
        <v>800</v>
      </c>
      <c r="G149" s="79" t="str">
        <f t="shared" si="8"/>
        <v>1st Floor for Residential</v>
      </c>
      <c r="H149" s="79"/>
      <c r="I149" s="35"/>
      <c r="K149" s="58">
        <f t="shared" si="6"/>
        <v>1.8032028905409929</v>
      </c>
      <c r="N149" s="35"/>
    </row>
    <row r="150" spans="1:14" s="36" customFormat="1" x14ac:dyDescent="0.3">
      <c r="A150" s="79">
        <f t="shared" si="7"/>
        <v>108</v>
      </c>
      <c r="B150" s="79"/>
      <c r="C150" s="53">
        <v>1</v>
      </c>
      <c r="D150" s="41">
        <f>(4.05*3.2+2.1*2.55+3.05*2.2+3.275*1.25+1.95*1.2+1.95*1.2+2*0.9+2.1*0.75)*10.764</f>
        <v>400.13824499999998</v>
      </c>
      <c r="E150" s="41">
        <f>(2.7*2.7)*10.764</f>
        <v>78.469560000000001</v>
      </c>
      <c r="F150" s="57">
        <v>800</v>
      </c>
      <c r="G150" s="79" t="str">
        <f t="shared" si="8"/>
        <v>1st Floor for Residential</v>
      </c>
      <c r="H150" s="79"/>
      <c r="I150" s="35"/>
      <c r="K150" s="58">
        <f t="shared" si="6"/>
        <v>1.8032028905409929</v>
      </c>
      <c r="N150" s="35"/>
    </row>
    <row r="151" spans="1:14" s="36" customFormat="1" x14ac:dyDescent="0.3">
      <c r="A151" s="79">
        <f t="shared" si="7"/>
        <v>109</v>
      </c>
      <c r="B151" s="79"/>
      <c r="C151" s="53">
        <v>2</v>
      </c>
      <c r="D151" s="41">
        <f>(4.5*3.2+2.2*1.75+2.3*1+2.7*2.25+3*1.2+3.65*2.9+1.35*1.9+1.25*1.2+0.7*0.7+0.6*0.5+2.2*0.75+2.2*0.9)*10.764</f>
        <v>530.61137999999994</v>
      </c>
      <c r="E151" s="41">
        <f>(2.8*2.7+2*2.2)*10.764</f>
        <v>128.73743999999999</v>
      </c>
      <c r="F151" s="57">
        <v>1125</v>
      </c>
      <c r="G151" s="79" t="str">
        <f t="shared" si="8"/>
        <v>1st Floor for Residential</v>
      </c>
      <c r="H151" s="79"/>
      <c r="I151" s="35"/>
      <c r="K151" s="58">
        <f t="shared" si="6"/>
        <v>1.8775748081392452</v>
      </c>
      <c r="N151" s="35"/>
    </row>
    <row r="152" spans="1:14" s="36" customFormat="1" x14ac:dyDescent="0.3">
      <c r="A152" s="79">
        <f t="shared" si="7"/>
        <v>110</v>
      </c>
      <c r="B152" s="79"/>
      <c r="C152" s="53">
        <v>1</v>
      </c>
      <c r="D152" s="41">
        <f>(2.9*2.95+2.85*1.15+2.1*2.4+2.95*2.3+2.95*1.25+1.35*1.9+2.25*1.2+2.3*0.9+2.85*0.75+2.1*0.75)*10.764</f>
        <v>413.25687000000005</v>
      </c>
      <c r="E152" s="41">
        <v>0</v>
      </c>
      <c r="F152" s="57">
        <v>678</v>
      </c>
      <c r="G152" s="79" t="str">
        <f t="shared" si="8"/>
        <v>1st Floor for Residential</v>
      </c>
      <c r="H152" s="79"/>
      <c r="I152" s="35"/>
      <c r="K152" s="58">
        <f t="shared" si="6"/>
        <v>1.6406260832397048</v>
      </c>
      <c r="N152" s="35"/>
    </row>
    <row r="153" spans="1:14" s="36" customFormat="1" x14ac:dyDescent="0.3">
      <c r="A153" s="79">
        <f t="shared" si="7"/>
        <v>111</v>
      </c>
      <c r="B153" s="79"/>
      <c r="C153" s="53">
        <v>1</v>
      </c>
      <c r="D153" s="41">
        <f>(2.9*3.1+2.85*1+2.1*2.4+2.95*2.35+3.05*1.2+1.95*1.2+1.2*2.1+2.3*0.9+2.85*0.75+2.1*0.75)*10.764</f>
        <v>410.26986000000005</v>
      </c>
      <c r="E153" s="41">
        <v>0</v>
      </c>
      <c r="F153" s="57">
        <v>672</v>
      </c>
      <c r="G153" s="79" t="str">
        <f t="shared" si="8"/>
        <v>1st Floor for Residential</v>
      </c>
      <c r="H153" s="79"/>
      <c r="I153" s="35"/>
      <c r="K153" s="58">
        <f t="shared" si="6"/>
        <v>1.6379463019779223</v>
      </c>
      <c r="N153" s="35"/>
    </row>
    <row r="154" spans="1:14" s="36" customFormat="1" ht="15.75" customHeight="1" x14ac:dyDescent="0.3">
      <c r="A154" s="76" t="s">
        <v>219</v>
      </c>
      <c r="B154" s="77"/>
      <c r="C154" s="77"/>
      <c r="D154" s="77"/>
      <c r="E154" s="77"/>
      <c r="F154" s="77"/>
      <c r="G154" s="77"/>
      <c r="H154" s="78"/>
      <c r="I154" s="35"/>
      <c r="K154" s="58"/>
    </row>
    <row r="155" spans="1:14" s="36" customFormat="1" x14ac:dyDescent="0.3">
      <c r="A155" s="74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10^ROW(INDIRECT("1:"&amp;LEN((LEFT(A154,SUM(LEN(A154)-LEN(SUBSTITUTE(A154,{"0","1","2"},""))))))))/10))*100+1&amp;""&amp;" ,..,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",LEN(A154))),LEN(A154)))))))/10))*100+1</f>
        <v>201 ,.., 1001</v>
      </c>
      <c r="B155" s="75"/>
      <c r="C155" s="53">
        <v>1</v>
      </c>
      <c r="D155" s="41">
        <f>(3*2.9+3*1.1+2.4*2.1+2.45*2.95+2.95*1.1+2.45*1.2+1.2*1.95+2.3*0.9+2.9*0.75+2.1*0.75)*10.764</f>
        <v>415.62495000000001</v>
      </c>
      <c r="E155" s="41">
        <v>0</v>
      </c>
      <c r="F155" s="57">
        <v>681</v>
      </c>
      <c r="G155" s="74" t="str">
        <f>A154</f>
        <v>2nd to 3rd, 5th to 6th &amp; 8th to 10th Floor</v>
      </c>
      <c r="H155" s="75"/>
      <c r="I155" s="35"/>
      <c r="K155" s="58">
        <f t="shared" ref="K155:K165" si="9">(F155-E155)/D155</f>
        <v>1.6384964377138571</v>
      </c>
    </row>
    <row r="156" spans="1:14" s="36" customFormat="1" x14ac:dyDescent="0.3">
      <c r="A156" s="74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,..,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202 ,.., 1002</v>
      </c>
      <c r="B156" s="75"/>
      <c r="C156" s="53">
        <v>2</v>
      </c>
      <c r="D156" s="41">
        <f>(2*2.65+2.65*1.1+2.95*1.6+2.5*2.2+2.2*2.75+3.05*1.2+2.05*1.2+3.775*1.9+3.85*1+1.2*1.25+2.1*0.9+2.65*0.75+2.2*0.75)*10.764</f>
        <v>523.72241999999994</v>
      </c>
      <c r="E156" s="41">
        <v>0</v>
      </c>
      <c r="F156" s="57">
        <v>858</v>
      </c>
      <c r="G156" s="74" t="str">
        <f t="shared" ref="G156:G165" si="10">G155</f>
        <v>2nd to 3rd, 5th to 6th &amp; 8th to 10th Floor</v>
      </c>
      <c r="H156" s="75"/>
      <c r="I156" s="35"/>
      <c r="K156" s="58">
        <f t="shared" si="9"/>
        <v>1.6382724268325195</v>
      </c>
    </row>
    <row r="157" spans="1:14" s="36" customFormat="1" ht="15.75" customHeight="1" x14ac:dyDescent="0.3">
      <c r="A157" s="74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,..,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203 ,.., 1003</v>
      </c>
      <c r="B157" s="75"/>
      <c r="C157" s="53">
        <v>2</v>
      </c>
      <c r="D157" s="41">
        <f>(2*2.65+2.65*1.1+2.95*1.6+2.5*2.2+2.2*2.75+3.05*1.2+2.05*1.2+3.775*1.9+3.85*1+1.2*1.25+2.1*0.9+2.65*0.75+2.2*0.75)*10.764</f>
        <v>523.72241999999994</v>
      </c>
      <c r="E157" s="41">
        <v>0</v>
      </c>
      <c r="F157" s="57">
        <v>858</v>
      </c>
      <c r="G157" s="74" t="str">
        <f t="shared" si="10"/>
        <v>2nd to 3rd, 5th to 6th &amp; 8th to 10th Floor</v>
      </c>
      <c r="H157" s="75"/>
      <c r="I157" s="35"/>
      <c r="K157" s="58">
        <f t="shared" si="9"/>
        <v>1.6382724268325195</v>
      </c>
    </row>
    <row r="158" spans="1:14" s="36" customFormat="1" ht="15.75" customHeight="1" x14ac:dyDescent="0.3">
      <c r="A158" s="74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,..,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204 ,.., 1004</v>
      </c>
      <c r="B158" s="75"/>
      <c r="C158" s="53">
        <v>1</v>
      </c>
      <c r="D158" s="41">
        <f>(3.1*2.9+3*1+2.4*2.1+2.35*2.95+2.95*1.2+2.1*1.2+1.2*1.95+2.3*0.9+2.9*0.75+2.1*0.75)*10.764</f>
        <v>410.99642999999998</v>
      </c>
      <c r="E158" s="41">
        <v>0</v>
      </c>
      <c r="F158" s="57">
        <v>674</v>
      </c>
      <c r="G158" s="74" t="str">
        <f t="shared" si="10"/>
        <v>2nd to 3rd, 5th to 6th &amp; 8th to 10th Floor</v>
      </c>
      <c r="H158" s="75"/>
      <c r="I158" s="35"/>
      <c r="K158" s="58">
        <f t="shared" si="9"/>
        <v>1.6399169209328657</v>
      </c>
    </row>
    <row r="159" spans="1:14" s="36" customFormat="1" ht="15.75" customHeight="1" x14ac:dyDescent="0.3">
      <c r="A159" s="74" t="str">
        <f ca="1">(SUMPRODUCT(MID(0&amp;(LEFT(A158,SUM(LEN(A158)-LEN(SUBSTITUTE(A158,{"0","1","2"},""))))), LARGE(INDEX(ISNUMBER(--MID((LEFT(A158,SUM(LEN(A158)-LEN(SUBSTITUTE(A158,{"0","1","2"},""))))), ROW(INDIRECT("1:"&amp;LEN((LEFT(A158,SUM(LEN(A158)-LEN(SUBSTITUTE(A158,{"0","1","2"},"")))))))), 1)) * ROW(INDIRECT("1:"&amp;LEN((LEFT(A158,SUM(LEN(A158)-LEN(SUBSTITUTE(A158,{"0","1","2"},"")))))))), 0), ROW(INDIRECT("1:"&amp;LEN((LEFT(A158,SUM(LEN(A158)-LEN(SUBSTITUTE(A158,{"0","1","2"},"")))))))))+1, 1) * 10^ROW(INDIRECT("1:"&amp;LEN((LEFT(A158,SUM(LEN(A158)-LEN(SUBSTITUTE(A158,{"0","1","2"},""))))))))/10))*1+1&amp;""&amp;" ,.., "&amp;""&amp;(SUMPRODUCT(MID(0&amp;(--TRIM(RIGHT(SUBSTITUTE(LEFT(A158,_xlfn.AGGREGATE(16,6,FIND({0,1,2,3,4,5,6,7,8,9},A158,ROW(INDIRECT("1:"&amp;LEN(A158)))),1))," ",REPT(" ",LEN(A158))),LEN(A158)))), LARGE(INDEX(ISNUMBER(--MID((--TRIM(RIGHT(SUBSTITUTE(LEFT(A158,_xlfn.AGGREGATE(16,6,FIND({0,1,2,3,4,5,6,7,8,9},A158,ROW(INDIRECT("1:"&amp;LEN(A158)))),1))," ",REPT(" ",LEN(A158))),LEN(A158)))), ROW(INDIRECT("1:"&amp;LEN((--TRIM(RIGHT(SUBSTITUTE(LEFT(A158,_xlfn.AGGREGATE(16,6,FIND({0,1,2,3,4,5,6,7,8,9},A158,ROW(INDIRECT("1:"&amp;LEN(A158)))),1))," ",REPT(" ",LEN(A158))),LEN(A158))))))), 1)) * ROW(INDIRECT("1:"&amp;LEN((--TRIM(RIGHT(SUBSTITUTE(LEFT(A158,_xlfn.AGGREGATE(16,6,FIND({0,1,2,3,4,5,6,7,8,9},A158,ROW(INDIRECT("1:"&amp;LEN(A158)))),1))," ",REPT(" ",LEN(A158))),LEN(A158))))))), 0), ROW(INDIRECT("1:"&amp;LEN((--TRIM(RIGHT(SUBSTITUTE(LEFT(A158,_xlfn.AGGREGATE(16,6,FIND({0,1,2,3,4,5,6,7,8,9},A158,ROW(INDIRECT("1:"&amp;LEN(A158)))),1))," ",REPT(" ",LEN(A158))),LEN(A158))))))))+1, 1) * 10^ROW(INDIRECT("1:"&amp;LEN((--TRIM(RIGHT(SUBSTITUTE(LEFT(A158,_xlfn.AGGREGATE(16,6,FIND({0,1,2,3,4,5,6,7,8,9},A158,ROW(INDIRECT("1:"&amp;LEN(A158)))),1))," ",REPT(" ",LEN(A158))),LEN(A158)))))))/10))*1+1</f>
        <v>205 ,.., 1005</v>
      </c>
      <c r="B159" s="75"/>
      <c r="C159" s="53">
        <v>1</v>
      </c>
      <c r="D159" s="41">
        <f>(2.25*3.95+3.6*1+2.4*2.1+2.35*2.95+2.95*1.2+2.1*1.2+1.2*1.95+2.3*0.9+3.6*0.75+2.1*0.75)*10.764</f>
        <v>422.00262000000004</v>
      </c>
      <c r="E159" s="41">
        <v>0</v>
      </c>
      <c r="F159" s="57">
        <v>689</v>
      </c>
      <c r="G159" s="74" t="str">
        <f t="shared" si="10"/>
        <v>2nd to 3rd, 5th to 6th &amp; 8th to 10th Floor</v>
      </c>
      <c r="H159" s="75"/>
      <c r="I159" s="35"/>
      <c r="K159" s="58">
        <f t="shared" si="9"/>
        <v>1.6326912851868074</v>
      </c>
    </row>
    <row r="160" spans="1:14" s="36" customFormat="1" x14ac:dyDescent="0.3">
      <c r="A160" s="74" t="str">
        <f ca="1">(SUMPRODUCT(MID(0&amp;(LEFT(A159,SUM(LEN(A159)-LEN(SUBSTITUTE(A159,{"0","1","2"},""))))), LARGE(INDEX(ISNUMBER(--MID((LEFT(A159,SUM(LEN(A159)-LEN(SUBSTITUTE(A159,{"0","1","2"},""))))), ROW(INDIRECT("1:"&amp;LEN((LEFT(A159,SUM(LEN(A159)-LEN(SUBSTITUTE(A159,{"0","1","2"},"")))))))), 1)) * ROW(INDIRECT("1:"&amp;LEN((LEFT(A159,SUM(LEN(A159)-LEN(SUBSTITUTE(A159,{"0","1","2"},"")))))))), 0), ROW(INDIRECT("1:"&amp;LEN((LEFT(A159,SUM(LEN(A159)-LEN(SUBSTITUTE(A159,{"0","1","2"},"")))))))))+1, 1) * 10^ROW(INDIRECT("1:"&amp;LEN((LEFT(A159,SUM(LEN(A159)-LEN(SUBSTITUTE(A159,{"0","1","2"},""))))))))/10))*1+1&amp;""&amp;" ,.., "&amp;""&amp;(SUMPRODUCT(MID(0&amp;(--TRIM(RIGHT(SUBSTITUTE(LEFT(A159,_xlfn.AGGREGATE(16,6,FIND({0,1,2,3,4,5,6,7,8,9},A159,ROW(INDIRECT("1:"&amp;LEN(A159)))),1))," ",REPT(" ",LEN(A159))),LEN(A159)))), LARGE(INDEX(ISNUMBER(--MID((--TRIM(RIGHT(SUBSTITUTE(LEFT(A159,_xlfn.AGGREGATE(16,6,FIND({0,1,2,3,4,5,6,7,8,9},A159,ROW(INDIRECT("1:"&amp;LEN(A159)))),1))," ",REPT(" ",LEN(A159))),LEN(A159)))), ROW(INDIRECT("1:"&amp;LEN((--TRIM(RIGHT(SUBSTITUTE(LEFT(A159,_xlfn.AGGREGATE(16,6,FIND({0,1,2,3,4,5,6,7,8,9},A159,ROW(INDIRECT("1:"&amp;LEN(A159)))),1))," ",REPT(" ",LEN(A159))),LEN(A159))))))), 1)) * ROW(INDIRECT("1:"&amp;LEN((--TRIM(RIGHT(SUBSTITUTE(LEFT(A159,_xlfn.AGGREGATE(16,6,FIND({0,1,2,3,4,5,6,7,8,9},A159,ROW(INDIRECT("1:"&amp;LEN(A159)))),1))," ",REPT(" ",LEN(A159))),LEN(A159))))))), 0), ROW(INDIRECT("1:"&amp;LEN((--TRIM(RIGHT(SUBSTITUTE(LEFT(A159,_xlfn.AGGREGATE(16,6,FIND({0,1,2,3,4,5,6,7,8,9},A159,ROW(INDIRECT("1:"&amp;LEN(A159)))),1))," ",REPT(" ",LEN(A159))),LEN(A159))))))))+1, 1) * 10^ROW(INDIRECT("1:"&amp;LEN((--TRIM(RIGHT(SUBSTITUTE(LEFT(A159,_xlfn.AGGREGATE(16,6,FIND({0,1,2,3,4,5,6,7,8,9},A159,ROW(INDIRECT("1:"&amp;LEN(A159)))),1))," ",REPT(" ",LEN(A159))),LEN(A159)))))))/10))*1+1</f>
        <v>206 ,.., 1006</v>
      </c>
      <c r="B160" s="75"/>
      <c r="C160" s="53">
        <v>2</v>
      </c>
      <c r="D160" s="41">
        <f>(4.5*2.15+2.975*1.2+1.6*1.05+2.2*1.75+2.3*1+2.7*2.3+2.7*1.2+2.8*2.9+2.9*1+2.15*1.2+1.25*1.2+0.7*0.7+0.6*0.5+2.2*0.9+2.2*0.75+2.975*0.75)*10.764</f>
        <v>562.70155499999987</v>
      </c>
      <c r="E160" s="41">
        <v>0</v>
      </c>
      <c r="F160" s="57">
        <v>905</v>
      </c>
      <c r="G160" s="74" t="str">
        <f t="shared" si="10"/>
        <v>2nd to 3rd, 5th to 6th &amp; 8th to 10th Floor</v>
      </c>
      <c r="H160" s="75"/>
      <c r="I160" s="35"/>
      <c r="K160" s="58">
        <f t="shared" si="9"/>
        <v>1.6083125983186597</v>
      </c>
    </row>
    <row r="161" spans="1:13" s="36" customFormat="1" ht="15.75" customHeight="1" x14ac:dyDescent="0.3">
      <c r="A161" s="74" t="str">
        <f ca="1">(SUMPRODUCT(MID(0&amp;(LEFT(A160,SUM(LEN(A160)-LEN(SUBSTITUTE(A160,{"0","1","2"},""))))), LARGE(INDEX(ISNUMBER(--MID((LEFT(A160,SUM(LEN(A160)-LEN(SUBSTITUTE(A160,{"0","1","2"},""))))), ROW(INDIRECT("1:"&amp;LEN((LEFT(A160,SUM(LEN(A160)-LEN(SUBSTITUTE(A160,{"0","1","2"},"")))))))), 1)) * ROW(INDIRECT("1:"&amp;LEN((LEFT(A160,SUM(LEN(A160)-LEN(SUBSTITUTE(A160,{"0","1","2"},"")))))))), 0), ROW(INDIRECT("1:"&amp;LEN((LEFT(A160,SUM(LEN(A160)-LEN(SUBSTITUTE(A160,{"0","1","2"},"")))))))))+1, 1) * 10^ROW(INDIRECT("1:"&amp;LEN((LEFT(A160,SUM(LEN(A160)-LEN(SUBSTITUTE(A160,{"0","1","2"},""))))))))/10))*1+1&amp;""&amp;" ,.., "&amp;""&amp;(SUMPRODUCT(MID(0&amp;(--TRIM(RIGHT(SUBSTITUTE(LEFT(A160,_xlfn.AGGREGATE(16,6,FIND({0,1,2,3,4,5,6,7,8,9},A160,ROW(INDIRECT("1:"&amp;LEN(A160)))),1))," ",REPT(" ",LEN(A160))),LEN(A160)))), LARGE(INDEX(ISNUMBER(--MID((--TRIM(RIGHT(SUBSTITUTE(LEFT(A160,_xlfn.AGGREGATE(16,6,FIND({0,1,2,3,4,5,6,7,8,9},A160,ROW(INDIRECT("1:"&amp;LEN(A160)))),1))," ",REPT(" ",LEN(A160))),LEN(A160)))), ROW(INDIRECT("1:"&amp;LEN((--TRIM(RIGHT(SUBSTITUTE(LEFT(A160,_xlfn.AGGREGATE(16,6,FIND({0,1,2,3,4,5,6,7,8,9},A160,ROW(INDIRECT("1:"&amp;LEN(A160)))),1))," ",REPT(" ",LEN(A160))),LEN(A160))))))), 1)) * ROW(INDIRECT("1:"&amp;LEN((--TRIM(RIGHT(SUBSTITUTE(LEFT(A160,_xlfn.AGGREGATE(16,6,FIND({0,1,2,3,4,5,6,7,8,9},A160,ROW(INDIRECT("1:"&amp;LEN(A160)))),1))," ",REPT(" ",LEN(A160))),LEN(A160))))))), 0), ROW(INDIRECT("1:"&amp;LEN((--TRIM(RIGHT(SUBSTITUTE(LEFT(A160,_xlfn.AGGREGATE(16,6,FIND({0,1,2,3,4,5,6,7,8,9},A160,ROW(INDIRECT("1:"&amp;LEN(A160)))),1))," ",REPT(" ",LEN(A160))),LEN(A160))))))))+1, 1) * 10^ROW(INDIRECT("1:"&amp;LEN((--TRIM(RIGHT(SUBSTITUTE(LEFT(A160,_xlfn.AGGREGATE(16,6,FIND({0,1,2,3,4,5,6,7,8,9},A160,ROW(INDIRECT("1:"&amp;LEN(A160)))),1))," ",REPT(" ",LEN(A160))),LEN(A160)))))))/10))*1+1</f>
        <v>207 ,.., 1007</v>
      </c>
      <c r="B161" s="75"/>
      <c r="C161" s="53">
        <v>1</v>
      </c>
      <c r="D161" s="41">
        <f>(4.05*2.15+2.825*1.2+1.3*1.2+2.1*2.55+3.05*2.2+3.275*1.25+1.95*1.2+1.95*1.2+2*0.9+2.1*0.75+2.825*0.75)*10.764</f>
        <v>430.45236</v>
      </c>
      <c r="E161" s="41">
        <v>0</v>
      </c>
      <c r="F161" s="57">
        <v>693</v>
      </c>
      <c r="G161" s="74" t="str">
        <f t="shared" si="10"/>
        <v>2nd to 3rd, 5th to 6th &amp; 8th to 10th Floor</v>
      </c>
      <c r="H161" s="75"/>
      <c r="I161" s="35"/>
      <c r="K161" s="58">
        <f t="shared" si="9"/>
        <v>1.6099342561392858</v>
      </c>
    </row>
    <row r="162" spans="1:13" s="36" customFormat="1" ht="15.75" customHeight="1" x14ac:dyDescent="0.3">
      <c r="A162" s="74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10^ROW(INDIRECT("1:"&amp;LEN((LEFT(A161,SUM(LEN(A161)-LEN(SUBSTITUTE(A161,{"0","1","2"},""))))))))/10))*1+1&amp;""&amp;" ,..,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",LEN(A161))),LEN(A161)))))))/10))*1+1</f>
        <v>208 ,.., 1008</v>
      </c>
      <c r="B162" s="75"/>
      <c r="C162" s="53">
        <v>1</v>
      </c>
      <c r="D162" s="41">
        <f>(4.05*2.15+2.825*1.2+1.3*1.2+2.1*2.55+3.05*2.2+3.275*1.25+1.95*1.2+1.95*1.2+2*0.9+2.1*0.75+2.825*0.75)*10.764</f>
        <v>430.45236</v>
      </c>
      <c r="E162" s="41">
        <v>0</v>
      </c>
      <c r="F162" s="57">
        <v>693</v>
      </c>
      <c r="G162" s="74" t="str">
        <f t="shared" si="10"/>
        <v>2nd to 3rd, 5th to 6th &amp; 8th to 10th Floor</v>
      </c>
      <c r="H162" s="75"/>
      <c r="I162" s="35"/>
      <c r="K162" s="58">
        <f t="shared" si="9"/>
        <v>1.6099342561392858</v>
      </c>
    </row>
    <row r="163" spans="1:13" s="36" customFormat="1" ht="15.75" customHeight="1" x14ac:dyDescent="0.3">
      <c r="A163" s="74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,..,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209 ,.., 1009</v>
      </c>
      <c r="B163" s="75"/>
      <c r="C163" s="53">
        <v>2</v>
      </c>
      <c r="D163" s="41">
        <f>(4.5*2.15+3.125*1.2+1.45*1.05+2.2*1.75+2.3*1+2.7*2.25+3*1.2+3.65*2.9+1.35*1.9+1.25*1.2+0.7*0.7+0.6*0.5+2.2*0.9+2.2*0.75+2.9*0.75)*10.764</f>
        <v>559.91636999999992</v>
      </c>
      <c r="E163" s="41">
        <v>0</v>
      </c>
      <c r="F163" s="57">
        <v>901</v>
      </c>
      <c r="G163" s="74" t="str">
        <f t="shared" si="10"/>
        <v>2nd to 3rd, 5th to 6th &amp; 8th to 10th Floor</v>
      </c>
      <c r="H163" s="75"/>
      <c r="I163" s="35"/>
      <c r="K163" s="58">
        <f t="shared" si="9"/>
        <v>1.6091688835602362</v>
      </c>
    </row>
    <row r="164" spans="1:13" s="36" customFormat="1" ht="15.75" customHeight="1" x14ac:dyDescent="0.3">
      <c r="A164" s="74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,..,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210 ,.., 1010</v>
      </c>
      <c r="B164" s="75"/>
      <c r="C164" s="53">
        <v>1</v>
      </c>
      <c r="D164" s="41">
        <f>(2.9*2.95+2.85*1.15+2.1*2.4+2.95*2.3+2.95*1.25+1.35*1.9+2.25*1.2+2.3*0.9+2.85*0.75+2.1*0.75)*10.764</f>
        <v>413.25687000000005</v>
      </c>
      <c r="E164" s="41">
        <v>0</v>
      </c>
      <c r="F164" s="57">
        <v>678</v>
      </c>
      <c r="G164" s="74" t="str">
        <f t="shared" si="10"/>
        <v>2nd to 3rd, 5th to 6th &amp; 8th to 10th Floor</v>
      </c>
      <c r="H164" s="75"/>
      <c r="I164" s="35"/>
      <c r="K164" s="58">
        <f t="shared" si="9"/>
        <v>1.6406260832397048</v>
      </c>
    </row>
    <row r="165" spans="1:13" s="36" customFormat="1" ht="15.75" customHeight="1" x14ac:dyDescent="0.3">
      <c r="A165" s="74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,..,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211 ,.., 1011</v>
      </c>
      <c r="B165" s="75"/>
      <c r="C165" s="53">
        <v>1</v>
      </c>
      <c r="D165" s="41">
        <f>(2.9*3.1+2.85*1+2.1*2.4+2.95*2.35+3.05*1.2+1.95*1.2+1.2*2.1+2.3*0.9+2.85*0.75+2.1*0.75)*10.764</f>
        <v>410.26986000000005</v>
      </c>
      <c r="E165" s="41">
        <v>0</v>
      </c>
      <c r="F165" s="57">
        <v>672</v>
      </c>
      <c r="G165" s="74" t="str">
        <f t="shared" si="10"/>
        <v>2nd to 3rd, 5th to 6th &amp; 8th to 10th Floor</v>
      </c>
      <c r="H165" s="75"/>
      <c r="I165" s="35"/>
      <c r="K165" s="58">
        <f t="shared" si="9"/>
        <v>1.6379463019779223</v>
      </c>
    </row>
    <row r="166" spans="1:13" s="36" customFormat="1" ht="15.75" customHeight="1" x14ac:dyDescent="0.3">
      <c r="A166" s="76" t="s">
        <v>217</v>
      </c>
      <c r="B166" s="77"/>
      <c r="C166" s="77"/>
      <c r="D166" s="77"/>
      <c r="E166" s="77"/>
      <c r="F166" s="77"/>
      <c r="G166" s="77"/>
      <c r="H166" s="78"/>
      <c r="I166" s="35"/>
      <c r="K166" s="58"/>
    </row>
    <row r="167" spans="1:13" s="36" customFormat="1" x14ac:dyDescent="0.3">
      <c r="A167" s="79">
        <f>LEFT(A166,SUM(LEN(A166)-LEN(SUBSTITUTE(A166,{"0","1","2","3","4","5","6","7","8","9"},""))))*100+1</f>
        <v>401</v>
      </c>
      <c r="B167" s="79"/>
      <c r="C167" s="53">
        <v>1</v>
      </c>
      <c r="D167" s="41">
        <f>(3*2.9+3*1.1+2.4*2.1+2.45*2.95+2.95*1.1+2.45*1.2+1.2*1.95+2.3*0.9+2.9*0.75+2.1*0.75)*10.764</f>
        <v>415.62495000000001</v>
      </c>
      <c r="E167" s="41">
        <v>0</v>
      </c>
      <c r="F167" s="57">
        <v>681</v>
      </c>
      <c r="G167" s="74" t="str">
        <f>A166</f>
        <v>4th Floor</v>
      </c>
      <c r="H167" s="75"/>
      <c r="I167" s="35"/>
      <c r="K167" s="58">
        <f t="shared" ref="K167:K177" si="11">(F167-E167)/D167</f>
        <v>1.6384964377138571</v>
      </c>
    </row>
    <row r="168" spans="1:13" s="36" customFormat="1" x14ac:dyDescent="0.3">
      <c r="A168" s="74">
        <f>A167+1</f>
        <v>402</v>
      </c>
      <c r="B168" s="75"/>
      <c r="C168" s="53">
        <v>2</v>
      </c>
      <c r="D168" s="41">
        <f>(2*2.65+2.65*1.1+2.95*1.6+2.5*2.2+2.2*2.75+3.05*1.2+2.05*1.2+3.775*1.9+3.85*1+1.2*1.25+2.1*0.9+2.65*0.75+2.2*0.75)*10.764</f>
        <v>523.72241999999994</v>
      </c>
      <c r="E168" s="41">
        <v>0</v>
      </c>
      <c r="F168" s="57">
        <v>858</v>
      </c>
      <c r="G168" s="74" t="str">
        <f t="shared" ref="G168:G177" si="12">G167</f>
        <v>4th Floor</v>
      </c>
      <c r="H168" s="75"/>
      <c r="I168" s="35"/>
      <c r="K168" s="58">
        <f t="shared" si="11"/>
        <v>1.6382724268325195</v>
      </c>
    </row>
    <row r="169" spans="1:13" s="36" customFormat="1" ht="15.75" customHeight="1" x14ac:dyDescent="0.3">
      <c r="A169" s="74">
        <f t="shared" ref="A169:A177" si="13">A168+1</f>
        <v>403</v>
      </c>
      <c r="B169" s="75"/>
      <c r="C169" s="53">
        <v>2</v>
      </c>
      <c r="D169" s="41">
        <f>(2*2.65+2.65*1.1+2.95*1.6+2.5*2.2+2.2*2.75+3.05*1.2+2.05*1.2+3.775*1.9+3.85*1+1.2*1.25+2.1*0.9+2.65*0.75+2.2*0.75)*10.764</f>
        <v>523.72241999999994</v>
      </c>
      <c r="E169" s="41">
        <v>0</v>
      </c>
      <c r="F169" s="57">
        <v>858</v>
      </c>
      <c r="G169" s="74" t="str">
        <f t="shared" si="12"/>
        <v>4th Floor</v>
      </c>
      <c r="H169" s="75"/>
      <c r="I169" s="35"/>
      <c r="K169" s="58">
        <f t="shared" si="11"/>
        <v>1.6382724268325195</v>
      </c>
    </row>
    <row r="170" spans="1:13" s="36" customFormat="1" ht="15.75" customHeight="1" x14ac:dyDescent="0.3">
      <c r="A170" s="74">
        <f t="shared" si="13"/>
        <v>404</v>
      </c>
      <c r="B170" s="75"/>
      <c r="C170" s="53">
        <v>1</v>
      </c>
      <c r="D170" s="41">
        <f>(3.1*2.9+3*1+2.4*2.1+2.35*2.95+2.95*1.2+2.1*1.2+1.2*1.95+2.3*0.9+2.9*0.75+2.1*0.75)*10.764</f>
        <v>410.99642999999998</v>
      </c>
      <c r="E170" s="41">
        <v>0</v>
      </c>
      <c r="F170" s="57">
        <v>674</v>
      </c>
      <c r="G170" s="74" t="str">
        <f t="shared" si="12"/>
        <v>4th Floor</v>
      </c>
      <c r="H170" s="75"/>
      <c r="I170" s="35"/>
      <c r="K170" s="58">
        <f t="shared" si="11"/>
        <v>1.6399169209328657</v>
      </c>
    </row>
    <row r="171" spans="1:13" s="36" customFormat="1" ht="15.75" customHeight="1" x14ac:dyDescent="0.3">
      <c r="A171" s="74">
        <f t="shared" si="13"/>
        <v>405</v>
      </c>
      <c r="B171" s="75"/>
      <c r="C171" s="53">
        <v>1</v>
      </c>
      <c r="D171" s="41">
        <f>(2.25*3.95+3.6*1+2.4*2.1+2.35*2.95+2.95*1.2+2.1*1.2+1.2*1.95+2.3*0.9+3.6*0.75+2.1*0.75)*10.764</f>
        <v>422.00262000000004</v>
      </c>
      <c r="E171" s="41">
        <v>0</v>
      </c>
      <c r="F171" s="57">
        <v>689</v>
      </c>
      <c r="G171" s="74" t="str">
        <f t="shared" si="12"/>
        <v>4th Floor</v>
      </c>
      <c r="H171" s="75"/>
      <c r="I171" s="35"/>
      <c r="K171" s="58">
        <f t="shared" si="11"/>
        <v>1.6326912851868074</v>
      </c>
    </row>
    <row r="172" spans="1:13" s="36" customFormat="1" x14ac:dyDescent="0.3">
      <c r="A172" s="74">
        <f t="shared" si="13"/>
        <v>406</v>
      </c>
      <c r="B172" s="75"/>
      <c r="C172" s="53">
        <v>2</v>
      </c>
      <c r="D172" s="41">
        <f>(4.5*2.15+2.975*1.2+1.6*1.05+2.2*1.75+2.3*1+2.7*2.3+2.7*1.2+2.8*2.9+2.9*1+2.15*1.2+1.25*1.2+0.7*0.7+0.6*0.5+2.2*0.9+2.2*0.75+2.975*0.75)*10.764</f>
        <v>562.70155499999987</v>
      </c>
      <c r="E172" s="41">
        <v>0</v>
      </c>
      <c r="F172" s="57">
        <v>905</v>
      </c>
      <c r="G172" s="74" t="str">
        <f t="shared" si="12"/>
        <v>4th Floor</v>
      </c>
      <c r="H172" s="75"/>
      <c r="I172" s="35"/>
      <c r="K172" s="58">
        <f t="shared" si="11"/>
        <v>1.6083125983186597</v>
      </c>
    </row>
    <row r="173" spans="1:13" s="36" customFormat="1" ht="15.75" customHeight="1" x14ac:dyDescent="0.3">
      <c r="A173" s="74">
        <f t="shared" si="13"/>
        <v>407</v>
      </c>
      <c r="B173" s="75"/>
      <c r="C173" s="53">
        <v>1</v>
      </c>
      <c r="D173" s="41">
        <f>(4.05*2.15+2.825*1.2+1.3*1.2+2.1*2.55+3.05*2.2+3.275*1.25+1.95*1.2+1.95*1.2+2*0.9+2.1*0.75+2.825*0.75)*10.764</f>
        <v>430.45236</v>
      </c>
      <c r="E173" s="41">
        <v>0</v>
      </c>
      <c r="F173" s="57">
        <v>710</v>
      </c>
      <c r="G173" s="74" t="str">
        <f t="shared" si="12"/>
        <v>4th Floor</v>
      </c>
      <c r="H173" s="75"/>
      <c r="I173" s="66" t="s">
        <v>218</v>
      </c>
      <c r="J173" s="67"/>
      <c r="K173" s="67"/>
      <c r="L173" s="67"/>
      <c r="M173" s="67"/>
    </row>
    <row r="174" spans="1:13" s="36" customFormat="1" ht="15.75" customHeight="1" x14ac:dyDescent="0.3">
      <c r="A174" s="74">
        <f t="shared" si="13"/>
        <v>408</v>
      </c>
      <c r="B174" s="75"/>
      <c r="C174" s="53">
        <v>1</v>
      </c>
      <c r="D174" s="41">
        <f>(4.05*2.15+2.825*1.2+1.3*1.2+2.1*2.55+3.05*2.2+3.275*1.25+1.95*1.2+1.95*1.2+2*0.9+2.1*0.75+2.825*0.75)*10.764</f>
        <v>430.45236</v>
      </c>
      <c r="E174" s="41">
        <v>0</v>
      </c>
      <c r="F174" s="57">
        <v>693</v>
      </c>
      <c r="G174" s="74" t="str">
        <f t="shared" si="12"/>
        <v>4th Floor</v>
      </c>
      <c r="H174" s="75"/>
      <c r="I174" s="35"/>
      <c r="K174" s="58">
        <f t="shared" si="11"/>
        <v>1.6099342561392858</v>
      </c>
    </row>
    <row r="175" spans="1:13" s="36" customFormat="1" ht="15.75" customHeight="1" x14ac:dyDescent="0.3">
      <c r="A175" s="74">
        <f t="shared" si="13"/>
        <v>409</v>
      </c>
      <c r="B175" s="75"/>
      <c r="C175" s="53">
        <v>2</v>
      </c>
      <c r="D175" s="41">
        <f>(4.5*2.15+3.125*1.2+1.45*1.05+2.2*1.75+2.3*1+2.7*2.25+3*1.2+3.65*2.9+1.35*1.9+1.25*1.2+0.7*0.7+0.6*0.5+2.2*0.9+2.2*0.75+2.9*0.75)*10.764</f>
        <v>559.91636999999992</v>
      </c>
      <c r="E175" s="41">
        <v>0</v>
      </c>
      <c r="F175" s="57">
        <v>901</v>
      </c>
      <c r="G175" s="74" t="str">
        <f t="shared" si="12"/>
        <v>4th Floor</v>
      </c>
      <c r="H175" s="75"/>
      <c r="I175" s="35"/>
      <c r="K175" s="58">
        <f t="shared" si="11"/>
        <v>1.6091688835602362</v>
      </c>
    </row>
    <row r="176" spans="1:13" s="36" customFormat="1" ht="15.75" customHeight="1" x14ac:dyDescent="0.3">
      <c r="A176" s="74">
        <f t="shared" si="13"/>
        <v>410</v>
      </c>
      <c r="B176" s="75"/>
      <c r="C176" s="53">
        <v>1</v>
      </c>
      <c r="D176" s="41">
        <f>(2.9*2.95+2.85*1.15+2.1*2.4+2.95*2.3+2.95*1.25+1.35*1.9+2.25*1.2+2.3*0.9+2.85*0.75+2.1*0.75)*10.764</f>
        <v>413.25687000000005</v>
      </c>
      <c r="E176" s="41">
        <v>0</v>
      </c>
      <c r="F176" s="57">
        <v>678</v>
      </c>
      <c r="G176" s="74" t="str">
        <f t="shared" si="12"/>
        <v>4th Floor</v>
      </c>
      <c r="H176" s="75"/>
      <c r="I176" s="35"/>
      <c r="K176" s="58">
        <f t="shared" si="11"/>
        <v>1.6406260832397048</v>
      </c>
    </row>
    <row r="177" spans="1:14" s="36" customFormat="1" ht="15.75" customHeight="1" x14ac:dyDescent="0.3">
      <c r="A177" s="74">
        <f t="shared" si="13"/>
        <v>411</v>
      </c>
      <c r="B177" s="75"/>
      <c r="C177" s="53">
        <v>1</v>
      </c>
      <c r="D177" s="41">
        <f>(2.9*3.1+2.85*1+2.1*2.4+2.95*2.35+3.05*1.2+1.95*1.2+1.2*2.1+2.3*0.9+2.85*0.75+2.1*0.75)*10.764</f>
        <v>410.26986000000005</v>
      </c>
      <c r="E177" s="41">
        <v>0</v>
      </c>
      <c r="F177" s="57">
        <v>672</v>
      </c>
      <c r="G177" s="74" t="str">
        <f t="shared" si="12"/>
        <v>4th Floor</v>
      </c>
      <c r="H177" s="75"/>
      <c r="I177" s="35"/>
      <c r="K177" s="58">
        <f t="shared" si="11"/>
        <v>1.6379463019779223</v>
      </c>
    </row>
    <row r="178" spans="1:14" s="36" customFormat="1" x14ac:dyDescent="0.3">
      <c r="A178" s="189" t="s">
        <v>186</v>
      </c>
      <c r="B178" s="189"/>
      <c r="C178" s="189"/>
      <c r="D178" s="189"/>
      <c r="E178" s="189"/>
      <c r="F178" s="189"/>
      <c r="G178" s="189"/>
      <c r="H178" s="189"/>
      <c r="I178" s="35"/>
      <c r="K178" s="58"/>
      <c r="L178" s="183"/>
      <c r="M178" s="183"/>
    </row>
    <row r="179" spans="1:14" s="36" customFormat="1" x14ac:dyDescent="0.3">
      <c r="A179" s="79">
        <f>LEFT(A178,SUM(LEN(A178)-LEN(SUBSTITUTE(A178,{"0","1","2","3","4","5","6","7","8","9"},""))))*100+1</f>
        <v>701</v>
      </c>
      <c r="B179" s="79"/>
      <c r="C179" s="53">
        <v>1</v>
      </c>
      <c r="D179" s="41">
        <f>(3*2.9+3*1.1+2.4*2.1+2.45*2.95+2.95*1.1+2.45*1.2+1.2*1.95+2.3*0.9+2.9*0.75+2.1*0.75)*10.764</f>
        <v>415.62495000000001</v>
      </c>
      <c r="E179" s="41">
        <v>0</v>
      </c>
      <c r="F179" s="57">
        <v>681</v>
      </c>
      <c r="G179" s="79" t="str">
        <f>A178</f>
        <v>7th Floor (Part Refuge Area)</v>
      </c>
      <c r="H179" s="79"/>
      <c r="I179" s="35"/>
      <c r="K179" s="58">
        <f t="shared" ref="K179:K184" si="14">(F179-E179)/D179</f>
        <v>1.6384964377138571</v>
      </c>
      <c r="N179" s="35"/>
    </row>
    <row r="180" spans="1:14" s="36" customFormat="1" x14ac:dyDescent="0.3">
      <c r="A180" s="79">
        <f t="shared" ref="A180:A189" si="15">A179+1</f>
        <v>702</v>
      </c>
      <c r="B180" s="79"/>
      <c r="C180" s="53">
        <v>2</v>
      </c>
      <c r="D180" s="41">
        <f>(2*2.65+2.65*1.1+2.95*1.6+2.5*2.2+2.2*2.75+3.05*1.2+2.05*1.2+3.775*1.9+3.85*1+1.2*1.25+2.1*0.9+2.65*0.75+2.2*0.75)*10.764</f>
        <v>523.72241999999994</v>
      </c>
      <c r="E180" s="41">
        <v>0</v>
      </c>
      <c r="F180" s="57">
        <v>858</v>
      </c>
      <c r="G180" s="79" t="str">
        <f t="shared" ref="G180:G189" si="16">G179</f>
        <v>7th Floor (Part Refuge Area)</v>
      </c>
      <c r="H180" s="79"/>
      <c r="I180" s="35"/>
      <c r="K180" s="58">
        <f t="shared" si="14"/>
        <v>1.6382724268325195</v>
      </c>
      <c r="N180" s="35"/>
    </row>
    <row r="181" spans="1:14" s="36" customFormat="1" x14ac:dyDescent="0.3">
      <c r="A181" s="79">
        <f t="shared" si="15"/>
        <v>703</v>
      </c>
      <c r="B181" s="79"/>
      <c r="C181" s="53">
        <v>2</v>
      </c>
      <c r="D181" s="41">
        <f>(2*2.65+2.65*1.1+2.95*1.6+2.5*2.2+2.2*2.75+3.05*1.2+2.05*1.2+3.775*1.9+3.85*1+1.2*1.25+2.1*0.9+2.65*0.75+2.2*0.75)*10.764</f>
        <v>523.72241999999994</v>
      </c>
      <c r="E181" s="41">
        <v>0</v>
      </c>
      <c r="F181" s="57">
        <v>858</v>
      </c>
      <c r="G181" s="79" t="str">
        <f t="shared" si="16"/>
        <v>7th Floor (Part Refuge Area)</v>
      </c>
      <c r="H181" s="79"/>
      <c r="I181" s="35"/>
      <c r="K181" s="58">
        <f t="shared" si="14"/>
        <v>1.6382724268325195</v>
      </c>
      <c r="N181" s="35"/>
    </row>
    <row r="182" spans="1:14" s="36" customFormat="1" x14ac:dyDescent="0.3">
      <c r="A182" s="79">
        <f t="shared" si="15"/>
        <v>704</v>
      </c>
      <c r="B182" s="79"/>
      <c r="C182" s="53">
        <v>1</v>
      </c>
      <c r="D182" s="41">
        <f>(3.1*2.9+3*1+2.4*2.1+2.35*2.95+2.95*1.2+2.1*1.2+1.2*1.95+2.3*0.9+2.9*0.75+2.1*0.75)*10.764</f>
        <v>410.99642999999998</v>
      </c>
      <c r="E182" s="41">
        <v>0</v>
      </c>
      <c r="F182" s="57">
        <v>674</v>
      </c>
      <c r="G182" s="79" t="str">
        <f t="shared" si="16"/>
        <v>7th Floor (Part Refuge Area)</v>
      </c>
      <c r="H182" s="79"/>
      <c r="I182" s="35"/>
      <c r="K182" s="58">
        <f t="shared" si="14"/>
        <v>1.6399169209328657</v>
      </c>
      <c r="N182" s="35"/>
    </row>
    <row r="183" spans="1:14" s="36" customFormat="1" x14ac:dyDescent="0.3">
      <c r="A183" s="79">
        <f t="shared" si="15"/>
        <v>705</v>
      </c>
      <c r="B183" s="79"/>
      <c r="C183" s="53">
        <v>1</v>
      </c>
      <c r="D183" s="41">
        <f>(2.25*3.95+3.6*1+2.4*2.1+2.35*2.95+2.95*1.2+2.1*1.2+1.2*1.95+2.3*0.9+3.6*0.75+2.1*0.75)*10.764</f>
        <v>422.00262000000004</v>
      </c>
      <c r="E183" s="41">
        <v>0</v>
      </c>
      <c r="F183" s="57">
        <v>689</v>
      </c>
      <c r="G183" s="79" t="str">
        <f t="shared" si="16"/>
        <v>7th Floor (Part Refuge Area)</v>
      </c>
      <c r="H183" s="79"/>
      <c r="I183" s="35"/>
      <c r="K183" s="58">
        <f t="shared" si="14"/>
        <v>1.6326912851868074</v>
      </c>
      <c r="N183" s="35"/>
    </row>
    <row r="184" spans="1:14" s="36" customFormat="1" x14ac:dyDescent="0.3">
      <c r="A184" s="79">
        <f t="shared" si="15"/>
        <v>706</v>
      </c>
      <c r="B184" s="79"/>
      <c r="C184" s="53">
        <v>2</v>
      </c>
      <c r="D184" s="41">
        <f>(4.5*2.15+2.975*1.2+1.6*1.05+2.2*1.75+2.3*1+2.7*2.3+2.7*1.2+2.8*2.9+2.9*1+2.15*1.2+1.25*1.2+0.7*0.7+0.6*0.5+2.2*0.9+2.2*0.75+2.975*0.75)*10.764</f>
        <v>562.70155499999987</v>
      </c>
      <c r="E184" s="41">
        <v>0</v>
      </c>
      <c r="F184" s="57">
        <v>905</v>
      </c>
      <c r="G184" s="79" t="str">
        <f t="shared" si="16"/>
        <v>7th Floor (Part Refuge Area)</v>
      </c>
      <c r="H184" s="79"/>
      <c r="I184" s="35"/>
      <c r="K184" s="58">
        <f t="shared" si="14"/>
        <v>1.6083125983186597</v>
      </c>
      <c r="N184" s="35"/>
    </row>
    <row r="185" spans="1:14" s="36" customFormat="1" x14ac:dyDescent="0.3">
      <c r="A185" s="79">
        <f t="shared" si="15"/>
        <v>707</v>
      </c>
      <c r="B185" s="79"/>
      <c r="C185" s="190" t="s">
        <v>185</v>
      </c>
      <c r="D185" s="191"/>
      <c r="E185" s="191"/>
      <c r="F185" s="192"/>
      <c r="G185" s="79" t="str">
        <f t="shared" si="16"/>
        <v>7th Floor (Part Refuge Area)</v>
      </c>
      <c r="H185" s="79"/>
      <c r="I185" s="35"/>
      <c r="K185" s="58"/>
      <c r="N185" s="35"/>
    </row>
    <row r="186" spans="1:14" s="36" customFormat="1" x14ac:dyDescent="0.3">
      <c r="A186" s="79">
        <f t="shared" si="15"/>
        <v>708</v>
      </c>
      <c r="B186" s="79"/>
      <c r="C186" s="193"/>
      <c r="D186" s="194"/>
      <c r="E186" s="194"/>
      <c r="F186" s="195"/>
      <c r="G186" s="79" t="str">
        <f t="shared" si="16"/>
        <v>7th Floor (Part Refuge Area)</v>
      </c>
      <c r="H186" s="79"/>
      <c r="I186" s="35"/>
      <c r="K186" s="58"/>
      <c r="N186" s="35"/>
    </row>
    <row r="187" spans="1:14" s="36" customFormat="1" x14ac:dyDescent="0.3">
      <c r="A187" s="79">
        <f t="shared" si="15"/>
        <v>709</v>
      </c>
      <c r="B187" s="79"/>
      <c r="C187" s="53">
        <v>2</v>
      </c>
      <c r="D187" s="41">
        <f>(4.5*2.15+3.125*1.2+1.45*1.05+2.2*1.75+2.3*1+2.7*2.25+3*1.2+3.65*2.9+1.35*1.9+1.25*1.2+0.7*0.7+0.6*0.5+2.2*0.9+2.2*0.75+2.9*0.75)*10.764</f>
        <v>559.91636999999992</v>
      </c>
      <c r="E187" s="41">
        <v>0</v>
      </c>
      <c r="F187" s="57">
        <v>901</v>
      </c>
      <c r="G187" s="79" t="str">
        <f t="shared" si="16"/>
        <v>7th Floor (Part Refuge Area)</v>
      </c>
      <c r="H187" s="79"/>
      <c r="I187" s="35"/>
      <c r="K187" s="58">
        <f t="shared" ref="K187:K189" si="17">(F187-E187)/D187</f>
        <v>1.6091688835602362</v>
      </c>
      <c r="N187" s="35"/>
    </row>
    <row r="188" spans="1:14" s="36" customFormat="1" x14ac:dyDescent="0.3">
      <c r="A188" s="79">
        <f t="shared" si="15"/>
        <v>710</v>
      </c>
      <c r="B188" s="79"/>
      <c r="C188" s="53">
        <v>1</v>
      </c>
      <c r="D188" s="41">
        <f>(2.9*2.95+2.85*1.15+2.1*2.4+2.95*2.3+2.95*1.25+1.35*1.9+2.25*1.2+2.3*0.9+2.85*0.75+2.1*0.75)*10.764</f>
        <v>413.25687000000005</v>
      </c>
      <c r="E188" s="41">
        <v>0</v>
      </c>
      <c r="F188" s="57">
        <v>678</v>
      </c>
      <c r="G188" s="79" t="str">
        <f t="shared" si="16"/>
        <v>7th Floor (Part Refuge Area)</v>
      </c>
      <c r="H188" s="79"/>
      <c r="I188" s="35"/>
      <c r="K188" s="58">
        <f t="shared" si="17"/>
        <v>1.6406260832397048</v>
      </c>
      <c r="N188" s="35"/>
    </row>
    <row r="189" spans="1:14" s="36" customFormat="1" x14ac:dyDescent="0.3">
      <c r="A189" s="79">
        <f t="shared" si="15"/>
        <v>711</v>
      </c>
      <c r="B189" s="79"/>
      <c r="C189" s="53">
        <v>1</v>
      </c>
      <c r="D189" s="41">
        <f>(2.9*3.1+2.85*1+2.1*2.4+2.95*2.35+3.05*1.2+1.95*1.2+1.2*2.1+2.3*0.9+2.85*0.75+2.1*0.75)*10.764</f>
        <v>410.26986000000005</v>
      </c>
      <c r="E189" s="41">
        <v>0</v>
      </c>
      <c r="F189" s="57">
        <v>672</v>
      </c>
      <c r="G189" s="79" t="str">
        <f t="shared" si="16"/>
        <v>7th Floor (Part Refuge Area)</v>
      </c>
      <c r="H189" s="79"/>
      <c r="I189" s="35"/>
      <c r="K189" s="58">
        <f t="shared" si="17"/>
        <v>1.6379463019779223</v>
      </c>
      <c r="N189" s="35"/>
    </row>
    <row r="190" spans="1:14" s="36" customFormat="1" x14ac:dyDescent="0.3">
      <c r="A190" s="76" t="s">
        <v>187</v>
      </c>
      <c r="B190" s="77"/>
      <c r="C190" s="77"/>
      <c r="D190" s="77"/>
      <c r="E190" s="77"/>
      <c r="F190" s="77"/>
      <c r="G190" s="77"/>
      <c r="H190" s="78"/>
      <c r="J190" s="35"/>
      <c r="K190" s="58"/>
    </row>
    <row r="191" spans="1:14" s="36" customFormat="1" x14ac:dyDescent="0.3">
      <c r="A191" s="189" t="s">
        <v>184</v>
      </c>
      <c r="B191" s="189"/>
      <c r="C191" s="189"/>
      <c r="D191" s="189"/>
      <c r="E191" s="189"/>
      <c r="F191" s="189"/>
      <c r="G191" s="189"/>
      <c r="H191" s="189"/>
      <c r="I191" s="35"/>
      <c r="K191" s="58"/>
      <c r="L191" s="183"/>
      <c r="M191" s="183"/>
    </row>
    <row r="192" spans="1:14" s="36" customFormat="1" x14ac:dyDescent="0.3">
      <c r="A192" s="79">
        <f>LEFT(A191,SUM(LEN(A191)-LEN(SUBSTITUTE(A191,{"0","1","2","3","4","5","6","7","8","9"},""))))*100+1</f>
        <v>101</v>
      </c>
      <c r="B192" s="79"/>
      <c r="C192" s="53">
        <v>1</v>
      </c>
      <c r="D192" s="41">
        <f>(2.75*4+1.825*1+1.75*1.6+2.35*2.1+2.25*2.75+3.05*1+1.8*0.9+2.1*0.75)*10.764</f>
        <v>355.13127000000003</v>
      </c>
      <c r="E192" s="41">
        <v>0</v>
      </c>
      <c r="F192" s="57">
        <v>580</v>
      </c>
      <c r="G192" s="79" t="str">
        <f>A191</f>
        <v>1st Floor</v>
      </c>
      <c r="H192" s="79"/>
      <c r="I192" s="35"/>
      <c r="K192" s="58">
        <f t="shared" ref="K192:K199" si="18">(F192-E192)/D192</f>
        <v>1.6331989013527306</v>
      </c>
      <c r="N192" s="35"/>
    </row>
    <row r="193" spans="1:14" s="36" customFormat="1" x14ac:dyDescent="0.3">
      <c r="A193" s="79">
        <f t="shared" ref="A193:A199" si="19">A192+1</f>
        <v>102</v>
      </c>
      <c r="B193" s="79"/>
      <c r="C193" s="53">
        <v>1</v>
      </c>
      <c r="D193" s="41">
        <f>(2.75*4+1.825*1+2.35*2.1+2.25*2.75+2.975*1+1.2*1.5+1.1*1.2+1.3*0.9+2.1*0.75)*10.764</f>
        <v>352.92464999999999</v>
      </c>
      <c r="E193" s="41">
        <v>0</v>
      </c>
      <c r="F193" s="57">
        <v>582</v>
      </c>
      <c r="G193" s="79" t="str">
        <f t="shared" ref="G193:G199" si="20">G192</f>
        <v>1st Floor</v>
      </c>
      <c r="H193" s="79"/>
      <c r="I193" s="35"/>
      <c r="K193" s="58">
        <f t="shared" si="18"/>
        <v>1.6490772180407349</v>
      </c>
      <c r="N193" s="35"/>
    </row>
    <row r="194" spans="1:14" s="36" customFormat="1" x14ac:dyDescent="0.3">
      <c r="A194" s="79">
        <f t="shared" si="19"/>
        <v>103</v>
      </c>
      <c r="B194" s="79"/>
      <c r="C194" s="53">
        <v>1</v>
      </c>
      <c r="D194" s="41">
        <f>(2.75*4+1.825*1+2.35*2.1+2.25*2.75+2.975*1+1.2*1.5+1.1*1.2+1.3*0.9+2.1*0.75)*10.764</f>
        <v>352.92464999999999</v>
      </c>
      <c r="E194" s="41">
        <v>0</v>
      </c>
      <c r="F194" s="57">
        <v>582</v>
      </c>
      <c r="G194" s="79" t="str">
        <f t="shared" si="20"/>
        <v>1st Floor</v>
      </c>
      <c r="H194" s="79"/>
      <c r="I194" s="35"/>
      <c r="K194" s="58">
        <f t="shared" si="18"/>
        <v>1.6490772180407349</v>
      </c>
      <c r="N194" s="35"/>
    </row>
    <row r="195" spans="1:14" s="36" customFormat="1" x14ac:dyDescent="0.3">
      <c r="A195" s="79">
        <f t="shared" si="19"/>
        <v>104</v>
      </c>
      <c r="B195" s="79"/>
      <c r="C195" s="53">
        <v>1</v>
      </c>
      <c r="D195" s="41">
        <f>(2.75*4+1.75*1.6+2.35*2.1+2.25*2.75+3.05*1+1.8*0.9+2.1*0.75)*10.764</f>
        <v>335.48696999999999</v>
      </c>
      <c r="E195" s="41">
        <f>(3.2*1.8)*10.764</f>
        <v>62.000640000000004</v>
      </c>
      <c r="F195" s="57">
        <v>648</v>
      </c>
      <c r="G195" s="79" t="str">
        <f t="shared" si="20"/>
        <v>1st Floor</v>
      </c>
      <c r="H195" s="79"/>
      <c r="I195" s="35"/>
      <c r="K195" s="58">
        <f t="shared" si="18"/>
        <v>1.7467127262796527</v>
      </c>
      <c r="N195" s="35"/>
    </row>
    <row r="196" spans="1:14" s="36" customFormat="1" x14ac:dyDescent="0.3">
      <c r="A196" s="79">
        <f t="shared" si="19"/>
        <v>105</v>
      </c>
      <c r="B196" s="79"/>
      <c r="C196" s="53">
        <v>1</v>
      </c>
      <c r="D196" s="41">
        <f>(2.75*4+1.75*1.6+2.35*2.1+2.25*2.75+3.05*1+1.8*0.9+2.1*0.75)*10.764</f>
        <v>335.48696999999999</v>
      </c>
      <c r="E196" s="41">
        <f>(3.2*1.8)*10.764</f>
        <v>62.000640000000004</v>
      </c>
      <c r="F196" s="57">
        <v>648</v>
      </c>
      <c r="G196" s="79" t="str">
        <f t="shared" si="20"/>
        <v>1st Floor</v>
      </c>
      <c r="H196" s="79"/>
      <c r="I196" s="35"/>
      <c r="K196" s="58">
        <f t="shared" si="18"/>
        <v>1.7467127262796527</v>
      </c>
      <c r="N196" s="35"/>
    </row>
    <row r="197" spans="1:14" s="36" customFormat="1" x14ac:dyDescent="0.3">
      <c r="A197" s="79">
        <f t="shared" si="19"/>
        <v>106</v>
      </c>
      <c r="B197" s="79"/>
      <c r="C197" s="53">
        <v>1</v>
      </c>
      <c r="D197" s="41">
        <f>(2.75*4+1.825*1+2.35*2.1+2.25*2.75+2.975*1+1.2*1.5+1.1*1.2+1.3*0.9+2.1*0.75)*10.764</f>
        <v>352.92464999999999</v>
      </c>
      <c r="E197" s="41">
        <v>0</v>
      </c>
      <c r="F197" s="57">
        <v>582</v>
      </c>
      <c r="G197" s="79" t="str">
        <f t="shared" si="20"/>
        <v>1st Floor</v>
      </c>
      <c r="H197" s="79"/>
      <c r="I197" s="35"/>
      <c r="K197" s="58">
        <f t="shared" si="18"/>
        <v>1.6490772180407349</v>
      </c>
      <c r="N197" s="35"/>
    </row>
    <row r="198" spans="1:14" s="36" customFormat="1" x14ac:dyDescent="0.3">
      <c r="A198" s="79">
        <f t="shared" si="19"/>
        <v>107</v>
      </c>
      <c r="B198" s="79"/>
      <c r="C198" s="53">
        <v>1</v>
      </c>
      <c r="D198" s="41">
        <f>(2.75*4+1.825*1+2.35*2.1+2.25*2.75+2.975*1+1.2*1.5+1.1*1.2+1.3*0.9+2.1*0.75)*10.764</f>
        <v>352.92464999999999</v>
      </c>
      <c r="E198" s="41">
        <v>0</v>
      </c>
      <c r="F198" s="57">
        <v>582</v>
      </c>
      <c r="G198" s="79" t="str">
        <f t="shared" si="20"/>
        <v>1st Floor</v>
      </c>
      <c r="H198" s="79"/>
      <c r="I198" s="35"/>
      <c r="K198" s="58">
        <f t="shared" si="18"/>
        <v>1.6490772180407349</v>
      </c>
      <c r="N198" s="35"/>
    </row>
    <row r="199" spans="1:14" s="36" customFormat="1" x14ac:dyDescent="0.3">
      <c r="A199" s="79">
        <f t="shared" si="19"/>
        <v>108</v>
      </c>
      <c r="B199" s="79"/>
      <c r="C199" s="53">
        <v>1</v>
      </c>
      <c r="D199" s="41">
        <f>(2.75*4+1.825*1+1.75*1.6+2.35*2.1+2.25*2.75+3.05*1+1.8*0.9+2.1*0.75)*10.764</f>
        <v>355.13127000000003</v>
      </c>
      <c r="E199" s="41">
        <v>0</v>
      </c>
      <c r="F199" s="57">
        <v>580</v>
      </c>
      <c r="G199" s="79" t="str">
        <f t="shared" si="20"/>
        <v>1st Floor</v>
      </c>
      <c r="H199" s="79"/>
      <c r="I199" s="35"/>
      <c r="K199" s="58">
        <f t="shared" si="18"/>
        <v>1.6331989013527306</v>
      </c>
      <c r="N199" s="35"/>
    </row>
    <row r="200" spans="1:14" s="36" customFormat="1" ht="15.75" customHeight="1" x14ac:dyDescent="0.3">
      <c r="A200" s="76" t="s">
        <v>189</v>
      </c>
      <c r="B200" s="77"/>
      <c r="C200" s="77"/>
      <c r="D200" s="77"/>
      <c r="E200" s="77"/>
      <c r="F200" s="77"/>
      <c r="G200" s="77"/>
      <c r="H200" s="78"/>
      <c r="I200" s="35"/>
      <c r="K200" s="58"/>
    </row>
    <row r="201" spans="1:14" s="36" customFormat="1" x14ac:dyDescent="0.3">
      <c r="A201" s="74" t="str">
        <f ca="1">(SUMPRODUCT(MID(0&amp;(LEFT(A200,SUM(LEN(A200)-LEN(SUBSTITUTE(A200,{"0","1","2"},""))))), LARGE(INDEX(ISNUMBER(--MID((LEFT(A200,SUM(LEN(A200)-LEN(SUBSTITUTE(A200,{"0","1","2"},""))))), ROW(INDIRECT("1:"&amp;LEN((LEFT(A200,SUM(LEN(A200)-LEN(SUBSTITUTE(A200,{"0","1","2"},"")))))))), 1)) * ROW(INDIRECT("1:"&amp;LEN((LEFT(A200,SUM(LEN(A200)-LEN(SUBSTITUTE(A200,{"0","1","2"},"")))))))), 0), ROW(INDIRECT("1:"&amp;LEN((LEFT(A200,SUM(LEN(A200)-LEN(SUBSTITUTE(A200,{"0","1","2"},"")))))))))+1, 1) * 10^ROW(INDIRECT("1:"&amp;LEN((LEFT(A200,SUM(LEN(A200)-LEN(SUBSTITUTE(A200,{"0","1","2"},""))))))))/10))*100+1&amp;""&amp;" ,.., "&amp;""&amp;(SUMPRODUCT(MID(0&amp;(--TRIM(RIGHT(SUBSTITUTE(LEFT(A200,_xlfn.AGGREGATE(16,6,FIND({0,1,2,3,4,5,6,7,8,9},A200,ROW(INDIRECT("1:"&amp;LEN(A200)))),1))," ",REPT(" ",LEN(A200))),LEN(A200)))), LARGE(INDEX(ISNUMBER(--MID((--TRIM(RIGHT(SUBSTITUTE(LEFT(A200,_xlfn.AGGREGATE(16,6,FIND({0,1,2,3,4,5,6,7,8,9},A200,ROW(INDIRECT("1:"&amp;LEN(A200)))),1))," ",REPT(" ",LEN(A200))),LEN(A200)))), ROW(INDIRECT("1:"&amp;LEN((--TRIM(RIGHT(SUBSTITUTE(LEFT(A200,_xlfn.AGGREGATE(16,6,FIND({0,1,2,3,4,5,6,7,8,9},A200,ROW(INDIRECT("1:"&amp;LEN(A200)))),1))," ",REPT(" ",LEN(A200))),LEN(A200))))))), 1)) * ROW(INDIRECT("1:"&amp;LEN((--TRIM(RIGHT(SUBSTITUTE(LEFT(A200,_xlfn.AGGREGATE(16,6,FIND({0,1,2,3,4,5,6,7,8,9},A200,ROW(INDIRECT("1:"&amp;LEN(A200)))),1))," ",REPT(" ",LEN(A200))),LEN(A200))))))), 0), ROW(INDIRECT("1:"&amp;LEN((--TRIM(RIGHT(SUBSTITUTE(LEFT(A200,_xlfn.AGGREGATE(16,6,FIND({0,1,2,3,4,5,6,7,8,9},A200,ROW(INDIRECT("1:"&amp;LEN(A200)))),1))," ",REPT(" ",LEN(A200))),LEN(A200))))))))+1, 1) * 10^ROW(INDIRECT("1:"&amp;LEN((--TRIM(RIGHT(SUBSTITUTE(LEFT(A200,_xlfn.AGGREGATE(16,6,FIND({0,1,2,3,4,5,6,7,8,9},A200,ROW(INDIRECT("1:"&amp;LEN(A200)))),1))," ",REPT(" ",LEN(A200))),LEN(A200)))))))/10))*100+1</f>
        <v>201 ,.., 1001</v>
      </c>
      <c r="B201" s="75"/>
      <c r="C201" s="53">
        <v>1</v>
      </c>
      <c r="D201" s="41">
        <f>(2.75*4+1.825*1+1.75*1.6+2.35*2.1+2.25*2.75+3.05*1+1.8*0.9+2.1*0.75)*10.764</f>
        <v>355.13127000000003</v>
      </c>
      <c r="E201" s="41">
        <v>0</v>
      </c>
      <c r="F201" s="57">
        <v>580</v>
      </c>
      <c r="G201" s="74" t="str">
        <f>A200</f>
        <v>2nd to 6th &amp; 8th to 10th Floor</v>
      </c>
      <c r="H201" s="75"/>
      <c r="I201" s="35"/>
      <c r="K201" s="58">
        <f t="shared" ref="K201:K208" si="21">(F201-E201)/D201</f>
        <v>1.6331989013527306</v>
      </c>
    </row>
    <row r="202" spans="1:14" s="36" customFormat="1" x14ac:dyDescent="0.3">
      <c r="A202" s="74" t="str">
        <f ca="1">(SUMPRODUCT(MID(0&amp;(LEFT(A201,SUM(LEN(A201)-LEN(SUBSTITUTE(A201,{"0","1","2"},""))))), LARGE(INDEX(ISNUMBER(--MID((LEFT(A201,SUM(LEN(A201)-LEN(SUBSTITUTE(A201,{"0","1","2"},""))))), ROW(INDIRECT("1:"&amp;LEN((LEFT(A201,SUM(LEN(A201)-LEN(SUBSTITUTE(A201,{"0","1","2"},"")))))))), 1)) * ROW(INDIRECT("1:"&amp;LEN((LEFT(A201,SUM(LEN(A201)-LEN(SUBSTITUTE(A201,{"0","1","2"},"")))))))), 0), ROW(INDIRECT("1:"&amp;LEN((LEFT(A201,SUM(LEN(A201)-LEN(SUBSTITUTE(A201,{"0","1","2"},"")))))))))+1, 1) * 10^ROW(INDIRECT("1:"&amp;LEN((LEFT(A201,SUM(LEN(A201)-LEN(SUBSTITUTE(A201,{"0","1","2"},""))))))))/10))*1+1&amp;""&amp;" ,.., "&amp;""&amp;(SUMPRODUCT(MID(0&amp;(--TRIM(RIGHT(SUBSTITUTE(LEFT(A201,_xlfn.AGGREGATE(16,6,FIND({0,1,2,3,4,5,6,7,8,9},A201,ROW(INDIRECT("1:"&amp;LEN(A201)))),1))," ",REPT(" ",LEN(A201))),LEN(A201)))), LARGE(INDEX(ISNUMBER(--MID((--TRIM(RIGHT(SUBSTITUTE(LEFT(A201,_xlfn.AGGREGATE(16,6,FIND({0,1,2,3,4,5,6,7,8,9},A201,ROW(INDIRECT("1:"&amp;LEN(A201)))),1))," ",REPT(" ",LEN(A201))),LEN(A201)))), ROW(INDIRECT("1:"&amp;LEN((--TRIM(RIGHT(SUBSTITUTE(LEFT(A201,_xlfn.AGGREGATE(16,6,FIND({0,1,2,3,4,5,6,7,8,9},A201,ROW(INDIRECT("1:"&amp;LEN(A201)))),1))," ",REPT(" ",LEN(A201))),LEN(A201))))))), 1)) * ROW(INDIRECT("1:"&amp;LEN((--TRIM(RIGHT(SUBSTITUTE(LEFT(A201,_xlfn.AGGREGATE(16,6,FIND({0,1,2,3,4,5,6,7,8,9},A201,ROW(INDIRECT("1:"&amp;LEN(A201)))),1))," ",REPT(" ",LEN(A201))),LEN(A201))))))), 0), ROW(INDIRECT("1:"&amp;LEN((--TRIM(RIGHT(SUBSTITUTE(LEFT(A201,_xlfn.AGGREGATE(16,6,FIND({0,1,2,3,4,5,6,7,8,9},A201,ROW(INDIRECT("1:"&amp;LEN(A201)))),1))," ",REPT(" ",LEN(A201))),LEN(A201))))))))+1, 1) * 10^ROW(INDIRECT("1:"&amp;LEN((--TRIM(RIGHT(SUBSTITUTE(LEFT(A201,_xlfn.AGGREGATE(16,6,FIND({0,1,2,3,4,5,6,7,8,9},A201,ROW(INDIRECT("1:"&amp;LEN(A201)))),1))," ",REPT(" ",LEN(A201))),LEN(A201)))))))/10))*1+1</f>
        <v>202 ,.., 1002</v>
      </c>
      <c r="B202" s="75"/>
      <c r="C202" s="53">
        <v>1</v>
      </c>
      <c r="D202" s="41">
        <f>(2.75*4+1.825*1+2.35*2.1+2.25*2.75+2.975*1+1.2*1.5+1.1*1.2+1.3*0.9+2.1*0.75)*10.764</f>
        <v>352.92464999999999</v>
      </c>
      <c r="E202" s="41">
        <v>0</v>
      </c>
      <c r="F202" s="57">
        <v>582</v>
      </c>
      <c r="G202" s="74" t="str">
        <f t="shared" ref="G202:G208" si="22">G201</f>
        <v>2nd to 6th &amp; 8th to 10th Floor</v>
      </c>
      <c r="H202" s="75"/>
      <c r="I202" s="35"/>
      <c r="K202" s="58">
        <f t="shared" si="21"/>
        <v>1.6490772180407349</v>
      </c>
    </row>
    <row r="203" spans="1:14" s="36" customFormat="1" ht="15.75" customHeight="1" x14ac:dyDescent="0.3">
      <c r="A203" s="74" t="str">
        <f ca="1">(SUMPRODUCT(MID(0&amp;(LEFT(A202,SUM(LEN(A202)-LEN(SUBSTITUTE(A202,{"0","1","2"},""))))), LARGE(INDEX(ISNUMBER(--MID((LEFT(A202,SUM(LEN(A202)-LEN(SUBSTITUTE(A202,{"0","1","2"},""))))), ROW(INDIRECT("1:"&amp;LEN((LEFT(A202,SUM(LEN(A202)-LEN(SUBSTITUTE(A202,{"0","1","2"},"")))))))), 1)) * ROW(INDIRECT("1:"&amp;LEN((LEFT(A202,SUM(LEN(A202)-LEN(SUBSTITUTE(A202,{"0","1","2"},"")))))))), 0), ROW(INDIRECT("1:"&amp;LEN((LEFT(A202,SUM(LEN(A202)-LEN(SUBSTITUTE(A202,{"0","1","2"},"")))))))))+1, 1) * 10^ROW(INDIRECT("1:"&amp;LEN((LEFT(A202,SUM(LEN(A202)-LEN(SUBSTITUTE(A202,{"0","1","2"},""))))))))/10))*1+1&amp;""&amp;" ,.., "&amp;""&amp;(SUMPRODUCT(MID(0&amp;(--TRIM(RIGHT(SUBSTITUTE(LEFT(A202,_xlfn.AGGREGATE(16,6,FIND({0,1,2,3,4,5,6,7,8,9},A202,ROW(INDIRECT("1:"&amp;LEN(A202)))),1))," ",REPT(" ",LEN(A202))),LEN(A202)))), LARGE(INDEX(ISNUMBER(--MID((--TRIM(RIGHT(SUBSTITUTE(LEFT(A202,_xlfn.AGGREGATE(16,6,FIND({0,1,2,3,4,5,6,7,8,9},A202,ROW(INDIRECT("1:"&amp;LEN(A202)))),1))," ",REPT(" ",LEN(A202))),LEN(A202)))), ROW(INDIRECT("1:"&amp;LEN((--TRIM(RIGHT(SUBSTITUTE(LEFT(A202,_xlfn.AGGREGATE(16,6,FIND({0,1,2,3,4,5,6,7,8,9},A202,ROW(INDIRECT("1:"&amp;LEN(A202)))),1))," ",REPT(" ",LEN(A202))),LEN(A202))))))), 1)) * ROW(INDIRECT("1:"&amp;LEN((--TRIM(RIGHT(SUBSTITUTE(LEFT(A202,_xlfn.AGGREGATE(16,6,FIND({0,1,2,3,4,5,6,7,8,9},A202,ROW(INDIRECT("1:"&amp;LEN(A202)))),1))," ",REPT(" ",LEN(A202))),LEN(A202))))))), 0), ROW(INDIRECT("1:"&amp;LEN((--TRIM(RIGHT(SUBSTITUTE(LEFT(A202,_xlfn.AGGREGATE(16,6,FIND({0,1,2,3,4,5,6,7,8,9},A202,ROW(INDIRECT("1:"&amp;LEN(A202)))),1))," ",REPT(" ",LEN(A202))),LEN(A202))))))))+1, 1) * 10^ROW(INDIRECT("1:"&amp;LEN((--TRIM(RIGHT(SUBSTITUTE(LEFT(A202,_xlfn.AGGREGATE(16,6,FIND({0,1,2,3,4,5,6,7,8,9},A202,ROW(INDIRECT("1:"&amp;LEN(A202)))),1))," ",REPT(" ",LEN(A202))),LEN(A202)))))))/10))*1+1</f>
        <v>203 ,.., 1003</v>
      </c>
      <c r="B203" s="75"/>
      <c r="C203" s="53">
        <v>1</v>
      </c>
      <c r="D203" s="41">
        <f>(2.75*4+1.825*1+2.35*2.1+2.25*2.75+2.975*1+1.2*1.5+1.1*1.2+1.3*0.9+2.1*0.75)*10.764</f>
        <v>352.92464999999999</v>
      </c>
      <c r="E203" s="41">
        <v>0</v>
      </c>
      <c r="F203" s="57">
        <v>582</v>
      </c>
      <c r="G203" s="74" t="str">
        <f t="shared" si="22"/>
        <v>2nd to 6th &amp; 8th to 10th Floor</v>
      </c>
      <c r="H203" s="75"/>
      <c r="I203" s="35"/>
      <c r="K203" s="58">
        <f t="shared" si="21"/>
        <v>1.6490772180407349</v>
      </c>
    </row>
    <row r="204" spans="1:14" s="36" customFormat="1" ht="15.75" customHeight="1" x14ac:dyDescent="0.3">
      <c r="A204" s="74" t="str">
        <f ca="1">(SUMPRODUCT(MID(0&amp;(LEFT(A203,SUM(LEN(A203)-LEN(SUBSTITUTE(A203,{"0","1","2"},""))))), LARGE(INDEX(ISNUMBER(--MID((LEFT(A203,SUM(LEN(A203)-LEN(SUBSTITUTE(A203,{"0","1","2"},""))))), ROW(INDIRECT("1:"&amp;LEN((LEFT(A203,SUM(LEN(A203)-LEN(SUBSTITUTE(A203,{"0","1","2"},"")))))))), 1)) * ROW(INDIRECT("1:"&amp;LEN((LEFT(A203,SUM(LEN(A203)-LEN(SUBSTITUTE(A203,{"0","1","2"},"")))))))), 0), ROW(INDIRECT("1:"&amp;LEN((LEFT(A203,SUM(LEN(A203)-LEN(SUBSTITUTE(A203,{"0","1","2"},"")))))))))+1, 1) * 10^ROW(INDIRECT("1:"&amp;LEN((LEFT(A203,SUM(LEN(A203)-LEN(SUBSTITUTE(A203,{"0","1","2"},""))))))))/10))*1+1&amp;""&amp;" ,.., "&amp;""&amp;(SUMPRODUCT(MID(0&amp;(--TRIM(RIGHT(SUBSTITUTE(LEFT(A203,_xlfn.AGGREGATE(16,6,FIND({0,1,2,3,4,5,6,7,8,9},A203,ROW(INDIRECT("1:"&amp;LEN(A203)))),1))," ",REPT(" ",LEN(A203))),LEN(A203)))), LARGE(INDEX(ISNUMBER(--MID((--TRIM(RIGHT(SUBSTITUTE(LEFT(A203,_xlfn.AGGREGATE(16,6,FIND({0,1,2,3,4,5,6,7,8,9},A203,ROW(INDIRECT("1:"&amp;LEN(A203)))),1))," ",REPT(" ",LEN(A203))),LEN(A203)))), ROW(INDIRECT("1:"&amp;LEN((--TRIM(RIGHT(SUBSTITUTE(LEFT(A203,_xlfn.AGGREGATE(16,6,FIND({0,1,2,3,4,5,6,7,8,9},A203,ROW(INDIRECT("1:"&amp;LEN(A203)))),1))," ",REPT(" ",LEN(A203))),LEN(A203))))))), 1)) * ROW(INDIRECT("1:"&amp;LEN((--TRIM(RIGHT(SUBSTITUTE(LEFT(A203,_xlfn.AGGREGATE(16,6,FIND({0,1,2,3,4,5,6,7,8,9},A203,ROW(INDIRECT("1:"&amp;LEN(A203)))),1))," ",REPT(" ",LEN(A203))),LEN(A203))))))), 0), ROW(INDIRECT("1:"&amp;LEN((--TRIM(RIGHT(SUBSTITUTE(LEFT(A203,_xlfn.AGGREGATE(16,6,FIND({0,1,2,3,4,5,6,7,8,9},A203,ROW(INDIRECT("1:"&amp;LEN(A203)))),1))," ",REPT(" ",LEN(A203))),LEN(A203))))))))+1, 1) * 10^ROW(INDIRECT("1:"&amp;LEN((--TRIM(RIGHT(SUBSTITUTE(LEFT(A203,_xlfn.AGGREGATE(16,6,FIND({0,1,2,3,4,5,6,7,8,9},A203,ROW(INDIRECT("1:"&amp;LEN(A203)))),1))," ",REPT(" ",LEN(A203))),LEN(A203)))))))/10))*1+1</f>
        <v>204 ,.., 1004</v>
      </c>
      <c r="B204" s="75"/>
      <c r="C204" s="53">
        <v>1</v>
      </c>
      <c r="D204" s="41">
        <f>(2.75*4+1.75*1.6+2.35*2.1+2.25*2.75+3.05*1+1.8*0.9+2.1*0.75+1.825*1)*10.764</f>
        <v>355.13126999999997</v>
      </c>
      <c r="E204" s="41">
        <v>0</v>
      </c>
      <c r="F204" s="57">
        <v>580</v>
      </c>
      <c r="G204" s="74" t="str">
        <f t="shared" si="22"/>
        <v>2nd to 6th &amp; 8th to 10th Floor</v>
      </c>
      <c r="H204" s="75"/>
      <c r="I204" s="35"/>
      <c r="K204" s="58">
        <f t="shared" si="21"/>
        <v>1.6331989013527308</v>
      </c>
      <c r="L204" s="36">
        <f>J204*5600</f>
        <v>0</v>
      </c>
    </row>
    <row r="205" spans="1:14" s="36" customFormat="1" ht="15.75" customHeight="1" x14ac:dyDescent="0.3">
      <c r="A205" s="74" t="str">
        <f ca="1">(SUMPRODUCT(MID(0&amp;(LEFT(A204,SUM(LEN(A204)-LEN(SUBSTITUTE(A204,{"0","1","2"},""))))), LARGE(INDEX(ISNUMBER(--MID((LEFT(A204,SUM(LEN(A204)-LEN(SUBSTITUTE(A204,{"0","1","2"},""))))), ROW(INDIRECT("1:"&amp;LEN((LEFT(A204,SUM(LEN(A204)-LEN(SUBSTITUTE(A204,{"0","1","2"},"")))))))), 1)) * ROW(INDIRECT("1:"&amp;LEN((LEFT(A204,SUM(LEN(A204)-LEN(SUBSTITUTE(A204,{"0","1","2"},"")))))))), 0), ROW(INDIRECT("1:"&amp;LEN((LEFT(A204,SUM(LEN(A204)-LEN(SUBSTITUTE(A204,{"0","1","2"},"")))))))))+1, 1) * 10^ROW(INDIRECT("1:"&amp;LEN((LEFT(A204,SUM(LEN(A204)-LEN(SUBSTITUTE(A204,{"0","1","2"},""))))))))/10))*1+1&amp;""&amp;" ,.., "&amp;""&amp;(SUMPRODUCT(MID(0&amp;(--TRIM(RIGHT(SUBSTITUTE(LEFT(A204,_xlfn.AGGREGATE(16,6,FIND({0,1,2,3,4,5,6,7,8,9},A204,ROW(INDIRECT("1:"&amp;LEN(A204)))),1))," ",REPT(" ",LEN(A204))),LEN(A204)))), LARGE(INDEX(ISNUMBER(--MID((--TRIM(RIGHT(SUBSTITUTE(LEFT(A204,_xlfn.AGGREGATE(16,6,FIND({0,1,2,3,4,5,6,7,8,9},A204,ROW(INDIRECT("1:"&amp;LEN(A204)))),1))," ",REPT(" ",LEN(A204))),LEN(A204)))), ROW(INDIRECT("1:"&amp;LEN((--TRIM(RIGHT(SUBSTITUTE(LEFT(A204,_xlfn.AGGREGATE(16,6,FIND({0,1,2,3,4,5,6,7,8,9},A204,ROW(INDIRECT("1:"&amp;LEN(A204)))),1))," ",REPT(" ",LEN(A204))),LEN(A204))))))), 1)) * ROW(INDIRECT("1:"&amp;LEN((--TRIM(RIGHT(SUBSTITUTE(LEFT(A204,_xlfn.AGGREGATE(16,6,FIND({0,1,2,3,4,5,6,7,8,9},A204,ROW(INDIRECT("1:"&amp;LEN(A204)))),1))," ",REPT(" ",LEN(A204))),LEN(A204))))))), 0), ROW(INDIRECT("1:"&amp;LEN((--TRIM(RIGHT(SUBSTITUTE(LEFT(A204,_xlfn.AGGREGATE(16,6,FIND({0,1,2,3,4,5,6,7,8,9},A204,ROW(INDIRECT("1:"&amp;LEN(A204)))),1))," ",REPT(" ",LEN(A204))),LEN(A204))))))))+1, 1) * 10^ROW(INDIRECT("1:"&amp;LEN((--TRIM(RIGHT(SUBSTITUTE(LEFT(A204,_xlfn.AGGREGATE(16,6,FIND({0,1,2,3,4,5,6,7,8,9},A204,ROW(INDIRECT("1:"&amp;LEN(A204)))),1))," ",REPT(" ",LEN(A204))),LEN(A204)))))))/10))*1+1</f>
        <v>205 ,.., 1005</v>
      </c>
      <c r="B205" s="75"/>
      <c r="C205" s="53">
        <v>1</v>
      </c>
      <c r="D205" s="41">
        <f>(2.75*4+1.75*1.6+2.35*2.1+2.25*2.75+3.05*1+1.8*0.9+2.1*0.75+1.825*1)*10.764</f>
        <v>355.13126999999997</v>
      </c>
      <c r="E205" s="41">
        <v>0</v>
      </c>
      <c r="F205" s="57">
        <v>580</v>
      </c>
      <c r="G205" s="74" t="str">
        <f t="shared" si="22"/>
        <v>2nd to 6th &amp; 8th to 10th Floor</v>
      </c>
      <c r="H205" s="75"/>
      <c r="I205" s="35"/>
      <c r="K205" s="58">
        <f t="shared" si="21"/>
        <v>1.6331989013527308</v>
      </c>
    </row>
    <row r="206" spans="1:14" s="36" customFormat="1" x14ac:dyDescent="0.3">
      <c r="A206" s="74" t="str">
        <f ca="1">(SUMPRODUCT(MID(0&amp;(LEFT(A205,SUM(LEN(A205)-LEN(SUBSTITUTE(A205,{"0","1","2"},""))))), LARGE(INDEX(ISNUMBER(--MID((LEFT(A205,SUM(LEN(A205)-LEN(SUBSTITUTE(A205,{"0","1","2"},""))))), ROW(INDIRECT("1:"&amp;LEN((LEFT(A205,SUM(LEN(A205)-LEN(SUBSTITUTE(A205,{"0","1","2"},"")))))))), 1)) * ROW(INDIRECT("1:"&amp;LEN((LEFT(A205,SUM(LEN(A205)-LEN(SUBSTITUTE(A205,{"0","1","2"},"")))))))), 0), ROW(INDIRECT("1:"&amp;LEN((LEFT(A205,SUM(LEN(A205)-LEN(SUBSTITUTE(A205,{"0","1","2"},"")))))))))+1, 1) * 10^ROW(INDIRECT("1:"&amp;LEN((LEFT(A205,SUM(LEN(A205)-LEN(SUBSTITUTE(A205,{"0","1","2"},""))))))))/10))*1+1&amp;""&amp;" ,.., "&amp;""&amp;(SUMPRODUCT(MID(0&amp;(--TRIM(RIGHT(SUBSTITUTE(LEFT(A205,_xlfn.AGGREGATE(16,6,FIND({0,1,2,3,4,5,6,7,8,9},A205,ROW(INDIRECT("1:"&amp;LEN(A205)))),1))," ",REPT(" ",LEN(A205))),LEN(A205)))), LARGE(INDEX(ISNUMBER(--MID((--TRIM(RIGHT(SUBSTITUTE(LEFT(A205,_xlfn.AGGREGATE(16,6,FIND({0,1,2,3,4,5,6,7,8,9},A205,ROW(INDIRECT("1:"&amp;LEN(A205)))),1))," ",REPT(" ",LEN(A205))),LEN(A205)))), ROW(INDIRECT("1:"&amp;LEN((--TRIM(RIGHT(SUBSTITUTE(LEFT(A205,_xlfn.AGGREGATE(16,6,FIND({0,1,2,3,4,5,6,7,8,9},A205,ROW(INDIRECT("1:"&amp;LEN(A205)))),1))," ",REPT(" ",LEN(A205))),LEN(A205))))))), 1)) * ROW(INDIRECT("1:"&amp;LEN((--TRIM(RIGHT(SUBSTITUTE(LEFT(A205,_xlfn.AGGREGATE(16,6,FIND({0,1,2,3,4,5,6,7,8,9},A205,ROW(INDIRECT("1:"&amp;LEN(A205)))),1))," ",REPT(" ",LEN(A205))),LEN(A205))))))), 0), ROW(INDIRECT("1:"&amp;LEN((--TRIM(RIGHT(SUBSTITUTE(LEFT(A205,_xlfn.AGGREGATE(16,6,FIND({0,1,2,3,4,5,6,7,8,9},A205,ROW(INDIRECT("1:"&amp;LEN(A205)))),1))," ",REPT(" ",LEN(A205))),LEN(A205))))))))+1, 1) * 10^ROW(INDIRECT("1:"&amp;LEN((--TRIM(RIGHT(SUBSTITUTE(LEFT(A205,_xlfn.AGGREGATE(16,6,FIND({0,1,2,3,4,5,6,7,8,9},A205,ROW(INDIRECT("1:"&amp;LEN(A205)))),1))," ",REPT(" ",LEN(A205))),LEN(A205)))))))/10))*1+1</f>
        <v>206 ,.., 1006</v>
      </c>
      <c r="B206" s="75"/>
      <c r="C206" s="53">
        <v>1</v>
      </c>
      <c r="D206" s="41">
        <f>(2.75*4+1.825*1+2.35*2.1+2.25*2.75+2.975*1+1.2*1.5+1.1*1.2+1.3*0.9+2.1*0.75)*10.764</f>
        <v>352.92464999999999</v>
      </c>
      <c r="E206" s="41">
        <v>0</v>
      </c>
      <c r="F206" s="57">
        <v>582</v>
      </c>
      <c r="G206" s="74" t="str">
        <f t="shared" si="22"/>
        <v>2nd to 6th &amp; 8th to 10th Floor</v>
      </c>
      <c r="H206" s="75"/>
      <c r="I206" s="35"/>
      <c r="K206" s="58">
        <f t="shared" si="21"/>
        <v>1.6490772180407349</v>
      </c>
    </row>
    <row r="207" spans="1:14" s="36" customFormat="1" ht="15.75" customHeight="1" x14ac:dyDescent="0.3">
      <c r="A207" s="74" t="str">
        <f ca="1">(SUMPRODUCT(MID(0&amp;(LEFT(A206,SUM(LEN(A206)-LEN(SUBSTITUTE(A206,{"0","1","2"},""))))), LARGE(INDEX(ISNUMBER(--MID((LEFT(A206,SUM(LEN(A206)-LEN(SUBSTITUTE(A206,{"0","1","2"},""))))), ROW(INDIRECT("1:"&amp;LEN((LEFT(A206,SUM(LEN(A206)-LEN(SUBSTITUTE(A206,{"0","1","2"},"")))))))), 1)) * ROW(INDIRECT("1:"&amp;LEN((LEFT(A206,SUM(LEN(A206)-LEN(SUBSTITUTE(A206,{"0","1","2"},"")))))))), 0), ROW(INDIRECT("1:"&amp;LEN((LEFT(A206,SUM(LEN(A206)-LEN(SUBSTITUTE(A206,{"0","1","2"},"")))))))))+1, 1) * 10^ROW(INDIRECT("1:"&amp;LEN((LEFT(A206,SUM(LEN(A206)-LEN(SUBSTITUTE(A206,{"0","1","2"},""))))))))/10))*1+1&amp;""&amp;" ,.., "&amp;""&amp;(SUMPRODUCT(MID(0&amp;(--TRIM(RIGHT(SUBSTITUTE(LEFT(A206,_xlfn.AGGREGATE(16,6,FIND({0,1,2,3,4,5,6,7,8,9},A206,ROW(INDIRECT("1:"&amp;LEN(A206)))),1))," ",REPT(" ",LEN(A206))),LEN(A206)))), LARGE(INDEX(ISNUMBER(--MID((--TRIM(RIGHT(SUBSTITUTE(LEFT(A206,_xlfn.AGGREGATE(16,6,FIND({0,1,2,3,4,5,6,7,8,9},A206,ROW(INDIRECT("1:"&amp;LEN(A206)))),1))," ",REPT(" ",LEN(A206))),LEN(A206)))), ROW(INDIRECT("1:"&amp;LEN((--TRIM(RIGHT(SUBSTITUTE(LEFT(A206,_xlfn.AGGREGATE(16,6,FIND({0,1,2,3,4,5,6,7,8,9},A206,ROW(INDIRECT("1:"&amp;LEN(A206)))),1))," ",REPT(" ",LEN(A206))),LEN(A206))))))), 1)) * ROW(INDIRECT("1:"&amp;LEN((--TRIM(RIGHT(SUBSTITUTE(LEFT(A206,_xlfn.AGGREGATE(16,6,FIND({0,1,2,3,4,5,6,7,8,9},A206,ROW(INDIRECT("1:"&amp;LEN(A206)))),1))," ",REPT(" ",LEN(A206))),LEN(A206))))))), 0), ROW(INDIRECT("1:"&amp;LEN((--TRIM(RIGHT(SUBSTITUTE(LEFT(A206,_xlfn.AGGREGATE(16,6,FIND({0,1,2,3,4,5,6,7,8,9},A206,ROW(INDIRECT("1:"&amp;LEN(A206)))),1))," ",REPT(" ",LEN(A206))),LEN(A206))))))))+1, 1) * 10^ROW(INDIRECT("1:"&amp;LEN((--TRIM(RIGHT(SUBSTITUTE(LEFT(A206,_xlfn.AGGREGATE(16,6,FIND({0,1,2,3,4,5,6,7,8,9},A206,ROW(INDIRECT("1:"&amp;LEN(A206)))),1))," ",REPT(" ",LEN(A206))),LEN(A206)))))))/10))*1+1</f>
        <v>207 ,.., 1007</v>
      </c>
      <c r="B207" s="75"/>
      <c r="C207" s="53">
        <v>1</v>
      </c>
      <c r="D207" s="41">
        <f>(2.75*4+1.825*1+2.35*2.1+2.25*2.75+2.975*1+1.2*1.5+1.1*1.2+1.3*0.9+2.1*0.75)*10.764</f>
        <v>352.92464999999999</v>
      </c>
      <c r="E207" s="41">
        <v>0</v>
      </c>
      <c r="F207" s="57">
        <v>582</v>
      </c>
      <c r="G207" s="74" t="str">
        <f t="shared" si="22"/>
        <v>2nd to 6th &amp; 8th to 10th Floor</v>
      </c>
      <c r="H207" s="75"/>
      <c r="I207" s="35"/>
      <c r="K207" s="58">
        <f t="shared" si="21"/>
        <v>1.6490772180407349</v>
      </c>
    </row>
    <row r="208" spans="1:14" s="36" customFormat="1" ht="15.75" customHeight="1" x14ac:dyDescent="0.3">
      <c r="A208" s="74" t="str">
        <f ca="1">(SUMPRODUCT(MID(0&amp;(LEFT(A207,SUM(LEN(A207)-LEN(SUBSTITUTE(A207,{"0","1","2"},""))))), LARGE(INDEX(ISNUMBER(--MID((LEFT(A207,SUM(LEN(A207)-LEN(SUBSTITUTE(A207,{"0","1","2"},""))))), ROW(INDIRECT("1:"&amp;LEN((LEFT(A207,SUM(LEN(A207)-LEN(SUBSTITUTE(A207,{"0","1","2"},"")))))))), 1)) * ROW(INDIRECT("1:"&amp;LEN((LEFT(A207,SUM(LEN(A207)-LEN(SUBSTITUTE(A207,{"0","1","2"},"")))))))), 0), ROW(INDIRECT("1:"&amp;LEN((LEFT(A207,SUM(LEN(A207)-LEN(SUBSTITUTE(A207,{"0","1","2"},"")))))))))+1, 1) * 10^ROW(INDIRECT("1:"&amp;LEN((LEFT(A207,SUM(LEN(A207)-LEN(SUBSTITUTE(A207,{"0","1","2"},""))))))))/10))*1+1&amp;""&amp;" ,.., "&amp;""&amp;(SUMPRODUCT(MID(0&amp;(--TRIM(RIGHT(SUBSTITUTE(LEFT(A207,_xlfn.AGGREGATE(16,6,FIND({0,1,2,3,4,5,6,7,8,9},A207,ROW(INDIRECT("1:"&amp;LEN(A207)))),1))," ",REPT(" ",LEN(A207))),LEN(A207)))), LARGE(INDEX(ISNUMBER(--MID((--TRIM(RIGHT(SUBSTITUTE(LEFT(A207,_xlfn.AGGREGATE(16,6,FIND({0,1,2,3,4,5,6,7,8,9},A207,ROW(INDIRECT("1:"&amp;LEN(A207)))),1))," ",REPT(" ",LEN(A207))),LEN(A207)))), ROW(INDIRECT("1:"&amp;LEN((--TRIM(RIGHT(SUBSTITUTE(LEFT(A207,_xlfn.AGGREGATE(16,6,FIND({0,1,2,3,4,5,6,7,8,9},A207,ROW(INDIRECT("1:"&amp;LEN(A207)))),1))," ",REPT(" ",LEN(A207))),LEN(A207))))))), 1)) * ROW(INDIRECT("1:"&amp;LEN((--TRIM(RIGHT(SUBSTITUTE(LEFT(A207,_xlfn.AGGREGATE(16,6,FIND({0,1,2,3,4,5,6,7,8,9},A207,ROW(INDIRECT("1:"&amp;LEN(A207)))),1))," ",REPT(" ",LEN(A207))),LEN(A207))))))), 0), ROW(INDIRECT("1:"&amp;LEN((--TRIM(RIGHT(SUBSTITUTE(LEFT(A207,_xlfn.AGGREGATE(16,6,FIND({0,1,2,3,4,5,6,7,8,9},A207,ROW(INDIRECT("1:"&amp;LEN(A207)))),1))," ",REPT(" ",LEN(A207))),LEN(A207))))))))+1, 1) * 10^ROW(INDIRECT("1:"&amp;LEN((--TRIM(RIGHT(SUBSTITUTE(LEFT(A207,_xlfn.AGGREGATE(16,6,FIND({0,1,2,3,4,5,6,7,8,9},A207,ROW(INDIRECT("1:"&amp;LEN(A207)))),1))," ",REPT(" ",LEN(A207))),LEN(A207)))))))/10))*1+1</f>
        <v>208 ,.., 1008</v>
      </c>
      <c r="B208" s="75"/>
      <c r="C208" s="53">
        <v>1</v>
      </c>
      <c r="D208" s="41">
        <f>(2.75*4+1.825*1+1.75*1.6+2.35*2.1+2.25*2.75+3.05*1+1.8*0.9+2.1*0.75)*10.764</f>
        <v>355.13127000000003</v>
      </c>
      <c r="E208" s="41">
        <v>0</v>
      </c>
      <c r="F208" s="57">
        <v>580</v>
      </c>
      <c r="G208" s="74" t="str">
        <f t="shared" si="22"/>
        <v>2nd to 6th &amp; 8th to 10th Floor</v>
      </c>
      <c r="H208" s="75"/>
      <c r="I208" s="35"/>
      <c r="K208" s="58">
        <f t="shared" si="21"/>
        <v>1.6331989013527306</v>
      </c>
    </row>
    <row r="209" spans="1:14" s="36" customFormat="1" x14ac:dyDescent="0.3">
      <c r="A209" s="189" t="s">
        <v>186</v>
      </c>
      <c r="B209" s="189"/>
      <c r="C209" s="189"/>
      <c r="D209" s="189"/>
      <c r="E209" s="189"/>
      <c r="F209" s="189"/>
      <c r="G209" s="189"/>
      <c r="H209" s="189"/>
      <c r="I209" s="35"/>
      <c r="L209" s="183"/>
      <c r="M209" s="183"/>
    </row>
    <row r="210" spans="1:14" s="36" customFormat="1" x14ac:dyDescent="0.3">
      <c r="A210" s="79">
        <f>LEFT(A209,SUM(LEN(A209)-LEN(SUBSTITUTE(A209,{"0","1","2","3","4","5","6","7","8","9"},""))))*100+1</f>
        <v>701</v>
      </c>
      <c r="B210" s="79"/>
      <c r="C210" s="53">
        <v>1</v>
      </c>
      <c r="D210" s="41">
        <f>(2.75*4+1.825*1+1.75*1.6+2.35*2.1+2.25*2.75+3.05*1+1.8*0.9+2.1*0.75)*10.764</f>
        <v>355.13127000000003</v>
      </c>
      <c r="E210" s="41">
        <v>0</v>
      </c>
      <c r="F210" s="57">
        <v>580</v>
      </c>
      <c r="G210" s="79" t="str">
        <f>A209</f>
        <v>7th Floor (Part Refuge Area)</v>
      </c>
      <c r="H210" s="79"/>
      <c r="I210" s="35"/>
      <c r="K210" s="58">
        <f>(F210-E210)/D210</f>
        <v>1.6331989013527306</v>
      </c>
      <c r="N210" s="35"/>
    </row>
    <row r="211" spans="1:14" s="36" customFormat="1" x14ac:dyDescent="0.3">
      <c r="A211" s="79">
        <f t="shared" ref="A211:A217" si="23">A210+1</f>
        <v>702</v>
      </c>
      <c r="B211" s="79"/>
      <c r="C211" s="53">
        <v>1</v>
      </c>
      <c r="D211" s="41">
        <f>(2.75*4+1.825*1+2.35*2.1+2.25*2.75+2.975*1+1.2*1.5+1.1*1.2+1.3*0.9+2.1*0.75)*10.764</f>
        <v>352.92464999999999</v>
      </c>
      <c r="E211" s="41">
        <v>0</v>
      </c>
      <c r="F211" s="57">
        <v>582</v>
      </c>
      <c r="G211" s="79" t="str">
        <f t="shared" ref="G211:G217" si="24">G210</f>
        <v>7th Floor (Part Refuge Area)</v>
      </c>
      <c r="H211" s="79"/>
      <c r="I211" s="35"/>
      <c r="K211" s="58">
        <f t="shared" ref="K211:K217" si="25">(F211-E211)/D211</f>
        <v>1.6490772180407349</v>
      </c>
      <c r="N211" s="35"/>
    </row>
    <row r="212" spans="1:14" s="36" customFormat="1" x14ac:dyDescent="0.3">
      <c r="A212" s="79">
        <f t="shared" si="23"/>
        <v>703</v>
      </c>
      <c r="B212" s="79"/>
      <c r="C212" s="53">
        <v>1</v>
      </c>
      <c r="D212" s="41">
        <f>(2.75*4+1.825*1+2.35*2.1+2.25*2.75+2.975*1+1.2*1.5+1.1*1.2+1.3*0.9+2.1*0.75)*10.764</f>
        <v>352.92464999999999</v>
      </c>
      <c r="E212" s="41">
        <v>0</v>
      </c>
      <c r="F212" s="57">
        <v>582</v>
      </c>
      <c r="G212" s="79" t="str">
        <f t="shared" si="24"/>
        <v>7th Floor (Part Refuge Area)</v>
      </c>
      <c r="H212" s="79"/>
      <c r="I212" s="35"/>
      <c r="K212" s="58">
        <f t="shared" si="25"/>
        <v>1.6490772180407349</v>
      </c>
      <c r="N212" s="35"/>
    </row>
    <row r="213" spans="1:14" s="36" customFormat="1" x14ac:dyDescent="0.3">
      <c r="A213" s="79">
        <f t="shared" si="23"/>
        <v>704</v>
      </c>
      <c r="B213" s="79"/>
      <c r="C213" s="74" t="s">
        <v>185</v>
      </c>
      <c r="D213" s="134"/>
      <c r="E213" s="134"/>
      <c r="F213" s="75"/>
      <c r="G213" s="79" t="str">
        <f t="shared" si="24"/>
        <v>7th Floor (Part Refuge Area)</v>
      </c>
      <c r="H213" s="79"/>
      <c r="I213" s="35"/>
      <c r="K213" s="58"/>
      <c r="N213" s="35"/>
    </row>
    <row r="214" spans="1:14" s="36" customFormat="1" ht="15" customHeight="1" x14ac:dyDescent="0.3">
      <c r="A214" s="79">
        <f t="shared" si="23"/>
        <v>705</v>
      </c>
      <c r="B214" s="79"/>
      <c r="C214" s="53">
        <v>1</v>
      </c>
      <c r="D214" s="41">
        <f>(2.75*4+1.75*1.6+2.35*2.1+2.25*2.75+3.05*1+1.8*0.9+2.1*0.75+1.825*1)*10.764</f>
        <v>355.13126999999997</v>
      </c>
      <c r="E214" s="41">
        <v>0</v>
      </c>
      <c r="F214" s="57">
        <v>580</v>
      </c>
      <c r="G214" s="79" t="str">
        <f t="shared" si="24"/>
        <v>7th Floor (Part Refuge Area)</v>
      </c>
      <c r="H214" s="79"/>
      <c r="I214" s="35"/>
      <c r="K214" s="58">
        <f t="shared" si="25"/>
        <v>1.6331989013527308</v>
      </c>
      <c r="N214" s="35"/>
    </row>
    <row r="215" spans="1:14" s="36" customFormat="1" x14ac:dyDescent="0.3">
      <c r="A215" s="79">
        <f t="shared" si="23"/>
        <v>706</v>
      </c>
      <c r="B215" s="79"/>
      <c r="C215" s="53">
        <v>1</v>
      </c>
      <c r="D215" s="41">
        <f>(2.75*4+1.825*1+2.35*2.1+2.25*2.75+2.975*1+1.2*1.5+1.1*1.2+1.3*0.9+2.1*0.75)*10.764</f>
        <v>352.92464999999999</v>
      </c>
      <c r="E215" s="41">
        <v>0</v>
      </c>
      <c r="F215" s="57">
        <v>582</v>
      </c>
      <c r="G215" s="79" t="str">
        <f t="shared" si="24"/>
        <v>7th Floor (Part Refuge Area)</v>
      </c>
      <c r="H215" s="79"/>
      <c r="I215" s="35"/>
      <c r="K215" s="58">
        <f t="shared" si="25"/>
        <v>1.6490772180407349</v>
      </c>
      <c r="N215" s="35"/>
    </row>
    <row r="216" spans="1:14" s="36" customFormat="1" x14ac:dyDescent="0.3">
      <c r="A216" s="79">
        <f t="shared" si="23"/>
        <v>707</v>
      </c>
      <c r="B216" s="79"/>
      <c r="C216" s="53">
        <v>1</v>
      </c>
      <c r="D216" s="41">
        <f>(2.75*4+1.825*1+2.35*2.1+2.25*2.75+2.975*1+1.2*1.5+1.1*1.2+1.3*0.9+2.1*0.75)*10.764</f>
        <v>352.92464999999999</v>
      </c>
      <c r="E216" s="41">
        <v>0</v>
      </c>
      <c r="F216" s="57">
        <v>582</v>
      </c>
      <c r="G216" s="79" t="str">
        <f t="shared" si="24"/>
        <v>7th Floor (Part Refuge Area)</v>
      </c>
      <c r="H216" s="79"/>
      <c r="I216" s="35"/>
      <c r="K216" s="58">
        <f t="shared" si="25"/>
        <v>1.6490772180407349</v>
      </c>
      <c r="N216" s="35"/>
    </row>
    <row r="217" spans="1:14" s="36" customFormat="1" ht="15" customHeight="1" x14ac:dyDescent="0.3">
      <c r="A217" s="79">
        <f t="shared" si="23"/>
        <v>708</v>
      </c>
      <c r="B217" s="79"/>
      <c r="C217" s="53">
        <v>1</v>
      </c>
      <c r="D217" s="41">
        <f>(2.75*4+1.825*1+1.75*1.6+2.35*2.1+2.25*2.75+3.05*1+1.8*0.9+2.1*0.75)*10.764</f>
        <v>355.13127000000003</v>
      </c>
      <c r="E217" s="41">
        <v>0</v>
      </c>
      <c r="F217" s="57">
        <v>580</v>
      </c>
      <c r="G217" s="79" t="str">
        <f t="shared" si="24"/>
        <v>7th Floor (Part Refuge Area)</v>
      </c>
      <c r="H217" s="79"/>
      <c r="I217" s="35"/>
      <c r="K217" s="58">
        <f t="shared" si="25"/>
        <v>1.6331989013527306</v>
      </c>
      <c r="N217" s="35"/>
    </row>
    <row r="218" spans="1:14" s="34" customFormat="1" x14ac:dyDescent="0.3">
      <c r="A218" s="133" t="s">
        <v>69</v>
      </c>
      <c r="B218" s="133"/>
      <c r="C218" s="133"/>
      <c r="D218" s="133"/>
      <c r="E218" s="133"/>
      <c r="F218" s="133"/>
      <c r="G218" s="133"/>
      <c r="H218" s="133"/>
    </row>
    <row r="219" spans="1:14" s="34" customFormat="1" ht="36" customHeight="1" x14ac:dyDescent="0.3">
      <c r="A219" s="45" t="s">
        <v>155</v>
      </c>
      <c r="B219" s="125" t="s">
        <v>229</v>
      </c>
      <c r="C219" s="126"/>
      <c r="D219" s="126"/>
      <c r="E219" s="126"/>
      <c r="F219" s="126"/>
      <c r="G219" s="126"/>
      <c r="H219" s="127"/>
    </row>
    <row r="220" spans="1:14" s="34" customFormat="1" ht="15.75" customHeight="1" x14ac:dyDescent="0.3">
      <c r="A220" s="45" t="s">
        <v>155</v>
      </c>
      <c r="B220" s="125" t="str">
        <f>(IF(F140="Saleable area Loading :","We have considered Saleable area of Flats as per our Calculation.","We considered Saleable area of Flat as per Builder area Sheet."))</f>
        <v>We considered Saleable area of Flat as per Builder area Sheet.</v>
      </c>
      <c r="C220" s="126"/>
      <c r="D220" s="126"/>
      <c r="E220" s="126"/>
      <c r="F220" s="126"/>
      <c r="G220" s="126"/>
      <c r="H220" s="127"/>
    </row>
    <row r="221" spans="1:14" s="34" customFormat="1" x14ac:dyDescent="0.3">
      <c r="A221" s="45" t="s">
        <v>155</v>
      </c>
      <c r="B221" s="125" t="str">
        <f>(IF(F120="Saleable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221" s="126"/>
      <c r="D221" s="126"/>
      <c r="E221" s="126"/>
      <c r="F221" s="126"/>
      <c r="G221" s="126"/>
      <c r="H221" s="127"/>
    </row>
    <row r="222" spans="1:14" s="34" customFormat="1" x14ac:dyDescent="0.3">
      <c r="A222" s="45" t="s">
        <v>155</v>
      </c>
      <c r="B222" s="68" t="s">
        <v>125</v>
      </c>
      <c r="C222" s="69"/>
      <c r="D222" s="69"/>
      <c r="E222" s="69"/>
      <c r="F222" s="69"/>
      <c r="G222" s="69"/>
      <c r="H222" s="70"/>
    </row>
    <row r="223" spans="1:14" s="34" customFormat="1" x14ac:dyDescent="0.3">
      <c r="A223" s="45" t="s">
        <v>155</v>
      </c>
      <c r="B223" s="68" t="s">
        <v>191</v>
      </c>
      <c r="C223" s="69"/>
      <c r="D223" s="69"/>
      <c r="E223" s="69"/>
      <c r="F223" s="69"/>
      <c r="G223" s="69"/>
      <c r="H223" s="70"/>
    </row>
    <row r="224" spans="1:14" s="34" customFormat="1" x14ac:dyDescent="0.3">
      <c r="A224" s="45" t="s">
        <v>155</v>
      </c>
      <c r="B224" s="68" t="s">
        <v>154</v>
      </c>
      <c r="C224" s="69"/>
      <c r="D224" s="69"/>
      <c r="E224" s="69"/>
      <c r="F224" s="69"/>
      <c r="G224" s="69"/>
      <c r="H224" s="70"/>
    </row>
    <row r="225" spans="1:8" s="34" customFormat="1" x14ac:dyDescent="0.3">
      <c r="A225" s="45" t="s">
        <v>155</v>
      </c>
      <c r="B225" s="68" t="s">
        <v>126</v>
      </c>
      <c r="C225" s="69"/>
      <c r="D225" s="69"/>
      <c r="E225" s="69"/>
      <c r="F225" s="69"/>
      <c r="G225" s="69"/>
      <c r="H225" s="70"/>
    </row>
    <row r="226" spans="1:8" s="34" customFormat="1" ht="34.5" customHeight="1" x14ac:dyDescent="0.3">
      <c r="A226" s="45" t="s">
        <v>155</v>
      </c>
      <c r="B226" s="68" t="s">
        <v>156</v>
      </c>
      <c r="C226" s="69"/>
      <c r="D226" s="69"/>
      <c r="E226" s="69"/>
      <c r="F226" s="69"/>
      <c r="G226" s="69"/>
      <c r="H226" s="70"/>
    </row>
    <row r="227" spans="1:8" s="34" customFormat="1" x14ac:dyDescent="0.3">
      <c r="A227" s="45" t="s">
        <v>155</v>
      </c>
      <c r="B227" s="68" t="s">
        <v>127</v>
      </c>
      <c r="C227" s="69"/>
      <c r="D227" s="69"/>
      <c r="E227" s="69"/>
      <c r="F227" s="69"/>
      <c r="G227" s="69"/>
      <c r="H227" s="70"/>
    </row>
    <row r="228" spans="1:8" s="34" customFormat="1" x14ac:dyDescent="0.3">
      <c r="A228" s="45" t="s">
        <v>155</v>
      </c>
      <c r="B228" s="68" t="s">
        <v>220</v>
      </c>
      <c r="C228" s="69"/>
      <c r="D228" s="69"/>
      <c r="E228" s="69"/>
      <c r="F228" s="69"/>
      <c r="G228" s="69"/>
      <c r="H228" s="70"/>
    </row>
    <row r="229" spans="1:8" x14ac:dyDescent="0.3">
      <c r="A229" s="138" t="s">
        <v>62</v>
      </c>
      <c r="B229" s="138"/>
      <c r="C229" s="138"/>
      <c r="D229" s="138"/>
      <c r="E229" s="138"/>
      <c r="F229" s="138"/>
      <c r="G229" s="138"/>
      <c r="H229" s="138"/>
    </row>
    <row r="230" spans="1:8" x14ac:dyDescent="0.3">
      <c r="A230" s="89" t="s">
        <v>63</v>
      </c>
      <c r="B230" s="89"/>
      <c r="C230" s="89"/>
      <c r="D230" s="89"/>
      <c r="E230" s="89"/>
      <c r="F230" s="89"/>
      <c r="G230" s="89"/>
      <c r="H230" s="89"/>
    </row>
    <row r="231" spans="1:8" ht="15.75" customHeight="1" x14ac:dyDescent="0.3">
      <c r="A231" s="113" t="s">
        <v>64</v>
      </c>
      <c r="B231" s="113"/>
      <c r="C231" s="113"/>
      <c r="D231" s="113"/>
      <c r="E231" s="113"/>
      <c r="F231" s="113"/>
      <c r="G231" s="113"/>
      <c r="H231" s="113"/>
    </row>
    <row r="232" spans="1:8" x14ac:dyDescent="0.3">
      <c r="A232" s="89" t="s">
        <v>65</v>
      </c>
      <c r="B232" s="89"/>
      <c r="C232" s="89"/>
      <c r="D232" s="89"/>
      <c r="E232" s="89"/>
      <c r="F232" s="89"/>
      <c r="G232" s="89"/>
      <c r="H232" s="89"/>
    </row>
    <row r="233" spans="1:8" x14ac:dyDescent="0.3">
      <c r="A233" s="89" t="s">
        <v>66</v>
      </c>
      <c r="B233" s="89"/>
      <c r="C233" s="89"/>
      <c r="D233" s="89"/>
      <c r="E233" s="89"/>
      <c r="F233" s="89"/>
      <c r="G233" s="89"/>
      <c r="H233" s="89"/>
    </row>
    <row r="234" spans="1:8" x14ac:dyDescent="0.3">
      <c r="A234" s="89" t="s">
        <v>128</v>
      </c>
      <c r="B234" s="89"/>
      <c r="C234" s="89"/>
      <c r="D234" s="89"/>
      <c r="E234" s="89"/>
      <c r="F234" s="89"/>
      <c r="G234" s="89"/>
      <c r="H234" s="89"/>
    </row>
    <row r="235" spans="1:8" ht="35.25" customHeight="1" x14ac:dyDescent="0.3">
      <c r="A235" s="101" t="s">
        <v>129</v>
      </c>
      <c r="B235" s="101"/>
      <c r="C235" s="101"/>
      <c r="D235" s="101"/>
      <c r="E235" s="101"/>
      <c r="F235" s="101"/>
      <c r="G235" s="101"/>
      <c r="H235" s="101"/>
    </row>
    <row r="236" spans="1:8" x14ac:dyDescent="0.3">
      <c r="A236" s="136" t="s">
        <v>78</v>
      </c>
      <c r="B236" s="136"/>
      <c r="C236" s="136" t="s">
        <v>230</v>
      </c>
      <c r="D236" s="136"/>
      <c r="E236" s="136" t="s">
        <v>105</v>
      </c>
      <c r="F236" s="136"/>
      <c r="G236" s="136" t="s">
        <v>227</v>
      </c>
      <c r="H236" s="136"/>
    </row>
    <row r="237" spans="1:8" x14ac:dyDescent="0.3">
      <c r="A237" s="135" t="s">
        <v>80</v>
      </c>
      <c r="B237" s="135"/>
      <c r="C237" s="135"/>
      <c r="D237" s="135"/>
      <c r="E237" s="135"/>
      <c r="F237" s="135"/>
      <c r="G237" s="135"/>
      <c r="H237" s="135"/>
    </row>
    <row r="238" spans="1:8" x14ac:dyDescent="0.3">
      <c r="A238" s="135"/>
      <c r="B238" s="135"/>
      <c r="C238" s="135"/>
      <c r="D238" s="135"/>
      <c r="E238" s="135"/>
      <c r="F238" s="135"/>
      <c r="G238" s="135"/>
      <c r="H238" s="135"/>
    </row>
    <row r="239" spans="1:8" x14ac:dyDescent="0.3">
      <c r="A239" s="135"/>
      <c r="B239" s="135"/>
      <c r="C239" s="135"/>
      <c r="D239" s="135"/>
      <c r="E239" s="135"/>
      <c r="F239" s="135"/>
      <c r="G239" s="135"/>
      <c r="H239" s="135"/>
    </row>
    <row r="240" spans="1:8" x14ac:dyDescent="0.3">
      <c r="A240" s="135"/>
      <c r="B240" s="135"/>
      <c r="C240" s="135"/>
      <c r="D240" s="135"/>
      <c r="E240" s="135"/>
      <c r="F240" s="135"/>
      <c r="G240" s="135"/>
      <c r="H240" s="135"/>
    </row>
    <row r="241" spans="1:8" x14ac:dyDescent="0.3">
      <c r="A241" s="37" t="s">
        <v>67</v>
      </c>
      <c r="B241" s="38"/>
      <c r="C241" s="38"/>
      <c r="D241" s="37" t="str">
        <f>E8</f>
        <v>Nandanvan</v>
      </c>
      <c r="F241" s="38"/>
      <c r="G241" s="38"/>
      <c r="H241" s="38"/>
    </row>
    <row r="242" spans="1:8" x14ac:dyDescent="0.3">
      <c r="A242" s="38"/>
      <c r="B242" s="38"/>
      <c r="C242" s="38"/>
      <c r="D242" s="38"/>
      <c r="E242" s="38"/>
      <c r="F242" s="38"/>
      <c r="G242" s="38"/>
      <c r="H242" s="38"/>
    </row>
    <row r="243" spans="1:8" x14ac:dyDescent="0.3">
      <c r="A243" s="38"/>
      <c r="B243" s="38"/>
      <c r="C243" s="38"/>
      <c r="D243" s="38"/>
      <c r="E243" s="38"/>
      <c r="F243" s="38"/>
      <c r="G243" s="38"/>
      <c r="H243" s="38"/>
    </row>
    <row r="244" spans="1:8" ht="15" customHeight="1" x14ac:dyDescent="0.3"/>
    <row r="283" spans="1:1" x14ac:dyDescent="0.3">
      <c r="A283" s="40" t="s">
        <v>68</v>
      </c>
    </row>
  </sheetData>
  <mergeCells count="462">
    <mergeCell ref="L209:M209"/>
    <mergeCell ref="A210:B210"/>
    <mergeCell ref="G210:H210"/>
    <mergeCell ref="A212:B212"/>
    <mergeCell ref="G212:H212"/>
    <mergeCell ref="A213:B213"/>
    <mergeCell ref="G213:H213"/>
    <mergeCell ref="A206:B206"/>
    <mergeCell ref="G206:H206"/>
    <mergeCell ref="A207:B207"/>
    <mergeCell ref="G207:H207"/>
    <mergeCell ref="A208:B208"/>
    <mergeCell ref="G208:H208"/>
    <mergeCell ref="A209:H209"/>
    <mergeCell ref="A214:B214"/>
    <mergeCell ref="G214:H214"/>
    <mergeCell ref="A215:B215"/>
    <mergeCell ref="G215:H215"/>
    <mergeCell ref="A216:B216"/>
    <mergeCell ref="G216:H216"/>
    <mergeCell ref="A217:B217"/>
    <mergeCell ref="G217:H217"/>
    <mergeCell ref="C213:F213"/>
    <mergeCell ref="A205:B205"/>
    <mergeCell ref="G205:H205"/>
    <mergeCell ref="A196:B196"/>
    <mergeCell ref="G196:H196"/>
    <mergeCell ref="A197:B197"/>
    <mergeCell ref="G197:H197"/>
    <mergeCell ref="A198:B198"/>
    <mergeCell ref="G198:H198"/>
    <mergeCell ref="A199:B199"/>
    <mergeCell ref="G199:H199"/>
    <mergeCell ref="A200:H200"/>
    <mergeCell ref="A201:B201"/>
    <mergeCell ref="G201:H201"/>
    <mergeCell ref="A202:B202"/>
    <mergeCell ref="G202:H202"/>
    <mergeCell ref="A203:B203"/>
    <mergeCell ref="G203:H203"/>
    <mergeCell ref="A204:B204"/>
    <mergeCell ref="G204:H204"/>
    <mergeCell ref="A191:H191"/>
    <mergeCell ref="L191:M191"/>
    <mergeCell ref="A192:B192"/>
    <mergeCell ref="G192:H192"/>
    <mergeCell ref="A193:B193"/>
    <mergeCell ref="G193:H193"/>
    <mergeCell ref="A194:B194"/>
    <mergeCell ref="G194:H194"/>
    <mergeCell ref="A195:B195"/>
    <mergeCell ref="G195:H195"/>
    <mergeCell ref="A190:H190"/>
    <mergeCell ref="A134:H134"/>
    <mergeCell ref="A135:B135"/>
    <mergeCell ref="G135:H135"/>
    <mergeCell ref="L135:M135"/>
    <mergeCell ref="A136:B136"/>
    <mergeCell ref="G136:H136"/>
    <mergeCell ref="L136:M136"/>
    <mergeCell ref="A137:B137"/>
    <mergeCell ref="G137:H137"/>
    <mergeCell ref="L137:M137"/>
    <mergeCell ref="A138:B138"/>
    <mergeCell ref="G138:H138"/>
    <mergeCell ref="L138:M138"/>
    <mergeCell ref="A185:B185"/>
    <mergeCell ref="G185:H185"/>
    <mergeCell ref="A186:B186"/>
    <mergeCell ref="G186:H186"/>
    <mergeCell ref="A187:B187"/>
    <mergeCell ref="G187:H187"/>
    <mergeCell ref="A188:B188"/>
    <mergeCell ref="G188:H188"/>
    <mergeCell ref="A189:B189"/>
    <mergeCell ref="G189:H189"/>
    <mergeCell ref="L178:M178"/>
    <mergeCell ref="A179:B179"/>
    <mergeCell ref="G179:H179"/>
    <mergeCell ref="C185:F186"/>
    <mergeCell ref="A180:B180"/>
    <mergeCell ref="G180:H180"/>
    <mergeCell ref="A181:B181"/>
    <mergeCell ref="G181:H181"/>
    <mergeCell ref="A182:B182"/>
    <mergeCell ref="G182:H182"/>
    <mergeCell ref="A183:B183"/>
    <mergeCell ref="G183:H183"/>
    <mergeCell ref="A184:B184"/>
    <mergeCell ref="G184:H184"/>
    <mergeCell ref="A162:B162"/>
    <mergeCell ref="G162:H162"/>
    <mergeCell ref="A163:B163"/>
    <mergeCell ref="G163:H163"/>
    <mergeCell ref="A164:B164"/>
    <mergeCell ref="G164:H164"/>
    <mergeCell ref="A165:B165"/>
    <mergeCell ref="G165:H165"/>
    <mergeCell ref="A178:H178"/>
    <mergeCell ref="A170:B170"/>
    <mergeCell ref="G170:H170"/>
    <mergeCell ref="A176:B176"/>
    <mergeCell ref="G176:H176"/>
    <mergeCell ref="A177:B177"/>
    <mergeCell ref="G177:H177"/>
    <mergeCell ref="A157:B157"/>
    <mergeCell ref="G157:H157"/>
    <mergeCell ref="A158:B158"/>
    <mergeCell ref="G158:H158"/>
    <mergeCell ref="A159:B159"/>
    <mergeCell ref="G159:H159"/>
    <mergeCell ref="A160:B160"/>
    <mergeCell ref="G160:H160"/>
    <mergeCell ref="A161:B161"/>
    <mergeCell ref="G161:H161"/>
    <mergeCell ref="G151:H151"/>
    <mergeCell ref="A152:B152"/>
    <mergeCell ref="G152:H152"/>
    <mergeCell ref="A153:B153"/>
    <mergeCell ref="G153:H153"/>
    <mergeCell ref="A154:H154"/>
    <mergeCell ref="A155:B155"/>
    <mergeCell ref="G155:H155"/>
    <mergeCell ref="A156:B156"/>
    <mergeCell ref="G156:H156"/>
    <mergeCell ref="L127:M127"/>
    <mergeCell ref="A143:B143"/>
    <mergeCell ref="G143:H143"/>
    <mergeCell ref="A131:B131"/>
    <mergeCell ref="G131:H131"/>
    <mergeCell ref="A148:B148"/>
    <mergeCell ref="G148:H148"/>
    <mergeCell ref="A149:B149"/>
    <mergeCell ref="G149:H149"/>
    <mergeCell ref="A144:B144"/>
    <mergeCell ref="L131:M131"/>
    <mergeCell ref="A132:B132"/>
    <mergeCell ref="G132:H132"/>
    <mergeCell ref="L132:M132"/>
    <mergeCell ref="A141:H141"/>
    <mergeCell ref="A142:H142"/>
    <mergeCell ref="L142:M142"/>
    <mergeCell ref="A133:H133"/>
    <mergeCell ref="A128:B128"/>
    <mergeCell ref="G128:H128"/>
    <mergeCell ref="L128:M128"/>
    <mergeCell ref="A129:B129"/>
    <mergeCell ref="G129:H129"/>
    <mergeCell ref="L129:M129"/>
    <mergeCell ref="A130:B130"/>
    <mergeCell ref="G130:H130"/>
    <mergeCell ref="L130:M130"/>
    <mergeCell ref="B226:H226"/>
    <mergeCell ref="A47:B47"/>
    <mergeCell ref="C47:H47"/>
    <mergeCell ref="B224:H224"/>
    <mergeCell ref="G85:H94"/>
    <mergeCell ref="A86:B86"/>
    <mergeCell ref="A87:B87"/>
    <mergeCell ref="A88:B88"/>
    <mergeCell ref="F97:H97"/>
    <mergeCell ref="A97:E97"/>
    <mergeCell ref="A98:E98"/>
    <mergeCell ref="A123:B123"/>
    <mergeCell ref="A124:B124"/>
    <mergeCell ref="A125:B125"/>
    <mergeCell ref="F98:H98"/>
    <mergeCell ref="F104:H104"/>
    <mergeCell ref="A111:B111"/>
    <mergeCell ref="A105:E105"/>
    <mergeCell ref="G117:H117"/>
    <mergeCell ref="C111:D111"/>
    <mergeCell ref="G127:H127"/>
    <mergeCell ref="A150:B150"/>
    <mergeCell ref="G150:H150"/>
    <mergeCell ref="A151:B151"/>
    <mergeCell ref="F105:H105"/>
    <mergeCell ref="F103:H103"/>
    <mergeCell ref="G109:H109"/>
    <mergeCell ref="A95:E95"/>
    <mergeCell ref="L126:M126"/>
    <mergeCell ref="L125:M125"/>
    <mergeCell ref="L124:M124"/>
    <mergeCell ref="L123:M123"/>
    <mergeCell ref="A126:B126"/>
    <mergeCell ref="A100:E100"/>
    <mergeCell ref="F100:H100"/>
    <mergeCell ref="E111:F111"/>
    <mergeCell ref="G111:H111"/>
    <mergeCell ref="A101:E101"/>
    <mergeCell ref="A103:E103"/>
    <mergeCell ref="A102:E102"/>
    <mergeCell ref="A104:E104"/>
    <mergeCell ref="C110:D110"/>
    <mergeCell ref="E110:F110"/>
    <mergeCell ref="A109:B109"/>
    <mergeCell ref="F102:H102"/>
    <mergeCell ref="A78:B78"/>
    <mergeCell ref="C115:D115"/>
    <mergeCell ref="E115:F115"/>
    <mergeCell ref="G115:H115"/>
    <mergeCell ref="F101:H101"/>
    <mergeCell ref="A96:E96"/>
    <mergeCell ref="A122:H122"/>
    <mergeCell ref="G120:H120"/>
    <mergeCell ref="A85:B85"/>
    <mergeCell ref="E85:F94"/>
    <mergeCell ref="A92:B92"/>
    <mergeCell ref="A93:B93"/>
    <mergeCell ref="A94:B94"/>
    <mergeCell ref="F95:H95"/>
    <mergeCell ref="F99:H99"/>
    <mergeCell ref="E114:F114"/>
    <mergeCell ref="A117:B117"/>
    <mergeCell ref="E109:F109"/>
    <mergeCell ref="A99:E99"/>
    <mergeCell ref="A83:B83"/>
    <mergeCell ref="C83:H83"/>
    <mergeCell ref="A84:B84"/>
    <mergeCell ref="E84:F84"/>
    <mergeCell ref="G84:H84"/>
    <mergeCell ref="A61:C61"/>
    <mergeCell ref="D60:H60"/>
    <mergeCell ref="E71:F80"/>
    <mergeCell ref="G71:H80"/>
    <mergeCell ref="A79:B79"/>
    <mergeCell ref="A80:B80"/>
    <mergeCell ref="D61:H61"/>
    <mergeCell ref="A42:D42"/>
    <mergeCell ref="E42:H42"/>
    <mergeCell ref="E43:H43"/>
    <mergeCell ref="E44:H44"/>
    <mergeCell ref="E45:H45"/>
    <mergeCell ref="A43:D43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36:H36"/>
    <mergeCell ref="A35:B35"/>
    <mergeCell ref="C35:E35"/>
    <mergeCell ref="A40:D40"/>
    <mergeCell ref="E40:H40"/>
    <mergeCell ref="F32:H32"/>
    <mergeCell ref="F33:H33"/>
    <mergeCell ref="A39:H39"/>
    <mergeCell ref="A60:C60"/>
    <mergeCell ref="F35:H35"/>
    <mergeCell ref="A37:B37"/>
    <mergeCell ref="A44:D44"/>
    <mergeCell ref="A45:D45"/>
    <mergeCell ref="A46:H46"/>
    <mergeCell ref="D57:H57"/>
    <mergeCell ref="A57:C57"/>
    <mergeCell ref="G49:H49"/>
    <mergeCell ref="A50:B51"/>
    <mergeCell ref="C52:E52"/>
    <mergeCell ref="A49:B49"/>
    <mergeCell ref="A54:H54"/>
    <mergeCell ref="A38:B38"/>
    <mergeCell ref="C38:H38"/>
    <mergeCell ref="C48:E48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7:D7"/>
    <mergeCell ref="E7:H7"/>
    <mergeCell ref="A15:B15"/>
    <mergeCell ref="A12:D12"/>
    <mergeCell ref="E12:H12"/>
    <mergeCell ref="A13:D13"/>
    <mergeCell ref="A21:D22"/>
    <mergeCell ref="E21:H22"/>
    <mergeCell ref="E13:H13"/>
    <mergeCell ref="A14:B14"/>
    <mergeCell ref="C14:H14"/>
    <mergeCell ref="C15:H15"/>
    <mergeCell ref="A16:B16"/>
    <mergeCell ref="C16:H16"/>
    <mergeCell ref="A10:D10"/>
    <mergeCell ref="E10:H10"/>
    <mergeCell ref="G123:H123"/>
    <mergeCell ref="G124:H124"/>
    <mergeCell ref="G126:H126"/>
    <mergeCell ref="A234:H234"/>
    <mergeCell ref="A65:C65"/>
    <mergeCell ref="D65:H65"/>
    <mergeCell ref="A71:B71"/>
    <mergeCell ref="G70:H7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4:B74"/>
    <mergeCell ref="E70:F70"/>
    <mergeCell ref="A63:C63"/>
    <mergeCell ref="D63:H63"/>
    <mergeCell ref="A237:H240"/>
    <mergeCell ref="A236:B236"/>
    <mergeCell ref="E236:F236"/>
    <mergeCell ref="C236:D236"/>
    <mergeCell ref="G236:H236"/>
    <mergeCell ref="A108:H108"/>
    <mergeCell ref="A106:E106"/>
    <mergeCell ref="F106:H106"/>
    <mergeCell ref="A107:E107"/>
    <mergeCell ref="F107:H107"/>
    <mergeCell ref="A115:B115"/>
    <mergeCell ref="A110:B110"/>
    <mergeCell ref="A232:H232"/>
    <mergeCell ref="A113:H113"/>
    <mergeCell ref="A235:H235"/>
    <mergeCell ref="A233:H233"/>
    <mergeCell ref="A229:H229"/>
    <mergeCell ref="A230:H230"/>
    <mergeCell ref="B227:H227"/>
    <mergeCell ref="G125:H125"/>
    <mergeCell ref="G116:H116"/>
    <mergeCell ref="C114:D114"/>
    <mergeCell ref="G114:H114"/>
    <mergeCell ref="C109:D109"/>
    <mergeCell ref="E41:H41"/>
    <mergeCell ref="A41:D41"/>
    <mergeCell ref="B225:H225"/>
    <mergeCell ref="B221:H221"/>
    <mergeCell ref="A118:H118"/>
    <mergeCell ref="A119:H119"/>
    <mergeCell ref="B223:H223"/>
    <mergeCell ref="A218:H218"/>
    <mergeCell ref="A121:H121"/>
    <mergeCell ref="A127:B127"/>
    <mergeCell ref="A139:H139"/>
    <mergeCell ref="A211:B211"/>
    <mergeCell ref="G211:H211"/>
    <mergeCell ref="G144:H144"/>
    <mergeCell ref="A145:B145"/>
    <mergeCell ref="G145:H145"/>
    <mergeCell ref="A146:B146"/>
    <mergeCell ref="G146:H146"/>
    <mergeCell ref="A147:B147"/>
    <mergeCell ref="G147:H147"/>
    <mergeCell ref="A66:C66"/>
    <mergeCell ref="D66:H66"/>
    <mergeCell ref="A64:C64"/>
    <mergeCell ref="D64:H64"/>
    <mergeCell ref="A231:H231"/>
    <mergeCell ref="A114:B114"/>
    <mergeCell ref="G140:H140"/>
    <mergeCell ref="A89:B89"/>
    <mergeCell ref="A90:B90"/>
    <mergeCell ref="A91:B91"/>
    <mergeCell ref="A81:B81"/>
    <mergeCell ref="C81:H81"/>
    <mergeCell ref="C117:D117"/>
    <mergeCell ref="E117:F117"/>
    <mergeCell ref="B219:H219"/>
    <mergeCell ref="B220:H220"/>
    <mergeCell ref="B222:H222"/>
    <mergeCell ref="A112:B112"/>
    <mergeCell ref="C112:D112"/>
    <mergeCell ref="E112:F112"/>
    <mergeCell ref="G112:H112"/>
    <mergeCell ref="A116:B116"/>
    <mergeCell ref="C116:D116"/>
    <mergeCell ref="E116:F116"/>
    <mergeCell ref="G48:H48"/>
    <mergeCell ref="G50:H50"/>
    <mergeCell ref="D55:H55"/>
    <mergeCell ref="C50:E50"/>
    <mergeCell ref="A58:C59"/>
    <mergeCell ref="D58:H58"/>
    <mergeCell ref="D59:H59"/>
    <mergeCell ref="C49:E49"/>
    <mergeCell ref="A55:C55"/>
    <mergeCell ref="A56:C56"/>
    <mergeCell ref="D56:H56"/>
    <mergeCell ref="G52:H52"/>
    <mergeCell ref="A52:B53"/>
    <mergeCell ref="C53:H53"/>
    <mergeCell ref="C51:H51"/>
    <mergeCell ref="I173:M173"/>
    <mergeCell ref="B228:H228"/>
    <mergeCell ref="C37:H37"/>
    <mergeCell ref="A171:B171"/>
    <mergeCell ref="G171:H171"/>
    <mergeCell ref="A172:B172"/>
    <mergeCell ref="G172:H172"/>
    <mergeCell ref="A173:B173"/>
    <mergeCell ref="G173:H173"/>
    <mergeCell ref="A174:B174"/>
    <mergeCell ref="G174:H174"/>
    <mergeCell ref="A175:B175"/>
    <mergeCell ref="G175:H175"/>
    <mergeCell ref="A166:H166"/>
    <mergeCell ref="A167:B167"/>
    <mergeCell ref="G167:H167"/>
    <mergeCell ref="A168:B168"/>
    <mergeCell ref="G168:H168"/>
    <mergeCell ref="A169:B169"/>
    <mergeCell ref="G169:H169"/>
    <mergeCell ref="A76:B76"/>
    <mergeCell ref="F96:H96"/>
    <mergeCell ref="G110:H110"/>
    <mergeCell ref="A48:B48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6" max="7" man="1"/>
    <brk id="228" max="7" man="1"/>
    <brk id="240" max="16383" man="1"/>
    <brk id="28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96" t="s">
        <v>106</v>
      </c>
      <c r="C3" s="196"/>
      <c r="D3" s="196"/>
      <c r="E3" s="196"/>
      <c r="F3" s="196"/>
      <c r="G3" s="196"/>
      <c r="H3" s="196"/>
    </row>
    <row r="4" spans="1:9" x14ac:dyDescent="0.3">
      <c r="A4" s="2"/>
      <c r="B4" s="3" t="s">
        <v>107</v>
      </c>
      <c r="C4" s="3" t="s">
        <v>108</v>
      </c>
      <c r="D4" s="3" t="s">
        <v>70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C2"/>
  <sheetViews>
    <sheetView zoomScale="145" zoomScaleNormal="145" workbookViewId="0">
      <selection activeCell="D9" sqref="D9"/>
    </sheetView>
  </sheetViews>
  <sheetFormatPr defaultRowHeight="14.4" x14ac:dyDescent="0.3"/>
  <sheetData>
    <row r="2" spans="3:3" x14ac:dyDescent="0.3">
      <c r="C2" t="s">
        <v>218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2025-08-13T13:24:35Z</cp:lastPrinted>
  <dcterms:created xsi:type="dcterms:W3CDTF">2019-07-16T09:29:46Z</dcterms:created>
  <dcterms:modified xsi:type="dcterms:W3CDTF">2025-08-13T13:27:32Z</dcterms:modified>
</cp:coreProperties>
</file>