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VSJC-06\Downloads\APF Dump\"/>
    </mc:Choice>
  </mc:AlternateContent>
  <bookViews>
    <workbookView xWindow="0" yWindow="0" windowWidth="20490" windowHeight="702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0" i="1" l="1"/>
  <c r="D180" i="1"/>
  <c r="D179" i="1"/>
  <c r="E172" i="1"/>
  <c r="I158" i="1" l="1"/>
  <c r="J158" i="1"/>
  <c r="E174" i="1"/>
  <c r="J174" i="1"/>
  <c r="I174" i="1"/>
  <c r="D217" i="1"/>
  <c r="D216" i="1"/>
  <c r="F216" i="1" s="1"/>
  <c r="D215" i="1"/>
  <c r="F215" i="1" s="1"/>
  <c r="D214" i="1"/>
  <c r="F214" i="1" s="1"/>
  <c r="D213" i="1"/>
  <c r="D212" i="1"/>
  <c r="D211" i="1"/>
  <c r="E209" i="1"/>
  <c r="D209" i="1"/>
  <c r="D208" i="1"/>
  <c r="F208" i="1" s="1"/>
  <c r="D207" i="1"/>
  <c r="E206" i="1"/>
  <c r="D206" i="1"/>
  <c r="D205" i="1"/>
  <c r="D204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D193" i="1"/>
  <c r="F193" i="1" s="1"/>
  <c r="E192" i="1"/>
  <c r="D192" i="1"/>
  <c r="E191" i="1"/>
  <c r="D191" i="1"/>
  <c r="E190" i="1"/>
  <c r="D190" i="1"/>
  <c r="D189" i="1"/>
  <c r="F189" i="1" s="1"/>
  <c r="E188" i="1"/>
  <c r="D188" i="1"/>
  <c r="D187" i="1"/>
  <c r="E185" i="1"/>
  <c r="D185" i="1"/>
  <c r="E184" i="1"/>
  <c r="D184" i="1"/>
  <c r="E183" i="1"/>
  <c r="D183" i="1"/>
  <c r="E182" i="1"/>
  <c r="D182" i="1"/>
  <c r="E181" i="1"/>
  <c r="D181" i="1"/>
  <c r="E179" i="1"/>
  <c r="D177" i="1"/>
  <c r="E176" i="1"/>
  <c r="D176" i="1"/>
  <c r="E175" i="1"/>
  <c r="D175" i="1"/>
  <c r="D174" i="1"/>
  <c r="E173" i="1"/>
  <c r="D173" i="1"/>
  <c r="D172" i="1"/>
  <c r="D171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F213" i="1"/>
  <c r="F212" i="1"/>
  <c r="F211" i="1"/>
  <c r="F217" i="1"/>
  <c r="A216" i="1"/>
  <c r="A217" i="1" s="1"/>
  <c r="A212" i="1"/>
  <c r="A213" i="1" s="1"/>
  <c r="A214" i="1" s="1"/>
  <c r="G211" i="1"/>
  <c r="A209" i="1"/>
  <c r="A205" i="1"/>
  <c r="A206" i="1" s="1"/>
  <c r="A207" i="1" s="1"/>
  <c r="G203" i="1"/>
  <c r="A201" i="1"/>
  <c r="A197" i="1"/>
  <c r="A198" i="1" s="1"/>
  <c r="A199" i="1" s="1"/>
  <c r="G195" i="1"/>
  <c r="A192" i="1"/>
  <c r="A193" i="1" s="1"/>
  <c r="A188" i="1"/>
  <c r="A189" i="1" s="1"/>
  <c r="A190" i="1" s="1"/>
  <c r="G187" i="1"/>
  <c r="F187" i="1"/>
  <c r="F185" i="1"/>
  <c r="I181" i="1"/>
  <c r="J181" i="1"/>
  <c r="A184" i="1"/>
  <c r="A185" i="1" s="1"/>
  <c r="A180" i="1"/>
  <c r="A181" i="1" s="1"/>
  <c r="A182" i="1" s="1"/>
  <c r="G179" i="1"/>
  <c r="I173" i="1"/>
  <c r="I175" i="1"/>
  <c r="I172" i="1"/>
  <c r="I171" i="1"/>
  <c r="G171" i="1"/>
  <c r="F165" i="1"/>
  <c r="J149" i="1"/>
  <c r="I152" i="1"/>
  <c r="I150" i="1"/>
  <c r="I149" i="1"/>
  <c r="A162" i="1"/>
  <c r="A163" i="1" s="1"/>
  <c r="A164" i="1" s="1"/>
  <c r="A165" i="1" s="1"/>
  <c r="A158" i="1"/>
  <c r="A159" i="1" s="1"/>
  <c r="A160" i="1" s="1"/>
  <c r="A154" i="1"/>
  <c r="A155" i="1" s="1"/>
  <c r="A156" i="1" s="1"/>
  <c r="J137" i="1"/>
  <c r="I137" i="1"/>
  <c r="J132" i="1"/>
  <c r="I132" i="1"/>
  <c r="A146" i="1"/>
  <c r="A147" i="1" s="1"/>
  <c r="A142" i="1"/>
  <c r="A143" i="1" s="1"/>
  <c r="A144" i="1" s="1"/>
  <c r="E120" i="1" l="1"/>
  <c r="E115" i="1"/>
  <c r="E116" i="1"/>
  <c r="C120" i="1"/>
  <c r="C116" i="1"/>
  <c r="C115" i="1"/>
  <c r="F155" i="1"/>
  <c r="F142" i="1"/>
  <c r="F146" i="1"/>
  <c r="F199" i="1"/>
  <c r="F209" i="1"/>
  <c r="F206" i="1"/>
  <c r="F207" i="1"/>
  <c r="F205" i="1"/>
  <c r="F204" i="1"/>
  <c r="F190" i="1"/>
  <c r="F201" i="1"/>
  <c r="F158" i="1"/>
  <c r="F198" i="1"/>
  <c r="F200" i="1"/>
  <c r="F197" i="1"/>
  <c r="F196" i="1"/>
  <c r="F184" i="1"/>
  <c r="F192" i="1"/>
  <c r="F191" i="1"/>
  <c r="F188" i="1"/>
  <c r="F179" i="1"/>
  <c r="F159" i="1"/>
  <c r="F180" i="1"/>
  <c r="F182" i="1"/>
  <c r="F144" i="1"/>
  <c r="F156" i="1"/>
  <c r="F183" i="1"/>
  <c r="F181" i="1"/>
  <c r="F147" i="1"/>
  <c r="F162" i="1"/>
  <c r="F160" i="1"/>
  <c r="F164" i="1"/>
  <c r="F141" i="1"/>
  <c r="F154" i="1"/>
  <c r="F157" i="1"/>
  <c r="F163" i="1"/>
  <c r="F161" i="1"/>
  <c r="F153" i="1"/>
  <c r="F145" i="1"/>
  <c r="F143" i="1"/>
  <c r="D59" i="1"/>
  <c r="C52" i="1"/>
  <c r="G52" i="1"/>
  <c r="G55" i="1" s="1"/>
  <c r="E42" i="1"/>
  <c r="D222" i="1" l="1"/>
  <c r="D221" i="1"/>
  <c r="C121" i="1" l="1"/>
  <c r="E121" i="1"/>
  <c r="F174" i="1" l="1"/>
  <c r="F173" i="1"/>
  <c r="F172" i="1"/>
  <c r="F171" i="1"/>
  <c r="G131" i="1"/>
  <c r="G221" i="1"/>
  <c r="I199" i="1"/>
  <c r="A172" i="1"/>
  <c r="A173" i="1" s="1"/>
  <c r="A174" i="1" s="1"/>
  <c r="E117" i="1" l="1"/>
  <c r="E122" i="1"/>
  <c r="C122" i="1"/>
  <c r="F221" i="1"/>
  <c r="F222" i="1"/>
  <c r="G149" i="1"/>
  <c r="F152" i="1"/>
  <c r="F151" i="1"/>
  <c r="F150" i="1"/>
  <c r="A150" i="1"/>
  <c r="A151" i="1" s="1"/>
  <c r="A152" i="1" s="1"/>
  <c r="F149" i="1"/>
  <c r="F140" i="1"/>
  <c r="F139" i="1"/>
  <c r="F138" i="1"/>
  <c r="F137" i="1"/>
  <c r="F136" i="1"/>
  <c r="F135" i="1"/>
  <c r="F134" i="1"/>
  <c r="F132" i="1"/>
  <c r="A140" i="1"/>
  <c r="A136" i="1"/>
  <c r="A137" i="1" s="1"/>
  <c r="A138" i="1" s="1"/>
  <c r="F133" i="1"/>
  <c r="A132" i="1"/>
  <c r="A133" i="1" s="1"/>
  <c r="A134" i="1" s="1"/>
  <c r="F131" i="1"/>
  <c r="G51" i="1"/>
  <c r="G53" i="1" s="1"/>
  <c r="G116" i="1" l="1"/>
  <c r="G115" i="1"/>
  <c r="C117" i="1"/>
  <c r="G121" i="1"/>
  <c r="Z12" i="1"/>
  <c r="I14" i="1"/>
  <c r="G117" i="1" l="1"/>
  <c r="F175" i="1"/>
  <c r="E123" i="1" l="1"/>
  <c r="C123" i="1"/>
  <c r="E43" i="1" l="1"/>
  <c r="E44" i="1" s="1"/>
  <c r="C15" i="1" l="1"/>
  <c r="E30" i="1" l="1"/>
  <c r="F176" i="1" l="1"/>
  <c r="F177" i="1"/>
  <c r="A176" i="1"/>
  <c r="A177" i="1" s="1"/>
  <c r="G120" i="1" l="1"/>
  <c r="F112" i="1"/>
  <c r="B225" i="1" l="1"/>
  <c r="B226" i="1" l="1"/>
  <c r="G122" i="1" l="1"/>
  <c r="G123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51" i="1"/>
  <c r="C85" i="1"/>
  <c r="B86" i="1" s="1"/>
  <c r="C71" i="1"/>
  <c r="B72" i="1" s="1"/>
  <c r="C51" i="1"/>
  <c r="E27" i="1"/>
  <c r="E25" i="1"/>
  <c r="E7" i="1"/>
  <c r="E3" i="1"/>
  <c r="J95" i="1" l="1"/>
  <c r="J92" i="1"/>
  <c r="J93" i="1"/>
  <c r="J94" i="1"/>
  <c r="D65" i="1"/>
  <c r="I98" i="1"/>
  <c r="H86" i="1"/>
  <c r="H72" i="1"/>
  <c r="J84" i="1" l="1"/>
  <c r="J86" i="1" s="1"/>
  <c r="J89" i="1"/>
  <c r="J90" i="1"/>
  <c r="J91" i="1" s="1"/>
  <c r="J96" i="1" s="1"/>
  <c r="J97" i="1" s="1"/>
  <c r="J87" i="1"/>
  <c r="J88" i="1"/>
  <c r="J98" i="1"/>
  <c r="D89" i="1"/>
  <c r="D93" i="1"/>
  <c r="D95" i="1"/>
  <c r="D98" i="1"/>
  <c r="D92" i="1"/>
  <c r="D96" i="1"/>
  <c r="D97" i="1"/>
  <c r="D94" i="1"/>
  <c r="D84" i="1"/>
  <c r="D82" i="1"/>
  <c r="D81" i="1"/>
  <c r="D78" i="1"/>
  <c r="D80" i="1"/>
  <c r="J76" i="1"/>
  <c r="J77" i="1" s="1"/>
  <c r="J82" i="1" s="1"/>
  <c r="D83" i="1"/>
  <c r="J70" i="1"/>
  <c r="J72" i="1" s="1"/>
  <c r="D79" i="1"/>
  <c r="J74" i="1"/>
  <c r="J75" i="1"/>
  <c r="J73" i="1"/>
  <c r="J78" i="1"/>
  <c r="J79" i="1" s="1"/>
  <c r="J80" i="1" s="1"/>
  <c r="J81" i="1" s="1"/>
  <c r="D91" i="1"/>
  <c r="D77" i="1"/>
  <c r="C75" i="1" l="1"/>
  <c r="D75" i="1" s="1"/>
  <c r="J83" i="1"/>
  <c r="J85" i="1"/>
  <c r="C76" i="1" l="1"/>
  <c r="G75" i="1" s="1"/>
  <c r="E89" i="1"/>
  <c r="G89" i="1"/>
  <c r="D69" i="1" s="1"/>
  <c r="D70" i="1" s="1"/>
  <c r="D90" i="1"/>
  <c r="J71" i="1" l="1"/>
  <c r="E75" i="1"/>
  <c r="D76" i="1"/>
  <c r="I71" i="1" s="1"/>
  <c r="I72" i="1" s="1"/>
  <c r="I85" i="1"/>
  <c r="F70" i="1"/>
  <c r="I70" i="1" l="1"/>
  <c r="C73" i="1" s="1"/>
  <c r="I86" i="1"/>
  <c r="I84" i="1" s="1"/>
  <c r="C87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9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<sst xmlns="http://schemas.openxmlformats.org/spreadsheetml/2006/main" count="516" uniqueCount="306">
  <si>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</si>
  <si>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</si>
  <si>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</si>
  <si>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</si>
  <si>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</si>
  <si>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</si>
  <si>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</si>
  <si>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</si>
  <si>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</si>
  <si>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</si>
  <si>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</si>
  <si>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</si>
  <si>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</si>
  <si>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</si>
  <si>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</si>
  <si>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</si>
  <si>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</si>
  <si>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</si>
  <si>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</si>
  <si>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</si>
  <si>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</si>
  <si>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</si>
  <si>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</si>
  <si>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</si>
  <si>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</si>
  <si>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</si>
  <si>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</si>
  <si>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</si>
  <si>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</si>
  <si>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</si>
  <si>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</si>
  <si>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</si>
  <si>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</si>
  <si>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</si>
  <si>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</si>
  <si>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</si>
  <si>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</si>
  <si>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</si>
  <si>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</si>
  <si>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</si>
  <si>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</si>
  <si>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</si>
  <si>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</si>
  <si>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</si>
  <si>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</si>
  <si>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</si>
  <si>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</si>
  <si>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</si>
  <si>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</si>
  <si>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</si>
  <si>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</si>
  <si>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</si>
  <si>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</si>
  <si>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</si>
  <si>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</si>
  <si>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</si>
  <si>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</si>
  <si>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</si>
  <si>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</si>
  <si>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</si>
  <si>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</si>
  <si>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</si>
  <si>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</si>
  <si>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</si>
  <si>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</si>
  <si>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</si>
  <si>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</si>
  <si>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</si>
  <si>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</si>
  <si>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</si>
  <si>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</si>
  <si>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</si>
  <si>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</si>
  <si>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</si>
  <si>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</si>
  <si>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</si>
  <si>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</si>
  <si>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</si>
  <si>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</si>
  <si>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</si>
  <si>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</si>
  <si>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</si>
  <si>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</si>
  <si>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</si>
  <si>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</si>
  <si>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</si>
  <si>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</si>
  <si>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</si>
  <si>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</si>
  <si>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</si>
  <si>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</si>
  <si>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</si>
  <si>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</si>
  <si>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</si>
  <si>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</si>
  <si>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</si>
  <si>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</si>
  <si>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</si>
  <si>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</si>
  <si>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</si>
  <si>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</si>
  <si>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</si>
  <si>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</si>
  <si>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</si>
  <si>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</si>
  <si>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</si>
  <si>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</si>
  <si>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</si>
  <si>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</si>
  <si>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</si>
  <si>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</si>
  <si>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</si>
  <si>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</si>
  <si>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</si>
  <si>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</si>
  <si>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</si>
  <si>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</si>
  <si>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</si>
  <si>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</si>
  <si>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</si>
  <si>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</si>
  <si>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</si>
  <si>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</si>
  <si>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</si>
  <si>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</si>
  <si>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</si>
  <si>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</si>
  <si>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</si>
  <si>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</si>
  <si>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</si>
  <si>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</si>
  <si>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</si>
  <si>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</si>
  <si>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</si>
  <si>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</si>
  <si>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</si>
  <si>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</si>
  <si>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</si>
  <si>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</si>
  <si>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</si>
  <si>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</si>
  <si>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</si>
  <si>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</si>
  <si>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</si>
  <si>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</si>
  <si>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</si>
  <si>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</si>
  <si>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</si>
  <si>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</si>
  <si>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</si>
  <si>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Recommended rate should be considered as all inclusive rate if other charges are not mentioned. (Excluding GST &amp; other government Taxes)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</si>
  <si>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</si>
  <si>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</si>
  <si>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</si>
  <si>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</si>
  <si>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</si>
  <si>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</si>
  <si>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</si>
  <si>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</si>
  <si>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</si>
  <si>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</si>
  <si>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</si>
  <si>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</si>
  <si>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</si>
  <si>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</si>
  <si>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</si>
  <si>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</si>
  <si>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</si>
  <si>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</si>
  <si>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</si>
  <si>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</si>
  <si>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</si>
  <si>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</si>
  <si>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</si>
  <si>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</si>
  <si>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</si>
  <si>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</si>
  <si>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</si>
  <si>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</si>
  <si>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</si>
  <si>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</si>
  <si>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</si>
  <si>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</si>
  <si>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</si>
  <si>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</si>
  <si>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</si>
  <si>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</si>
  <si>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</si>
  <si>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</si>
  <si>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</si>
  <si>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</si>
  <si>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</si>
  <si>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</si>
  <si>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</si>
  <si>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</si>
  <si>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</si>
  <si>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</si>
  <si>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</si>
  <si>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</si>
  <si>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</si>
  <si>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</si>
  <si>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</si>
  <si>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</si>
  <si>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</si>
  <si>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</si>
  <si>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</si>
  <si>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</si>
  <si>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</si>
  <si>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</si>
  <si>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</si>
  <si>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</si>
  <si>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</si>
  <si>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</si>
  <si>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</si>
  <si>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</si>
  <si>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</si>
  <si>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</si>
  <si>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</si>
  <si>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</si>
  <si>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</si>
  <si>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</si>
  <si>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</si>
  <si>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</si>
  <si>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</si>
  <si>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</si>
  <si>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</si>
  <si>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Axis Badlapur</t>
  </si>
  <si>
    <t>Siddhivinayak Group NX</t>
  </si>
  <si>
    <t>Mid­Town</t>
  </si>
  <si>
    <t>Mr. Sandeep &amp; 9320222959</t>
  </si>
  <si>
    <t>P51700052620</t>
  </si>
  <si>
    <t>Survey No</t>
  </si>
  <si>
    <t>Chikhloli</t>
  </si>
  <si>
    <t xml:space="preserve">Ambernath Municipal Council
</t>
  </si>
  <si>
    <t>A.N.P./NRV/BP/21-22/1579/9302/178</t>
  </si>
  <si>
    <t>ANP/NRV/B.P/2021-22/1579/9302/178</t>
  </si>
  <si>
    <t>As per RERA - 01/06/2028</t>
  </si>
  <si>
    <t>Shop</t>
  </si>
  <si>
    <t>1BHK</t>
  </si>
  <si>
    <t>2BHK</t>
  </si>
  <si>
    <t>-</t>
  </si>
  <si>
    <t>Refuge Area</t>
  </si>
  <si>
    <t>Stilt Floor For Entrance Lobby &amp; Parking</t>
  </si>
  <si>
    <t>Ground/Stilt Floor For Entrance Lobby &amp; Parking</t>
  </si>
  <si>
    <t>Office</t>
  </si>
  <si>
    <t>Navare Nagar</t>
  </si>
  <si>
    <t>19.188112,73.208268</t>
  </si>
  <si>
    <t>https://maps.app.goo.gl/sty1HQtu7JSPe5LTA</t>
  </si>
  <si>
    <t>Chikhloli West</t>
  </si>
  <si>
    <t>Shree Vitthal Rakhumai Mandir</t>
  </si>
  <si>
    <t>Other Plot</t>
  </si>
  <si>
    <t>Open Plot</t>
  </si>
  <si>
    <t>Future Expansion/Open Space/Buidling/60.00M.W.D.P.Road</t>
  </si>
  <si>
    <t>House/Open Plot</t>
  </si>
  <si>
    <t xml:space="preserve">Open Plot/Ambernath Badlapur Road(Badlapur - Katai Road)
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</si>
  <si>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</rPr>
      <t xml:space="preserve">                                               </t>
    </r>
  </si>
  <si>
    <t xml:space="preserve">Sufficient Water supply, Entrance Lobby, Lift, Parking, Compound Wall, Pump Room, Septic Tank, Pump Room, Society Office, Fitness Center, Creche &amp; Driver Room etc. </t>
  </si>
  <si>
    <t>Ambernath Badlapur Road (Badlapur - Katai Road)</t>
  </si>
  <si>
    <t>1st to 7th Floor For Residential</t>
  </si>
  <si>
    <t>4500 to 4900</t>
  </si>
  <si>
    <t>Remark No. 10</t>
  </si>
  <si>
    <t>5KM from Ambernath Railway Station</t>
  </si>
  <si>
    <t>24, H.No.12/A</t>
  </si>
  <si>
    <t>As per Approved layout plan dated 31/03/2022</t>
  </si>
  <si>
    <t>Wing R-1
Wing R-2</t>
  </si>
  <si>
    <t>AMC/TPD/2023-2024/1227</t>
  </si>
  <si>
    <t xml:space="preserve">Layout Approval No.
(Wing A1)  </t>
  </si>
  <si>
    <t xml:space="preserve">Approved Floor plan No.
(Wing A1)    </t>
  </si>
  <si>
    <t>As per Approved layout plan dated 15/12/2023</t>
  </si>
  <si>
    <t>Wing A1</t>
  </si>
  <si>
    <t>02 Wings</t>
  </si>
  <si>
    <t>Wing A1 = Gr/Mezz.Floor + 1st to 14th Floor</t>
  </si>
  <si>
    <t>1st Floor For Commercial &amp; Entrance Lobby</t>
  </si>
  <si>
    <t>1st Floor</t>
  </si>
  <si>
    <t>Attached Mezzanine area &amp; Arch. Proj.</t>
  </si>
  <si>
    <t>2nd Floor For Residential</t>
  </si>
  <si>
    <t>We considered Gross carpet area = Net carpet + Cor. Proj Area + Mezzanine Area + Arch Proj.  +  Balcony Area</t>
  </si>
  <si>
    <t>3rd, 5th, 9th &amp; 11th Floor</t>
  </si>
  <si>
    <t>4th, 6th, 8th, 10th &amp; 12th Floor</t>
  </si>
  <si>
    <t>7th Floor (Part Refuge Area)</t>
  </si>
  <si>
    <t>13th Floor (Part Refuge Area)</t>
  </si>
  <si>
    <t>14th Floor</t>
  </si>
  <si>
    <t>1RK</t>
  </si>
  <si>
    <t>Flats - 103, Shops - 17, Offices - 17</t>
  </si>
  <si>
    <t>Building Names are changed as per revised approved plans.</t>
  </si>
  <si>
    <t>Wing A1 = Gr/Mezz.Floor + 1st to 14th Floor
Wing D = Gr/Stilt + 1st to 7th Floor</t>
  </si>
  <si>
    <t>Wing D = Gr/Stilt + 1st to 7th Floor</t>
  </si>
  <si>
    <t>Wing D</t>
  </si>
  <si>
    <t>Wing D = As per the floor plan, the terrace is mentioned in flat No. 1 and 2.
but as per the site visit, instead of a terrace area, a balcony is constructed for flat No.1 and 2.</t>
  </si>
  <si>
    <t>Wing A1 &amp; Wing D</t>
  </si>
  <si>
    <t xml:space="preserve">Layout Approval No. (Wing D)  </t>
  </si>
  <si>
    <t xml:space="preserve">Approved Floor plan No.
(Wing D)    </t>
  </si>
  <si>
    <t xml:space="preserve">Commencement-CC No
Valid Up to: 
(Wing D) </t>
  </si>
  <si>
    <t>Wing D = Gr(Pt)/Stilt(Pt)+ 1st to 7th Floor (Residential + Commercial)</t>
  </si>
  <si>
    <t>Wing A1
Wing D</t>
  </si>
  <si>
    <t>A1 (Midtown) = Gr/Mezz.Floor + 1st to 14th Floor</t>
  </si>
  <si>
    <t xml:space="preserve">Commencement-CC No
Valid Up to: 
</t>
  </si>
  <si>
    <t>Wing A
Wing D</t>
  </si>
  <si>
    <t>We have updated revised approved plan &amp; CC for wing A1 (on 31/12/2023)</t>
  </si>
  <si>
    <t>As per RERA (on 12/06/2024)</t>
  </si>
  <si>
    <t>Other Charges</t>
  </si>
  <si>
    <t>by rushikesh 13/06/2024</t>
  </si>
  <si>
    <t xml:space="preserve">Recommended Rates/Other Charges of the Property have been revised on 15/06/2024.
</t>
  </si>
  <si>
    <t>Wing A1 = Construction work is in process at the time of Visit.
Wing D = All work Completed. Please provide OC.</t>
  </si>
  <si>
    <t>Sudhir Bhosale</t>
  </si>
  <si>
    <t>Pranita Mhatre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</si>
</sst>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2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4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64" fontId="7" fillId="0" borderId="0" xfId="1" applyNumberFormat="1" applyFont="1" applyAlignment="1">
      <alignment horizontal="center" vertical="center"/>
    </xf>
    <xf numFmtId="1" fontId="8" fillId="3" borderId="1" xfId="0" applyNumberFormat="1" applyFont="1" applyFill="1" applyBorder="1" applyAlignment="1" applyProtection="1">
      <alignment horizontal="center" vertical="top" wrapText="1"/>
      <protection locked="0"/>
    </xf>
    <xf numFmtId="1" fontId="8" fillId="3" borderId="7" xfId="0" applyNumberFormat="1" applyFont="1" applyFill="1" applyBorder="1" applyAlignment="1" applyProtection="1">
      <alignment horizontal="center" vertical="top" wrapText="1"/>
      <protection locked="0"/>
    </xf>
    <xf numFmtId="1" fontId="8" fillId="3" borderId="8" xfId="0" applyNumberFormat="1" applyFont="1" applyFill="1" applyBorder="1" applyAlignment="1" applyProtection="1">
      <alignment horizontal="center" vertical="top" wrapText="1"/>
      <protection locked="0"/>
    </xf>
    <xf numFmtId="1" fontId="8" fillId="3" borderId="20" xfId="0" applyNumberFormat="1" applyFont="1" applyFill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24" xfId="1" applyFont="1" applyBorder="1" applyAlignment="1">
      <alignment horizontal="center"/>
    </xf>
    <xf numFmtId="0" fontId="7" fillId="0" borderId="0" xfId="1" applyFont="1" applyAlignment="1">
      <alignment horizontal="center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1" fontId="10" fillId="0" borderId="7" xfId="1" applyNumberFormat="1" applyFont="1" applyBorder="1" applyAlignment="1" applyProtection="1">
      <alignment horizontal="center" vertical="top" wrapText="1"/>
      <protection locked="0"/>
    </xf>
    <xf numFmtId="1" fontId="10" fillId="0" borderId="20" xfId="1" applyNumberFormat="1" applyFont="1" applyBorder="1" applyAlignment="1" applyProtection="1">
      <alignment horizontal="center" vertical="top" wrapText="1"/>
      <protection locked="0"/>
    </xf>
    <xf numFmtId="1" fontId="10" fillId="0" borderId="8" xfId="1" applyNumberFormat="1" applyFont="1" applyBorder="1" applyAlignment="1" applyProtection="1">
      <alignment horizontal="center" vertical="top" wrapText="1"/>
      <protection locked="0"/>
    </xf>
    <xf numFmtId="0" fontId="10" fillId="0" borderId="21" xfId="1" applyFont="1" applyBorder="1" applyAlignment="1" applyProtection="1">
      <alignment horizontal="left" vertical="top" wrapText="1"/>
      <protection locked="0"/>
    </xf>
    <xf numFmtId="0" fontId="10" fillId="0" borderId="14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3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1" fontId="10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2" xfId="0" applyNumberFormat="1" applyFont="1" applyBorder="1" applyAlignment="1" applyProtection="1">
      <alignment horizontal="center" vertical="top" wrapText="1"/>
      <protection locked="0"/>
    </xf>
    <xf numFmtId="1" fontId="8" fillId="0" borderId="33" xfId="0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8" xfId="1" applyNumberFormat="1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0" fillId="0" borderId="12" xfId="1" applyFont="1" applyBorder="1" applyAlignment="1" applyProtection="1">
      <alignment horizontal="left" vertical="top" wrapText="1"/>
      <protection locked="0"/>
    </xf>
    <xf numFmtId="0" fontId="10" fillId="0" borderId="13" xfId="1" applyFont="1" applyBorder="1" applyAlignment="1" applyProtection="1">
      <alignment horizontal="left" vertical="top" wrapText="1"/>
      <protection locked="0"/>
    </xf>
    <xf numFmtId="0" fontId="10" fillId="0" borderId="22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7" xfId="1" applyFont="1" applyBorder="1" applyAlignment="1" applyProtection="1">
      <alignment horizontal="center" vertical="center" wrapText="1"/>
      <protection locked="0"/>
    </xf>
    <xf numFmtId="0" fontId="12" fillId="0" borderId="20" xfId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7" xfId="1" applyFont="1" applyBorder="1" applyAlignment="1" applyProtection="1">
      <alignment horizontal="center" vertical="top"/>
      <protection locked="0"/>
    </xf>
    <xf numFmtId="0" fontId="12" fillId="0" borderId="20" xfId="1" applyFont="1" applyBorder="1" applyAlignment="1" applyProtection="1">
      <alignment horizontal="center" vertical="top"/>
      <protection locked="0"/>
    </xf>
    <xf numFmtId="0" fontId="12" fillId="0" borderId="8" xfId="1" applyFont="1" applyBorder="1" applyAlignment="1" applyProtection="1">
      <alignment horizontal="center" vertical="top"/>
      <protection locked="0"/>
    </xf>
    <xf numFmtId="0" fontId="13" fillId="0" borderId="7" xfId="1" applyFont="1" applyBorder="1" applyAlignment="1" applyProtection="1">
      <alignment horizontal="center" vertical="top"/>
      <protection locked="0"/>
    </xf>
    <xf numFmtId="0" fontId="13" fillId="0" borderId="20" xfId="1" applyFont="1" applyBorder="1" applyAlignment="1" applyProtection="1">
      <alignment horizontal="center" vertical="top"/>
      <protection locked="0"/>
    </xf>
    <xf numFmtId="0" fontId="13" fillId="0" borderId="8" xfId="1" applyFont="1" applyBorder="1" applyAlignment="1" applyProtection="1">
      <alignment horizontal="center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center" vertical="top" wrapText="1"/>
      <protection locked="0"/>
    </xf>
    <xf numFmtId="0" fontId="12" fillId="0" borderId="20" xfId="1" applyFont="1" applyBorder="1" applyAlignment="1" applyProtection="1">
      <alignment horizontal="center" vertical="top" wrapText="1"/>
      <protection locked="0"/>
    </xf>
    <xf numFmtId="0" fontId="12" fillId="0" borderId="8" xfId="1" applyFont="1" applyBorder="1" applyAlignment="1" applyProtection="1">
      <alignment horizontal="center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1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4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7" xfId="0" applyNumberFormat="1" applyFont="1" applyBorder="1" applyAlignment="1" applyProtection="1">
      <alignment vertical="top" wrapText="1"/>
      <protection locked="0"/>
    </xf>
    <xf numFmtId="1" fontId="10" fillId="0" borderId="20" xfId="0" applyNumberFormat="1" applyFont="1" applyBorder="1" applyAlignment="1" applyProtection="1">
      <alignment vertical="top" wrapText="1"/>
      <protection locked="0"/>
    </xf>
    <xf numFmtId="1" fontId="10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23" Type="http://schemas.openxmlformats.org/officeDocument/2006/relationships/image" Target="../media/image23.jpeg"/><Relationship Id="rId10" Type="http://schemas.openxmlformats.org/officeDocument/2006/relationships/image" Target="../media/image10.png"/><Relationship Id="rId19" Type="http://schemas.openxmlformats.org/officeDocument/2006/relationships/image" Target="../media/image19.jp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7.png"/><Relationship Id="rId1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663516</xdr:colOff>
      <xdr:row>295</xdr:row>
      <xdr:rowOff>11205</xdr:rowOff>
    </xdr:from>
    <xdr:to>
      <xdr:col>5</xdr:col>
      <xdr:colOff>632810</xdr:colOff>
      <xdr:row>314</xdr:row>
      <xdr:rowOff>122431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4464" t="29953" r="26364" b="13207"/>
        <a:stretch/>
      </xdr:blipFill>
      <xdr:spPr>
        <a:xfrm>
          <a:off x="1481545" y="54908823"/>
          <a:ext cx="3600000" cy="3943638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470647</xdr:colOff>
      <xdr:row>315</xdr:row>
      <xdr:rowOff>124374</xdr:rowOff>
    </xdr:from>
    <xdr:to>
      <xdr:col>7</xdr:col>
      <xdr:colOff>223696</xdr:colOff>
      <xdr:row>326</xdr:row>
      <xdr:rowOff>193205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5236" r="1569" b="26887"/>
        <a:stretch/>
      </xdr:blipFill>
      <xdr:spPr>
        <a:xfrm>
          <a:off x="470647" y="58663903"/>
          <a:ext cx="5860255" cy="2287597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1</xdr:col>
      <xdr:colOff>356081</xdr:colOff>
      <xdr:row>318</xdr:row>
      <xdr:rowOff>135308</xdr:rowOff>
    </xdr:from>
    <xdr:to>
      <xdr:col>2</xdr:col>
      <xdr:colOff>464778</xdr:colOff>
      <xdr:row>322</xdr:row>
      <xdr:rowOff>179385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1174110" y="59672161"/>
          <a:ext cx="971550" cy="850900"/>
        </a:xfrm>
        <a:prstGeom prst="rect">
          <a:avLst/>
        </a:prstGeom>
        <a:noFill/>
        <a:ln w="19050"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682872</xdr:colOff>
      <xdr:row>320</xdr:row>
      <xdr:rowOff>81301</xdr:rowOff>
    </xdr:from>
    <xdr:to>
      <xdr:col>6</xdr:col>
      <xdr:colOff>351052</xdr:colOff>
      <xdr:row>323</xdr:row>
      <xdr:rowOff>78989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 rot="18975088">
          <a:off x="5131607" y="60021566"/>
          <a:ext cx="508621" cy="602805"/>
        </a:xfrm>
        <a:prstGeom prst="rect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435949</xdr:colOff>
      <xdr:row>317</xdr:row>
      <xdr:rowOff>93260</xdr:rowOff>
    </xdr:from>
    <xdr:to>
      <xdr:col>2</xdr:col>
      <xdr:colOff>660026</xdr:colOff>
      <xdr:row>318</xdr:row>
      <xdr:rowOff>168553</xdr:rowOff>
    </xdr:to>
    <xdr:sp macro="" textlink="">
      <xdr:nvSpPr>
        <xdr:cNvPr id="30" name="TextBox 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253978" y="59036201"/>
          <a:ext cx="1086930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CC0000"/>
              </a:solidFill>
            </a:rPr>
            <a:t>Wing R-1</a:t>
          </a:r>
          <a:endParaRPr lang="en-IN" sz="1200" b="1">
            <a:solidFill>
              <a:srgbClr val="CC0000"/>
            </a:solidFill>
          </a:endParaRPr>
        </a:p>
      </xdr:txBody>
    </xdr:sp>
    <xdr:clientData/>
  </xdr:twoCellAnchor>
  <xdr:twoCellAnchor>
    <xdr:from>
      <xdr:col>5</xdr:col>
      <xdr:colOff>671289</xdr:colOff>
      <xdr:row>320</xdr:row>
      <xdr:rowOff>151336</xdr:rowOff>
    </xdr:from>
    <xdr:to>
      <xdr:col>6</xdr:col>
      <xdr:colOff>95408</xdr:colOff>
      <xdr:row>326</xdr:row>
      <xdr:rowOff>82884</xdr:rowOff>
    </xdr:to>
    <xdr:sp macro="" textlink="">
      <xdr:nvSpPr>
        <xdr:cNvPr id="31" name="TextBox 3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rot="2920658">
          <a:off x="4681412" y="60138007"/>
          <a:ext cx="1141783" cy="26456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rgbClr val="0000FF"/>
              </a:solidFill>
            </a:rPr>
            <a:t>Wing R- 2</a:t>
          </a:r>
          <a:endParaRPr lang="en-IN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0</xdr:col>
      <xdr:colOff>810890</xdr:colOff>
      <xdr:row>317</xdr:row>
      <xdr:rowOff>35360</xdr:rowOff>
    </xdr:from>
    <xdr:to>
      <xdr:col>7</xdr:col>
      <xdr:colOff>60544</xdr:colOff>
      <xdr:row>324</xdr:row>
      <xdr:rowOff>77628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763265" y="68592948"/>
          <a:ext cx="4989867" cy="1454209"/>
          <a:chOff x="1097280" y="5472372"/>
          <a:chExt cx="5356860" cy="1454209"/>
        </a:xfrm>
      </xdr:grpSpPr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>
            <a:off x="1097280" y="5547360"/>
            <a:ext cx="266700" cy="99060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/>
        </xdr:nvCxnSpPr>
        <xdr:spPr>
          <a:xfrm flipH="1" flipV="1">
            <a:off x="1097280" y="5538108"/>
            <a:ext cx="53340" cy="1388473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/>
        </xdr:nvCxnSpPr>
        <xdr:spPr>
          <a:xfrm flipH="1">
            <a:off x="1356892" y="5472372"/>
            <a:ext cx="268871" cy="174049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CxnSpPr/>
        </xdr:nvCxnSpPr>
        <xdr:spPr>
          <a:xfrm flipH="1" flipV="1">
            <a:off x="1608659" y="5472487"/>
            <a:ext cx="3733877" cy="121228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Connector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/>
        </xdr:nvCxnSpPr>
        <xdr:spPr>
          <a:xfrm flipH="1">
            <a:off x="1133318" y="6865967"/>
            <a:ext cx="5320822" cy="46065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Connector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/>
        </xdr:nvCxnSpPr>
        <xdr:spPr>
          <a:xfrm flipH="1" flipV="1">
            <a:off x="5349634" y="5585807"/>
            <a:ext cx="1104506" cy="1280161"/>
          </a:xfrm>
          <a:prstGeom prst="line">
            <a:avLst/>
          </a:prstGeom>
          <a:ln w="19050">
            <a:solidFill>
              <a:srgbClr val="FFFF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739588</xdr:colOff>
      <xdr:row>400</xdr:row>
      <xdr:rowOff>110736</xdr:rowOff>
    </xdr:from>
    <xdr:to>
      <xdr:col>7</xdr:col>
      <xdr:colOff>32382</xdr:colOff>
      <xdr:row>419</xdr:row>
      <xdr:rowOff>10825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9389" t="18228" r="20620" b="8019"/>
        <a:stretch/>
      </xdr:blipFill>
      <xdr:spPr>
        <a:xfrm>
          <a:off x="739588" y="77913177"/>
          <a:ext cx="4974176" cy="3732501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3</xdr:col>
      <xdr:colOff>193386</xdr:colOff>
      <xdr:row>405</xdr:row>
      <xdr:rowOff>19079</xdr:rowOff>
    </xdr:from>
    <xdr:to>
      <xdr:col>4</xdr:col>
      <xdr:colOff>500247</xdr:colOff>
      <xdr:row>406</xdr:row>
      <xdr:rowOff>97579</xdr:rowOff>
    </xdr:to>
    <xdr:sp macro="" textlink="">
      <xdr:nvSpPr>
        <xdr:cNvPr id="42" name="TextBox 19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02651" y="86450050"/>
          <a:ext cx="1248155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FF00"/>
              </a:solidFill>
            </a:rPr>
            <a:t>(Wing D)</a:t>
          </a:r>
          <a:endParaRPr lang="en-IN" sz="1200" b="1">
            <a:solidFill>
              <a:srgbClr val="FFFF00"/>
            </a:solidFill>
          </a:endParaRPr>
        </a:p>
      </xdr:txBody>
    </xdr:sp>
    <xdr:clientData/>
  </xdr:twoCellAnchor>
  <xdr:twoCellAnchor>
    <xdr:from>
      <xdr:col>2</xdr:col>
      <xdr:colOff>390828</xdr:colOff>
      <xdr:row>407</xdr:row>
      <xdr:rowOff>157880</xdr:rowOff>
    </xdr:from>
    <xdr:to>
      <xdr:col>3</xdr:col>
      <xdr:colOff>291353</xdr:colOff>
      <xdr:row>409</xdr:row>
      <xdr:rowOff>34673</xdr:rowOff>
    </xdr:to>
    <xdr:sp macro="" textlink="">
      <xdr:nvSpPr>
        <xdr:cNvPr id="43" name="TextBox 2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948446" y="86992262"/>
          <a:ext cx="752172" cy="28020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FF00"/>
              </a:solidFill>
            </a:rPr>
            <a:t>(Wing</a:t>
          </a:r>
          <a:r>
            <a:rPr lang="en-US" sz="1200" b="1" baseline="0">
              <a:solidFill>
                <a:srgbClr val="FFFF00"/>
              </a:solidFill>
            </a:rPr>
            <a:t> A)</a:t>
          </a:r>
          <a:endParaRPr lang="en-IN" sz="1200" b="1">
            <a:solidFill>
              <a:srgbClr val="FFFF00"/>
            </a:solidFill>
          </a:endParaRPr>
        </a:p>
      </xdr:txBody>
    </xdr:sp>
    <xdr:clientData/>
  </xdr:twoCellAnchor>
  <xdr:twoCellAnchor editAs="oneCell">
    <xdr:from>
      <xdr:col>1</xdr:col>
      <xdr:colOff>44823</xdr:colOff>
      <xdr:row>340</xdr:row>
      <xdr:rowOff>22412</xdr:rowOff>
    </xdr:from>
    <xdr:to>
      <xdr:col>6</xdr:col>
      <xdr:colOff>759444</xdr:colOff>
      <xdr:row>361</xdr:row>
      <xdr:rowOff>106587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7226" t="34907" r="32994" b="6367"/>
        <a:stretch/>
      </xdr:blipFill>
      <xdr:spPr>
        <a:xfrm>
          <a:off x="862852" y="62674500"/>
          <a:ext cx="5204818" cy="432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336177</xdr:colOff>
      <xdr:row>340</xdr:row>
      <xdr:rowOff>123265</xdr:rowOff>
    </xdr:from>
    <xdr:to>
      <xdr:col>3</xdr:col>
      <xdr:colOff>504264</xdr:colOff>
      <xdr:row>344</xdr:row>
      <xdr:rowOff>67235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17059" y="62775353"/>
          <a:ext cx="1086970" cy="750794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2</xdr:col>
      <xdr:colOff>309283</xdr:colOff>
      <xdr:row>356</xdr:row>
      <xdr:rowOff>17930</xdr:rowOff>
    </xdr:from>
    <xdr:to>
      <xdr:col>3</xdr:col>
      <xdr:colOff>477370</xdr:colOff>
      <xdr:row>359</xdr:row>
      <xdr:rowOff>163606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990165" y="65897312"/>
          <a:ext cx="1086970" cy="750794"/>
        </a:xfrm>
        <a:prstGeom prst="rect">
          <a:avLst/>
        </a:prstGeom>
        <a:noFill/>
        <a:ln w="28575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0</xdr:col>
      <xdr:colOff>493059</xdr:colOff>
      <xdr:row>327</xdr:row>
      <xdr:rowOff>190501</xdr:rowOff>
    </xdr:from>
    <xdr:to>
      <xdr:col>7</xdr:col>
      <xdr:colOff>246653</xdr:colOff>
      <xdr:row>336</xdr:row>
      <xdr:rowOff>30714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93059" y="61150501"/>
          <a:ext cx="5860800" cy="1655565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1</xdr:col>
      <xdr:colOff>291352</xdr:colOff>
      <xdr:row>330</xdr:row>
      <xdr:rowOff>145676</xdr:rowOff>
    </xdr:from>
    <xdr:to>
      <xdr:col>2</xdr:col>
      <xdr:colOff>302558</xdr:colOff>
      <xdr:row>333</xdr:row>
      <xdr:rowOff>190500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09381" y="61509088"/>
          <a:ext cx="874059" cy="649941"/>
        </a:xfrm>
        <a:prstGeom prst="rect">
          <a:avLst/>
        </a:prstGeom>
        <a:noFill/>
        <a:ln w="19050">
          <a:solidFill>
            <a:srgbClr val="CC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</xdr:col>
      <xdr:colOff>358589</xdr:colOff>
      <xdr:row>329</xdr:row>
      <xdr:rowOff>44822</xdr:rowOff>
    </xdr:from>
    <xdr:to>
      <xdr:col>2</xdr:col>
      <xdr:colOff>593912</xdr:colOff>
      <xdr:row>330</xdr:row>
      <xdr:rowOff>112058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76618" y="61408234"/>
          <a:ext cx="109817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400" b="1">
              <a:solidFill>
                <a:srgbClr val="C00000"/>
              </a:solidFill>
            </a:rPr>
            <a:t>Wing</a:t>
          </a:r>
          <a:r>
            <a:rPr lang="en-IN" sz="1400" b="1" baseline="0">
              <a:solidFill>
                <a:srgbClr val="C00000"/>
              </a:solidFill>
            </a:rPr>
            <a:t> A</a:t>
          </a:r>
          <a:endParaRPr lang="en-IN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5</xdr:col>
      <xdr:colOff>656071</xdr:colOff>
      <xdr:row>332</xdr:row>
      <xdr:rowOff>107255</xdr:rowOff>
    </xdr:from>
    <xdr:to>
      <xdr:col>6</xdr:col>
      <xdr:colOff>374916</xdr:colOff>
      <xdr:row>334</xdr:row>
      <xdr:rowOff>40020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 rot="2287674">
          <a:off x="5104806" y="62075784"/>
          <a:ext cx="559286" cy="336177"/>
        </a:xfrm>
        <a:prstGeom prst="rect">
          <a:avLst/>
        </a:prstGeom>
        <a:noFill/>
        <a:ln w="19050"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5</xdr:col>
      <xdr:colOff>750793</xdr:colOff>
      <xdr:row>332</xdr:row>
      <xdr:rowOff>33620</xdr:rowOff>
    </xdr:from>
    <xdr:to>
      <xdr:col>7</xdr:col>
      <xdr:colOff>190498</xdr:colOff>
      <xdr:row>333</xdr:row>
      <xdr:rowOff>100856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rot="2298780">
          <a:off x="5199528" y="62002149"/>
          <a:ext cx="1098176" cy="26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>
              <a:solidFill>
                <a:srgbClr val="0000FF"/>
              </a:solidFill>
            </a:rPr>
            <a:t>Wing</a:t>
          </a:r>
          <a:r>
            <a:rPr lang="en-IN" sz="1200" b="1" baseline="0">
              <a:solidFill>
                <a:srgbClr val="0000FF"/>
              </a:solidFill>
            </a:rPr>
            <a:t> D</a:t>
          </a:r>
          <a:endParaRPr lang="en-IN" sz="1200" b="1">
            <a:solidFill>
              <a:srgbClr val="0000FF"/>
            </a:solidFill>
          </a:endParaRPr>
        </a:p>
      </xdr:txBody>
    </xdr:sp>
    <xdr:clientData/>
  </xdr:twoCellAnchor>
  <xdr:twoCellAnchor>
    <xdr:from>
      <xdr:col>3</xdr:col>
      <xdr:colOff>930089</xdr:colOff>
      <xdr:row>315</xdr:row>
      <xdr:rowOff>134471</xdr:rowOff>
    </xdr:from>
    <xdr:to>
      <xdr:col>7</xdr:col>
      <xdr:colOff>224118</xdr:colOff>
      <xdr:row>317</xdr:row>
      <xdr:rowOff>89647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339354" y="60791912"/>
          <a:ext cx="2566146" cy="358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Approved</a:t>
          </a:r>
          <a:r>
            <a:rPr lang="en-IN" sz="1100" b="1" baseline="0">
              <a:solidFill>
                <a:srgbClr val="FF0000"/>
              </a:solidFill>
            </a:rPr>
            <a:t> layout plan </a:t>
          </a:r>
          <a:r>
            <a:rPr lang="en-IN" sz="1100" b="1">
              <a:solidFill>
                <a:srgbClr val="FF0000"/>
              </a:solidFill>
            </a:rPr>
            <a:t>dated 31/03/2022</a:t>
          </a:r>
        </a:p>
      </xdr:txBody>
    </xdr:sp>
    <xdr:clientData/>
  </xdr:twoCellAnchor>
  <xdr:twoCellAnchor>
    <xdr:from>
      <xdr:col>3</xdr:col>
      <xdr:colOff>778808</xdr:colOff>
      <xdr:row>403</xdr:row>
      <xdr:rowOff>196104</xdr:rowOff>
    </xdr:from>
    <xdr:to>
      <xdr:col>4</xdr:col>
      <xdr:colOff>196103</xdr:colOff>
      <xdr:row>405</xdr:row>
      <xdr:rowOff>140075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 rot="4117611">
          <a:off x="3193676" y="86218060"/>
          <a:ext cx="347383" cy="35858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>
            <a:solidFill>
              <a:srgbClr val="C00000"/>
            </a:solidFill>
          </a:endParaRPr>
        </a:p>
      </xdr:txBody>
    </xdr:sp>
    <xdr:clientData/>
  </xdr:twoCellAnchor>
  <xdr:twoCellAnchor>
    <xdr:from>
      <xdr:col>3</xdr:col>
      <xdr:colOff>851647</xdr:colOff>
      <xdr:row>328</xdr:row>
      <xdr:rowOff>0</xdr:rowOff>
    </xdr:from>
    <xdr:to>
      <xdr:col>7</xdr:col>
      <xdr:colOff>190501</xdr:colOff>
      <xdr:row>329</xdr:row>
      <xdr:rowOff>156882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3260912" y="63279618"/>
          <a:ext cx="2610971" cy="358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>
              <a:solidFill>
                <a:srgbClr val="FF0000"/>
              </a:solidFill>
            </a:rPr>
            <a:t>Approved</a:t>
          </a:r>
          <a:r>
            <a:rPr lang="en-IN" sz="1100" b="1" baseline="0">
              <a:solidFill>
                <a:srgbClr val="FF0000"/>
              </a:solidFill>
            </a:rPr>
            <a:t> layout plan </a:t>
          </a:r>
          <a:r>
            <a:rPr lang="en-IN" sz="1100" b="1">
              <a:solidFill>
                <a:srgbClr val="FF0000"/>
              </a:solidFill>
            </a:rPr>
            <a:t>dated 15/12/2023</a:t>
          </a:r>
        </a:p>
      </xdr:txBody>
    </xdr:sp>
    <xdr:clientData/>
  </xdr:twoCellAnchor>
  <xdr:twoCellAnchor editAs="oneCell">
    <xdr:from>
      <xdr:col>1</xdr:col>
      <xdr:colOff>280148</xdr:colOff>
      <xdr:row>383</xdr:row>
      <xdr:rowOff>134472</xdr:rowOff>
    </xdr:from>
    <xdr:to>
      <xdr:col>6</xdr:col>
      <xdr:colOff>489001</xdr:colOff>
      <xdr:row>399</xdr:row>
      <xdr:rowOff>122811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4191"/>
        <a:stretch/>
      </xdr:blipFill>
      <xdr:spPr>
        <a:xfrm>
          <a:off x="1098177" y="72524472"/>
          <a:ext cx="4680000" cy="3215634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2</xdr:col>
      <xdr:colOff>268940</xdr:colOff>
      <xdr:row>403</xdr:row>
      <xdr:rowOff>112059</xdr:rowOff>
    </xdr:from>
    <xdr:to>
      <xdr:col>4</xdr:col>
      <xdr:colOff>537882</xdr:colOff>
      <xdr:row>411</xdr:row>
      <xdr:rowOff>112059</xdr:rowOff>
    </xdr:to>
    <xdr:sp macro="" textlink="">
      <xdr:nvSpPr>
        <xdr:cNvPr id="7" name="Freefor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826558" y="78519618"/>
          <a:ext cx="2061883" cy="1613647"/>
        </a:xfrm>
        <a:custGeom>
          <a:avLst/>
          <a:gdLst>
            <a:gd name="connsiteX0" fmla="*/ 0 w 2061883"/>
            <a:gd name="connsiteY0" fmla="*/ 1154205 h 1613647"/>
            <a:gd name="connsiteX1" fmla="*/ 112059 w 2061883"/>
            <a:gd name="connsiteY1" fmla="*/ 1109382 h 1613647"/>
            <a:gd name="connsiteX2" fmla="*/ 123265 w 2061883"/>
            <a:gd name="connsiteY2" fmla="*/ 997323 h 1613647"/>
            <a:gd name="connsiteX3" fmla="*/ 1367118 w 2061883"/>
            <a:gd name="connsiteY3" fmla="*/ 0 h 1613647"/>
            <a:gd name="connsiteX4" fmla="*/ 2061883 w 2061883"/>
            <a:gd name="connsiteY4" fmla="*/ 112058 h 1613647"/>
            <a:gd name="connsiteX5" fmla="*/ 358589 w 2061883"/>
            <a:gd name="connsiteY5" fmla="*/ 1613647 h 1613647"/>
            <a:gd name="connsiteX6" fmla="*/ 0 w 2061883"/>
            <a:gd name="connsiteY6" fmla="*/ 1154205 h 161364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2061883" h="1613647">
              <a:moveTo>
                <a:pt x="0" y="1154205"/>
              </a:moveTo>
              <a:lnTo>
                <a:pt x="112059" y="1109382"/>
              </a:lnTo>
              <a:lnTo>
                <a:pt x="123265" y="997323"/>
              </a:lnTo>
              <a:lnTo>
                <a:pt x="1367118" y="0"/>
              </a:lnTo>
              <a:lnTo>
                <a:pt x="2061883" y="112058"/>
              </a:lnTo>
              <a:lnTo>
                <a:pt x="358589" y="1613647"/>
              </a:lnTo>
              <a:lnTo>
                <a:pt x="0" y="1154205"/>
              </a:lnTo>
              <a:close/>
            </a:path>
          </a:pathLst>
        </a:cu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 editAs="oneCell">
    <xdr:from>
      <xdr:col>9</xdr:col>
      <xdr:colOff>282948</xdr:colOff>
      <xdr:row>190</xdr:row>
      <xdr:rowOff>114299</xdr:rowOff>
    </xdr:from>
    <xdr:to>
      <xdr:col>16</xdr:col>
      <xdr:colOff>32634</xdr:colOff>
      <xdr:row>196</xdr:row>
      <xdr:rowOff>178910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26748" y="41557574"/>
          <a:ext cx="4988436" cy="1264762"/>
        </a:xfrm>
        <a:prstGeom prst="rect">
          <a:avLst/>
        </a:prstGeom>
      </xdr:spPr>
    </xdr:pic>
    <xdr:clientData/>
  </xdr:twoCellAnchor>
  <xdr:twoCellAnchor editAs="oneCell">
    <xdr:from>
      <xdr:col>9</xdr:col>
      <xdr:colOff>448235</xdr:colOff>
      <xdr:row>199</xdr:row>
      <xdr:rowOff>190500</xdr:rowOff>
    </xdr:from>
    <xdr:to>
      <xdr:col>17</xdr:col>
      <xdr:colOff>217619</xdr:colOff>
      <xdr:row>206</xdr:row>
      <xdr:rowOff>150349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001000" y="43758971"/>
          <a:ext cx="5630061" cy="1371791"/>
        </a:xfrm>
        <a:prstGeom prst="rect">
          <a:avLst/>
        </a:prstGeom>
      </xdr:spPr>
    </xdr:pic>
    <xdr:clientData/>
  </xdr:twoCellAnchor>
  <xdr:twoCellAnchor editAs="oneCell">
    <xdr:from>
      <xdr:col>8</xdr:col>
      <xdr:colOff>1116667</xdr:colOff>
      <xdr:row>206</xdr:row>
      <xdr:rowOff>179294</xdr:rowOff>
    </xdr:from>
    <xdr:to>
      <xdr:col>19</xdr:col>
      <xdr:colOff>577617</xdr:colOff>
      <xdr:row>217</xdr:row>
      <xdr:rowOff>161113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98417" y="44775344"/>
          <a:ext cx="7690551" cy="2182093"/>
        </a:xfrm>
        <a:prstGeom prst="rect">
          <a:avLst/>
        </a:prstGeom>
      </xdr:spPr>
    </xdr:pic>
    <xdr:clientData/>
  </xdr:twoCellAnchor>
  <xdr:twoCellAnchor editAs="oneCell">
    <xdr:from>
      <xdr:col>8</xdr:col>
      <xdr:colOff>1021977</xdr:colOff>
      <xdr:row>183</xdr:row>
      <xdr:rowOff>157443</xdr:rowOff>
    </xdr:from>
    <xdr:to>
      <xdr:col>14</xdr:col>
      <xdr:colOff>135601</xdr:colOff>
      <xdr:row>189</xdr:row>
      <xdr:rowOff>44415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03727" y="40152918"/>
          <a:ext cx="4076149" cy="1087123"/>
        </a:xfrm>
        <a:prstGeom prst="rect">
          <a:avLst/>
        </a:prstGeom>
      </xdr:spPr>
    </xdr:pic>
    <xdr:clientData/>
  </xdr:twoCellAnchor>
  <xdr:twoCellAnchor editAs="oneCell">
    <xdr:from>
      <xdr:col>9</xdr:col>
      <xdr:colOff>642657</xdr:colOff>
      <xdr:row>174</xdr:row>
      <xdr:rowOff>168089</xdr:rowOff>
    </xdr:from>
    <xdr:to>
      <xdr:col>15</xdr:col>
      <xdr:colOff>56570</xdr:colOff>
      <xdr:row>180</xdr:row>
      <xdr:rowOff>81959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186457" y="38410964"/>
          <a:ext cx="3871613" cy="1114021"/>
        </a:xfrm>
        <a:prstGeom prst="rect">
          <a:avLst/>
        </a:prstGeom>
      </xdr:spPr>
    </xdr:pic>
    <xdr:clientData/>
  </xdr:twoCellAnchor>
  <xdr:twoCellAnchor editAs="oneCell">
    <xdr:from>
      <xdr:col>8</xdr:col>
      <xdr:colOff>870136</xdr:colOff>
      <xdr:row>163</xdr:row>
      <xdr:rowOff>187138</xdr:rowOff>
    </xdr:from>
    <xdr:to>
      <xdr:col>14</xdr:col>
      <xdr:colOff>629310</xdr:colOff>
      <xdr:row>168</xdr:row>
      <xdr:rowOff>146988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51886" y="35829688"/>
          <a:ext cx="4721699" cy="1360025"/>
        </a:xfrm>
        <a:prstGeom prst="rect">
          <a:avLst/>
        </a:prstGeom>
      </xdr:spPr>
    </xdr:pic>
    <xdr:clientData/>
  </xdr:twoCellAnchor>
  <xdr:twoCellAnchor editAs="oneCell">
    <xdr:from>
      <xdr:col>11</xdr:col>
      <xdr:colOff>425823</xdr:colOff>
      <xdr:row>100</xdr:row>
      <xdr:rowOff>190499</xdr:rowOff>
    </xdr:from>
    <xdr:to>
      <xdr:col>20</xdr:col>
      <xdr:colOff>305089</xdr:colOff>
      <xdr:row>112</xdr:row>
      <xdr:rowOff>86972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74088" y="24865852"/>
          <a:ext cx="6087325" cy="905002"/>
        </a:xfrm>
        <a:prstGeom prst="rect">
          <a:avLst/>
        </a:prstGeom>
      </xdr:spPr>
    </xdr:pic>
    <xdr:clientData/>
  </xdr:twoCellAnchor>
  <xdr:twoCellAnchor>
    <xdr:from>
      <xdr:col>9</xdr:col>
      <xdr:colOff>0</xdr:colOff>
      <xdr:row>250</xdr:row>
      <xdr:rowOff>0</xdr:rowOff>
    </xdr:from>
    <xdr:to>
      <xdr:col>10</xdr:col>
      <xdr:colOff>577849</xdr:colOff>
      <xdr:row>252</xdr:row>
      <xdr:rowOff>127000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8572500" y="54495700"/>
          <a:ext cx="1377949" cy="5207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2400" b="1">
              <a:solidFill>
                <a:srgbClr val="FF0000"/>
              </a:solidFill>
            </a:rPr>
            <a:t>Wing A1</a:t>
          </a:r>
        </a:p>
      </xdr:txBody>
    </xdr:sp>
    <xdr:clientData/>
  </xdr:twoCellAnchor>
  <xdr:twoCellAnchor>
    <xdr:from>
      <xdr:col>8</xdr:col>
      <xdr:colOff>1042036</xdr:colOff>
      <xdr:row>247</xdr:row>
      <xdr:rowOff>9526</xdr:rowOff>
    </xdr:from>
    <xdr:to>
      <xdr:col>17</xdr:col>
      <xdr:colOff>131446</xdr:colOff>
      <xdr:row>288</xdr:row>
      <xdr:rowOff>32386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FEFFBE72-66DC-83B9-44A0-EE3640D617D7}"/>
            </a:ext>
          </a:extLst>
        </xdr:cNvPr>
        <xdr:cNvGrpSpPr/>
      </xdr:nvGrpSpPr>
      <xdr:grpSpPr>
        <a:xfrm>
          <a:off x="8068124" y="54447702"/>
          <a:ext cx="6104293" cy="8292802"/>
          <a:chOff x="279699" y="128585"/>
          <a:chExt cx="6393869" cy="8469041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6BD5ED96-17F4-D784-0CD5-894B0FE8866D}"/>
              </a:ext>
            </a:extLst>
          </xdr:cNvPr>
          <xdr:cNvGrpSpPr/>
        </xdr:nvGrpSpPr>
        <xdr:grpSpPr>
          <a:xfrm>
            <a:off x="789997" y="4117764"/>
            <a:ext cx="5373273" cy="2520000"/>
            <a:chOff x="729007" y="4117764"/>
            <a:chExt cx="5373273" cy="2520000"/>
          </a:xfrm>
        </xdr:grpSpPr>
        <xdr:pic>
          <xdr:nvPicPr>
            <xdr:cNvPr id="25" name="Picture 24">
              <a:extLst>
                <a:ext uri="{FF2B5EF4-FFF2-40B4-BE49-F238E27FC236}">
                  <a16:creationId xmlns:a16="http://schemas.microsoft.com/office/drawing/2014/main" id="{A9D013A0-9269-0927-8E25-E03E44535E2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759328" y="4117764"/>
              <a:ext cx="334295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63ECB7C8-7939-CFE6-7B95-37EB605CFC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29007" y="4117764"/>
              <a:ext cx="1895272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F28BC9BA-FFFB-0C76-4B14-E81262237BF7}"/>
              </a:ext>
            </a:extLst>
          </xdr:cNvPr>
          <xdr:cNvGrpSpPr/>
        </xdr:nvGrpSpPr>
        <xdr:grpSpPr>
          <a:xfrm>
            <a:off x="529109" y="128585"/>
            <a:ext cx="5895049" cy="3829318"/>
            <a:chOff x="264253" y="128585"/>
            <a:chExt cx="5895049" cy="3829318"/>
          </a:xfrm>
        </xdr:grpSpPr>
        <xdr:pic>
          <xdr:nvPicPr>
            <xdr:cNvPr id="23" name="Picture 22">
              <a:extLst>
                <a:ext uri="{FF2B5EF4-FFF2-40B4-BE49-F238E27FC236}">
                  <a16:creationId xmlns:a16="http://schemas.microsoft.com/office/drawing/2014/main" id="{B59AD5F8-7EC4-89E8-07A9-26A79181B47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64253" y="128585"/>
              <a:ext cx="2880000" cy="38293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4" name="Picture 23">
              <a:extLst>
                <a:ext uri="{FF2B5EF4-FFF2-40B4-BE49-F238E27FC236}">
                  <a16:creationId xmlns:a16="http://schemas.microsoft.com/office/drawing/2014/main" id="{ADD6A6F2-04E7-72ED-4A11-47E311FDE3B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279302" y="128585"/>
              <a:ext cx="2880000" cy="3829318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19" name="Group 18">
            <a:extLst>
              <a:ext uri="{FF2B5EF4-FFF2-40B4-BE49-F238E27FC236}">
                <a16:creationId xmlns:a16="http://schemas.microsoft.com/office/drawing/2014/main" id="{D0A231CB-CC0F-4E58-F7F5-FECC3B5B9E26}"/>
              </a:ext>
            </a:extLst>
          </xdr:cNvPr>
          <xdr:cNvGrpSpPr/>
        </xdr:nvGrpSpPr>
        <xdr:grpSpPr>
          <a:xfrm>
            <a:off x="279699" y="6797626"/>
            <a:ext cx="6393869" cy="1800000"/>
            <a:chOff x="295145" y="6797626"/>
            <a:chExt cx="6393869" cy="1800000"/>
          </a:xfrm>
        </xdr:grpSpPr>
        <xdr:pic>
          <xdr:nvPicPr>
            <xdr:cNvPr id="20" name="Picture 19">
              <a:extLst>
                <a:ext uri="{FF2B5EF4-FFF2-40B4-BE49-F238E27FC236}">
                  <a16:creationId xmlns:a16="http://schemas.microsoft.com/office/drawing/2014/main" id="{C3B9B830-E1B0-54C3-E692-823D30196EE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4301191" y="6797626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1" name="Picture 20">
              <a:extLst>
                <a:ext uri="{FF2B5EF4-FFF2-40B4-BE49-F238E27FC236}">
                  <a16:creationId xmlns:a16="http://schemas.microsoft.com/office/drawing/2014/main" id="{76655416-28E2-B5F2-E03A-842BA58D21D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95145" y="6797626"/>
              <a:ext cx="2387823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22" name="Picture 21">
              <a:extLst>
                <a:ext uri="{FF2B5EF4-FFF2-40B4-BE49-F238E27FC236}">
                  <a16:creationId xmlns:a16="http://schemas.microsoft.com/office/drawing/2014/main" id="{CF344BF3-4E61-2F58-DA58-B20D9A075E1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2818017" y="6797626"/>
              <a:ext cx="134812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  <xdr:twoCellAnchor>
    <xdr:from>
      <xdr:col>0</xdr:col>
      <xdr:colOff>123825</xdr:colOff>
      <xdr:row>251</xdr:row>
      <xdr:rowOff>38100</xdr:rowOff>
    </xdr:from>
    <xdr:to>
      <xdr:col>7</xdr:col>
      <xdr:colOff>1000125</xdr:colOff>
      <xdr:row>287</xdr:row>
      <xdr:rowOff>38100</xdr:rowOff>
    </xdr:to>
    <xdr:grpSp>
      <xdr:nvGrpSpPr>
        <xdr:cNvPr id="44" name="Group 43"/>
        <xdr:cNvGrpSpPr/>
      </xdr:nvGrpSpPr>
      <xdr:grpSpPr>
        <a:xfrm>
          <a:off x="123825" y="55283100"/>
          <a:ext cx="6568888" cy="7261412"/>
          <a:chOff x="123825" y="55283100"/>
          <a:chExt cx="6568888" cy="7261412"/>
        </a:xfrm>
      </xdr:grpSpPr>
      <xdr:grpSp>
        <xdr:nvGrpSpPr>
          <xdr:cNvPr id="61" name="Group 60"/>
          <xdr:cNvGrpSpPr/>
        </xdr:nvGrpSpPr>
        <xdr:grpSpPr>
          <a:xfrm>
            <a:off x="123825" y="55283100"/>
            <a:ext cx="6568888" cy="7261412"/>
            <a:chOff x="716038" y="548848"/>
            <a:chExt cx="5971215" cy="6198249"/>
          </a:xfrm>
        </xdr:grpSpPr>
        <xdr:pic>
          <xdr:nvPicPr>
            <xdr:cNvPr id="62" name="Picture 61" descr="https://vsjcllp.vsjadon.com/upload/insp-243812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12298" y="4584472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5" name="Picture 64" descr="https://vsjcllp.vsjadon.com/upload/insp-243812-84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16038" y="548848"/>
              <a:ext cx="2926814" cy="389156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6" name="Picture 65" descr="https://vsjcllp.vsjadon.com/upload/insp-243812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187485" y="4587097"/>
              <a:ext cx="1624519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7" name="Picture 66" descr="https://vsjcllp.vsjadon.com/upload/insp-243812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60439" y="548848"/>
              <a:ext cx="2926814" cy="3891562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68" name="Picture 67" descr="https://vsjcllp.vsjadon.com/upload/insp-243812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951564" y="4584472"/>
              <a:ext cx="1617750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70" name="TextBox 48"/>
          <xdr:cNvSpPr txBox="1"/>
        </xdr:nvSpPr>
        <xdr:spPr>
          <a:xfrm>
            <a:off x="1086971" y="59155853"/>
            <a:ext cx="918882" cy="32829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 b="1">
                <a:latin typeface="Times New Roman" panose="02020603050405020304" pitchFamily="18" charset="0"/>
                <a:cs typeface="Times New Roman" panose="02020603050405020304" pitchFamily="18" charset="0"/>
              </a:rPr>
              <a:t>Wing A</a:t>
            </a:r>
            <a:endParaRPr lang="en-IN" sz="1600" b="1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sty1HQtu7JSPe5LTA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Z383"/>
  <sheetViews>
    <sheetView tabSelected="1" showWhiteSpace="0" view="pageBreakPreview" topLeftCell="A225" zoomScale="85" zoomScaleNormal="100" zoomScaleSheetLayoutView="85" zoomScalePageLayoutView="85" workbookViewId="0">
      <selection activeCell="K228" sqref="K228"/>
    </sheetView>
  </sheetViews>
  <sheetFormatPr defaultColWidth="9.28515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28515625" style="40" customWidth="1"/>
    <col min="5" max="6" width="11.7109375" style="40" customWidth="1"/>
    <col min="7" max="7" width="11.42578125" style="40" customWidth="1"/>
    <col min="8" max="8" width="20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7109375" style="21" customWidth="1"/>
    <col min="14" max="14" width="12.5703125" style="21" customWidth="1"/>
    <col min="15" max="15" width="9.7109375" style="21" customWidth="1"/>
    <col min="16" max="16" width="11.7109375" style="21" customWidth="1"/>
    <col min="17" max="247" width="9.28515625" style="21"/>
    <col min="248" max="248" width="8.7109375" style="21" customWidth="1"/>
    <col min="249" max="249" width="9.71093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7109375" style="21" customWidth="1"/>
    <col min="256" max="256" width="11.28515625" style="21" customWidth="1"/>
    <col min="257" max="257" width="2.7109375" style="21" customWidth="1"/>
    <col min="258" max="258" width="3.5703125" style="21" customWidth="1"/>
    <col min="259" max="503" width="9.28515625" style="21"/>
    <col min="504" max="504" width="8.7109375" style="21" customWidth="1"/>
    <col min="505" max="505" width="9.71093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7109375" style="21" customWidth="1"/>
    <col min="512" max="512" width="11.28515625" style="21" customWidth="1"/>
    <col min="513" max="513" width="2.7109375" style="21" customWidth="1"/>
    <col min="514" max="514" width="3.5703125" style="21" customWidth="1"/>
    <col min="515" max="759" width="9.28515625" style="21"/>
    <col min="760" max="760" width="8.7109375" style="21" customWidth="1"/>
    <col min="761" max="761" width="9.71093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7109375" style="21" customWidth="1"/>
    <col min="768" max="768" width="11.28515625" style="21" customWidth="1"/>
    <col min="769" max="769" width="2.7109375" style="21" customWidth="1"/>
    <col min="770" max="770" width="3.5703125" style="21" customWidth="1"/>
    <col min="771" max="1015" width="9.28515625" style="21"/>
    <col min="1016" max="1016" width="8.7109375" style="21" customWidth="1"/>
    <col min="1017" max="1017" width="9.71093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7109375" style="21" customWidth="1"/>
    <col min="1024" max="1024" width="11.28515625" style="21" customWidth="1"/>
    <col min="1025" max="1025" width="2.7109375" style="21" customWidth="1"/>
    <col min="1026" max="1026" width="3.5703125" style="21" customWidth="1"/>
    <col min="1027" max="1271" width="9.28515625" style="21"/>
    <col min="1272" max="1272" width="8.7109375" style="21" customWidth="1"/>
    <col min="1273" max="1273" width="9.71093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7109375" style="21" customWidth="1"/>
    <col min="1280" max="1280" width="11.28515625" style="21" customWidth="1"/>
    <col min="1281" max="1281" width="2.7109375" style="21" customWidth="1"/>
    <col min="1282" max="1282" width="3.5703125" style="21" customWidth="1"/>
    <col min="1283" max="1527" width="9.28515625" style="21"/>
    <col min="1528" max="1528" width="8.7109375" style="21" customWidth="1"/>
    <col min="1529" max="1529" width="9.71093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7109375" style="21" customWidth="1"/>
    <col min="1536" max="1536" width="11.28515625" style="21" customWidth="1"/>
    <col min="1537" max="1537" width="2.7109375" style="21" customWidth="1"/>
    <col min="1538" max="1538" width="3.5703125" style="21" customWidth="1"/>
    <col min="1539" max="1783" width="9.28515625" style="21"/>
    <col min="1784" max="1784" width="8.7109375" style="21" customWidth="1"/>
    <col min="1785" max="1785" width="9.71093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7109375" style="21" customWidth="1"/>
    <col min="1792" max="1792" width="11.28515625" style="21" customWidth="1"/>
    <col min="1793" max="1793" width="2.7109375" style="21" customWidth="1"/>
    <col min="1794" max="1794" width="3.5703125" style="21" customWidth="1"/>
    <col min="1795" max="2039" width="9.28515625" style="21"/>
    <col min="2040" max="2040" width="8.7109375" style="21" customWidth="1"/>
    <col min="2041" max="2041" width="9.71093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7109375" style="21" customWidth="1"/>
    <col min="2048" max="2048" width="11.28515625" style="21" customWidth="1"/>
    <col min="2049" max="2049" width="2.7109375" style="21" customWidth="1"/>
    <col min="2050" max="2050" width="3.5703125" style="21" customWidth="1"/>
    <col min="2051" max="2295" width="9.28515625" style="21"/>
    <col min="2296" max="2296" width="8.7109375" style="21" customWidth="1"/>
    <col min="2297" max="2297" width="9.71093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7109375" style="21" customWidth="1"/>
    <col min="2304" max="2304" width="11.28515625" style="21" customWidth="1"/>
    <col min="2305" max="2305" width="2.7109375" style="21" customWidth="1"/>
    <col min="2306" max="2306" width="3.5703125" style="21" customWidth="1"/>
    <col min="2307" max="2551" width="9.28515625" style="21"/>
    <col min="2552" max="2552" width="8.7109375" style="21" customWidth="1"/>
    <col min="2553" max="2553" width="9.71093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7109375" style="21" customWidth="1"/>
    <col min="2560" max="2560" width="11.28515625" style="21" customWidth="1"/>
    <col min="2561" max="2561" width="2.7109375" style="21" customWidth="1"/>
    <col min="2562" max="2562" width="3.5703125" style="21" customWidth="1"/>
    <col min="2563" max="2807" width="9.28515625" style="21"/>
    <col min="2808" max="2808" width="8.7109375" style="21" customWidth="1"/>
    <col min="2809" max="2809" width="9.71093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7109375" style="21" customWidth="1"/>
    <col min="2816" max="2816" width="11.28515625" style="21" customWidth="1"/>
    <col min="2817" max="2817" width="2.7109375" style="21" customWidth="1"/>
    <col min="2818" max="2818" width="3.5703125" style="21" customWidth="1"/>
    <col min="2819" max="3063" width="9.28515625" style="21"/>
    <col min="3064" max="3064" width="8.7109375" style="21" customWidth="1"/>
    <col min="3065" max="3065" width="9.71093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7109375" style="21" customWidth="1"/>
    <col min="3072" max="3072" width="11.28515625" style="21" customWidth="1"/>
    <col min="3073" max="3073" width="2.7109375" style="21" customWidth="1"/>
    <col min="3074" max="3074" width="3.5703125" style="21" customWidth="1"/>
    <col min="3075" max="3319" width="9.28515625" style="21"/>
    <col min="3320" max="3320" width="8.7109375" style="21" customWidth="1"/>
    <col min="3321" max="3321" width="9.71093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7109375" style="21" customWidth="1"/>
    <col min="3328" max="3328" width="11.28515625" style="21" customWidth="1"/>
    <col min="3329" max="3329" width="2.7109375" style="21" customWidth="1"/>
    <col min="3330" max="3330" width="3.5703125" style="21" customWidth="1"/>
    <col min="3331" max="3575" width="9.28515625" style="21"/>
    <col min="3576" max="3576" width="8.7109375" style="21" customWidth="1"/>
    <col min="3577" max="3577" width="9.71093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7109375" style="21" customWidth="1"/>
    <col min="3584" max="3584" width="11.28515625" style="21" customWidth="1"/>
    <col min="3585" max="3585" width="2.7109375" style="21" customWidth="1"/>
    <col min="3586" max="3586" width="3.5703125" style="21" customWidth="1"/>
    <col min="3587" max="3831" width="9.28515625" style="21"/>
    <col min="3832" max="3832" width="8.7109375" style="21" customWidth="1"/>
    <col min="3833" max="3833" width="9.71093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7109375" style="21" customWidth="1"/>
    <col min="3840" max="3840" width="11.28515625" style="21" customWidth="1"/>
    <col min="3841" max="3841" width="2.7109375" style="21" customWidth="1"/>
    <col min="3842" max="3842" width="3.5703125" style="21" customWidth="1"/>
    <col min="3843" max="4087" width="9.28515625" style="21"/>
    <col min="4088" max="4088" width="8.7109375" style="21" customWidth="1"/>
    <col min="4089" max="4089" width="9.71093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7109375" style="21" customWidth="1"/>
    <col min="4096" max="4096" width="11.28515625" style="21" customWidth="1"/>
    <col min="4097" max="4097" width="2.7109375" style="21" customWidth="1"/>
    <col min="4098" max="4098" width="3.5703125" style="21" customWidth="1"/>
    <col min="4099" max="4343" width="9.28515625" style="21"/>
    <col min="4344" max="4344" width="8.7109375" style="21" customWidth="1"/>
    <col min="4345" max="4345" width="9.71093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7109375" style="21" customWidth="1"/>
    <col min="4352" max="4352" width="11.28515625" style="21" customWidth="1"/>
    <col min="4353" max="4353" width="2.7109375" style="21" customWidth="1"/>
    <col min="4354" max="4354" width="3.5703125" style="21" customWidth="1"/>
    <col min="4355" max="4599" width="9.28515625" style="21"/>
    <col min="4600" max="4600" width="8.7109375" style="21" customWidth="1"/>
    <col min="4601" max="4601" width="9.71093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7109375" style="21" customWidth="1"/>
    <col min="4608" max="4608" width="11.28515625" style="21" customWidth="1"/>
    <col min="4609" max="4609" width="2.7109375" style="21" customWidth="1"/>
    <col min="4610" max="4610" width="3.5703125" style="21" customWidth="1"/>
    <col min="4611" max="4855" width="9.28515625" style="21"/>
    <col min="4856" max="4856" width="8.7109375" style="21" customWidth="1"/>
    <col min="4857" max="4857" width="9.71093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7109375" style="21" customWidth="1"/>
    <col min="4864" max="4864" width="11.28515625" style="21" customWidth="1"/>
    <col min="4865" max="4865" width="2.7109375" style="21" customWidth="1"/>
    <col min="4866" max="4866" width="3.5703125" style="21" customWidth="1"/>
    <col min="4867" max="5111" width="9.28515625" style="21"/>
    <col min="5112" max="5112" width="8.7109375" style="21" customWidth="1"/>
    <col min="5113" max="5113" width="9.71093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7109375" style="21" customWidth="1"/>
    <col min="5120" max="5120" width="11.28515625" style="21" customWidth="1"/>
    <col min="5121" max="5121" width="2.7109375" style="21" customWidth="1"/>
    <col min="5122" max="5122" width="3.5703125" style="21" customWidth="1"/>
    <col min="5123" max="5367" width="9.28515625" style="21"/>
    <col min="5368" max="5368" width="8.7109375" style="21" customWidth="1"/>
    <col min="5369" max="5369" width="9.71093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7109375" style="21" customWidth="1"/>
    <col min="5376" max="5376" width="11.28515625" style="21" customWidth="1"/>
    <col min="5377" max="5377" width="2.7109375" style="21" customWidth="1"/>
    <col min="5378" max="5378" width="3.5703125" style="21" customWidth="1"/>
    <col min="5379" max="5623" width="9.28515625" style="21"/>
    <col min="5624" max="5624" width="8.7109375" style="21" customWidth="1"/>
    <col min="5625" max="5625" width="9.71093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7109375" style="21" customWidth="1"/>
    <col min="5632" max="5632" width="11.28515625" style="21" customWidth="1"/>
    <col min="5633" max="5633" width="2.7109375" style="21" customWidth="1"/>
    <col min="5634" max="5634" width="3.5703125" style="21" customWidth="1"/>
    <col min="5635" max="5879" width="9.28515625" style="21"/>
    <col min="5880" max="5880" width="8.7109375" style="21" customWidth="1"/>
    <col min="5881" max="5881" width="9.71093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7109375" style="21" customWidth="1"/>
    <col min="5888" max="5888" width="11.28515625" style="21" customWidth="1"/>
    <col min="5889" max="5889" width="2.7109375" style="21" customWidth="1"/>
    <col min="5890" max="5890" width="3.5703125" style="21" customWidth="1"/>
    <col min="5891" max="6135" width="9.28515625" style="21"/>
    <col min="6136" max="6136" width="8.7109375" style="21" customWidth="1"/>
    <col min="6137" max="6137" width="9.71093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7109375" style="21" customWidth="1"/>
    <col min="6144" max="6144" width="11.28515625" style="21" customWidth="1"/>
    <col min="6145" max="6145" width="2.7109375" style="21" customWidth="1"/>
    <col min="6146" max="6146" width="3.5703125" style="21" customWidth="1"/>
    <col min="6147" max="6391" width="9.28515625" style="21"/>
    <col min="6392" max="6392" width="8.7109375" style="21" customWidth="1"/>
    <col min="6393" max="6393" width="9.71093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7109375" style="21" customWidth="1"/>
    <col min="6400" max="6400" width="11.28515625" style="21" customWidth="1"/>
    <col min="6401" max="6401" width="2.7109375" style="21" customWidth="1"/>
    <col min="6402" max="6402" width="3.5703125" style="21" customWidth="1"/>
    <col min="6403" max="6647" width="9.28515625" style="21"/>
    <col min="6648" max="6648" width="8.7109375" style="21" customWidth="1"/>
    <col min="6649" max="6649" width="9.71093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7109375" style="21" customWidth="1"/>
    <col min="6656" max="6656" width="11.28515625" style="21" customWidth="1"/>
    <col min="6657" max="6657" width="2.7109375" style="21" customWidth="1"/>
    <col min="6658" max="6658" width="3.5703125" style="21" customWidth="1"/>
    <col min="6659" max="6903" width="9.28515625" style="21"/>
    <col min="6904" max="6904" width="8.7109375" style="21" customWidth="1"/>
    <col min="6905" max="6905" width="9.71093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7109375" style="21" customWidth="1"/>
    <col min="6912" max="6912" width="11.28515625" style="21" customWidth="1"/>
    <col min="6913" max="6913" width="2.7109375" style="21" customWidth="1"/>
    <col min="6914" max="6914" width="3.5703125" style="21" customWidth="1"/>
    <col min="6915" max="7159" width="9.28515625" style="21"/>
    <col min="7160" max="7160" width="8.7109375" style="21" customWidth="1"/>
    <col min="7161" max="7161" width="9.71093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7109375" style="21" customWidth="1"/>
    <col min="7168" max="7168" width="11.28515625" style="21" customWidth="1"/>
    <col min="7169" max="7169" width="2.7109375" style="21" customWidth="1"/>
    <col min="7170" max="7170" width="3.5703125" style="21" customWidth="1"/>
    <col min="7171" max="7415" width="9.28515625" style="21"/>
    <col min="7416" max="7416" width="8.7109375" style="21" customWidth="1"/>
    <col min="7417" max="7417" width="9.71093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7109375" style="21" customWidth="1"/>
    <col min="7424" max="7424" width="11.28515625" style="21" customWidth="1"/>
    <col min="7425" max="7425" width="2.7109375" style="21" customWidth="1"/>
    <col min="7426" max="7426" width="3.5703125" style="21" customWidth="1"/>
    <col min="7427" max="7671" width="9.28515625" style="21"/>
    <col min="7672" max="7672" width="8.7109375" style="21" customWidth="1"/>
    <col min="7673" max="7673" width="9.71093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7109375" style="21" customWidth="1"/>
    <col min="7680" max="7680" width="11.28515625" style="21" customWidth="1"/>
    <col min="7681" max="7681" width="2.7109375" style="21" customWidth="1"/>
    <col min="7682" max="7682" width="3.5703125" style="21" customWidth="1"/>
    <col min="7683" max="7927" width="9.28515625" style="21"/>
    <col min="7928" max="7928" width="8.7109375" style="21" customWidth="1"/>
    <col min="7929" max="7929" width="9.71093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7109375" style="21" customWidth="1"/>
    <col min="7936" max="7936" width="11.28515625" style="21" customWidth="1"/>
    <col min="7937" max="7937" width="2.7109375" style="21" customWidth="1"/>
    <col min="7938" max="7938" width="3.5703125" style="21" customWidth="1"/>
    <col min="7939" max="8183" width="9.28515625" style="21"/>
    <col min="8184" max="8184" width="8.7109375" style="21" customWidth="1"/>
    <col min="8185" max="8185" width="9.71093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7109375" style="21" customWidth="1"/>
    <col min="8192" max="8192" width="11.28515625" style="21" customWidth="1"/>
    <col min="8193" max="8193" width="2.7109375" style="21" customWidth="1"/>
    <col min="8194" max="8194" width="3.5703125" style="21" customWidth="1"/>
    <col min="8195" max="8439" width="9.28515625" style="21"/>
    <col min="8440" max="8440" width="8.7109375" style="21" customWidth="1"/>
    <col min="8441" max="8441" width="9.71093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7109375" style="21" customWidth="1"/>
    <col min="8448" max="8448" width="11.28515625" style="21" customWidth="1"/>
    <col min="8449" max="8449" width="2.7109375" style="21" customWidth="1"/>
    <col min="8450" max="8450" width="3.5703125" style="21" customWidth="1"/>
    <col min="8451" max="8695" width="9.28515625" style="21"/>
    <col min="8696" max="8696" width="8.7109375" style="21" customWidth="1"/>
    <col min="8697" max="8697" width="9.71093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7109375" style="21" customWidth="1"/>
    <col min="8704" max="8704" width="11.28515625" style="21" customWidth="1"/>
    <col min="8705" max="8705" width="2.7109375" style="21" customWidth="1"/>
    <col min="8706" max="8706" width="3.5703125" style="21" customWidth="1"/>
    <col min="8707" max="8951" width="9.28515625" style="21"/>
    <col min="8952" max="8952" width="8.7109375" style="21" customWidth="1"/>
    <col min="8953" max="8953" width="9.71093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7109375" style="21" customWidth="1"/>
    <col min="8960" max="8960" width="11.28515625" style="21" customWidth="1"/>
    <col min="8961" max="8961" width="2.7109375" style="21" customWidth="1"/>
    <col min="8962" max="8962" width="3.5703125" style="21" customWidth="1"/>
    <col min="8963" max="9207" width="9.28515625" style="21"/>
    <col min="9208" max="9208" width="8.7109375" style="21" customWidth="1"/>
    <col min="9209" max="9209" width="9.71093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7109375" style="21" customWidth="1"/>
    <col min="9216" max="9216" width="11.28515625" style="21" customWidth="1"/>
    <col min="9217" max="9217" width="2.7109375" style="21" customWidth="1"/>
    <col min="9218" max="9218" width="3.5703125" style="21" customWidth="1"/>
    <col min="9219" max="9463" width="9.28515625" style="21"/>
    <col min="9464" max="9464" width="8.7109375" style="21" customWidth="1"/>
    <col min="9465" max="9465" width="9.71093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7109375" style="21" customWidth="1"/>
    <col min="9472" max="9472" width="11.28515625" style="21" customWidth="1"/>
    <col min="9473" max="9473" width="2.7109375" style="21" customWidth="1"/>
    <col min="9474" max="9474" width="3.5703125" style="21" customWidth="1"/>
    <col min="9475" max="9719" width="9.28515625" style="21"/>
    <col min="9720" max="9720" width="8.7109375" style="21" customWidth="1"/>
    <col min="9721" max="9721" width="9.71093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7109375" style="21" customWidth="1"/>
    <col min="9728" max="9728" width="11.28515625" style="21" customWidth="1"/>
    <col min="9729" max="9729" width="2.7109375" style="21" customWidth="1"/>
    <col min="9730" max="9730" width="3.5703125" style="21" customWidth="1"/>
    <col min="9731" max="9975" width="9.28515625" style="21"/>
    <col min="9976" max="9976" width="8.7109375" style="21" customWidth="1"/>
    <col min="9977" max="9977" width="9.71093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7109375" style="21" customWidth="1"/>
    <col min="9984" max="9984" width="11.28515625" style="21" customWidth="1"/>
    <col min="9985" max="9985" width="2.7109375" style="21" customWidth="1"/>
    <col min="9986" max="9986" width="3.5703125" style="21" customWidth="1"/>
    <col min="9987" max="10231" width="9.28515625" style="21"/>
    <col min="10232" max="10232" width="8.7109375" style="21" customWidth="1"/>
    <col min="10233" max="10233" width="9.71093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7109375" style="21" customWidth="1"/>
    <col min="10240" max="10240" width="11.28515625" style="21" customWidth="1"/>
    <col min="10241" max="10241" width="2.7109375" style="21" customWidth="1"/>
    <col min="10242" max="10242" width="3.5703125" style="21" customWidth="1"/>
    <col min="10243" max="10487" width="9.28515625" style="21"/>
    <col min="10488" max="10488" width="8.7109375" style="21" customWidth="1"/>
    <col min="10489" max="10489" width="9.71093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7109375" style="21" customWidth="1"/>
    <col min="10496" max="10496" width="11.28515625" style="21" customWidth="1"/>
    <col min="10497" max="10497" width="2.7109375" style="21" customWidth="1"/>
    <col min="10498" max="10498" width="3.5703125" style="21" customWidth="1"/>
    <col min="10499" max="10743" width="9.28515625" style="21"/>
    <col min="10744" max="10744" width="8.7109375" style="21" customWidth="1"/>
    <col min="10745" max="10745" width="9.71093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7109375" style="21" customWidth="1"/>
    <col min="10752" max="10752" width="11.28515625" style="21" customWidth="1"/>
    <col min="10753" max="10753" width="2.7109375" style="21" customWidth="1"/>
    <col min="10754" max="10754" width="3.5703125" style="21" customWidth="1"/>
    <col min="10755" max="10999" width="9.28515625" style="21"/>
    <col min="11000" max="11000" width="8.7109375" style="21" customWidth="1"/>
    <col min="11001" max="11001" width="9.71093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7109375" style="21" customWidth="1"/>
    <col min="11008" max="11008" width="11.28515625" style="21" customWidth="1"/>
    <col min="11009" max="11009" width="2.7109375" style="21" customWidth="1"/>
    <col min="11010" max="11010" width="3.5703125" style="21" customWidth="1"/>
    <col min="11011" max="11255" width="9.28515625" style="21"/>
    <col min="11256" max="11256" width="8.7109375" style="21" customWidth="1"/>
    <col min="11257" max="11257" width="9.71093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7109375" style="21" customWidth="1"/>
    <col min="11264" max="11264" width="11.28515625" style="21" customWidth="1"/>
    <col min="11265" max="11265" width="2.7109375" style="21" customWidth="1"/>
    <col min="11266" max="11266" width="3.5703125" style="21" customWidth="1"/>
    <col min="11267" max="11511" width="9.28515625" style="21"/>
    <col min="11512" max="11512" width="8.7109375" style="21" customWidth="1"/>
    <col min="11513" max="11513" width="9.71093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7109375" style="21" customWidth="1"/>
    <col min="11520" max="11520" width="11.28515625" style="21" customWidth="1"/>
    <col min="11521" max="11521" width="2.7109375" style="21" customWidth="1"/>
    <col min="11522" max="11522" width="3.5703125" style="21" customWidth="1"/>
    <col min="11523" max="11767" width="9.28515625" style="21"/>
    <col min="11768" max="11768" width="8.7109375" style="21" customWidth="1"/>
    <col min="11769" max="11769" width="9.71093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7109375" style="21" customWidth="1"/>
    <col min="11776" max="11776" width="11.28515625" style="21" customWidth="1"/>
    <col min="11777" max="11777" width="2.7109375" style="21" customWidth="1"/>
    <col min="11778" max="11778" width="3.5703125" style="21" customWidth="1"/>
    <col min="11779" max="12023" width="9.28515625" style="21"/>
    <col min="12024" max="12024" width="8.7109375" style="21" customWidth="1"/>
    <col min="12025" max="12025" width="9.71093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7109375" style="21" customWidth="1"/>
    <col min="12032" max="12032" width="11.28515625" style="21" customWidth="1"/>
    <col min="12033" max="12033" width="2.7109375" style="21" customWidth="1"/>
    <col min="12034" max="12034" width="3.5703125" style="21" customWidth="1"/>
    <col min="12035" max="12279" width="9.28515625" style="21"/>
    <col min="12280" max="12280" width="8.7109375" style="21" customWidth="1"/>
    <col min="12281" max="12281" width="9.71093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7109375" style="21" customWidth="1"/>
    <col min="12288" max="12288" width="11.28515625" style="21" customWidth="1"/>
    <col min="12289" max="12289" width="2.7109375" style="21" customWidth="1"/>
    <col min="12290" max="12290" width="3.5703125" style="21" customWidth="1"/>
    <col min="12291" max="12535" width="9.28515625" style="21"/>
    <col min="12536" max="12536" width="8.7109375" style="21" customWidth="1"/>
    <col min="12537" max="12537" width="9.71093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7109375" style="21" customWidth="1"/>
    <col min="12544" max="12544" width="11.28515625" style="21" customWidth="1"/>
    <col min="12545" max="12545" width="2.7109375" style="21" customWidth="1"/>
    <col min="12546" max="12546" width="3.5703125" style="21" customWidth="1"/>
    <col min="12547" max="12791" width="9.28515625" style="21"/>
    <col min="12792" max="12792" width="8.7109375" style="21" customWidth="1"/>
    <col min="12793" max="12793" width="9.71093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7109375" style="21" customWidth="1"/>
    <col min="12800" max="12800" width="11.28515625" style="21" customWidth="1"/>
    <col min="12801" max="12801" width="2.7109375" style="21" customWidth="1"/>
    <col min="12802" max="12802" width="3.5703125" style="21" customWidth="1"/>
    <col min="12803" max="13047" width="9.28515625" style="21"/>
    <col min="13048" max="13048" width="8.7109375" style="21" customWidth="1"/>
    <col min="13049" max="13049" width="9.71093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7109375" style="21" customWidth="1"/>
    <col min="13056" max="13056" width="11.28515625" style="21" customWidth="1"/>
    <col min="13057" max="13057" width="2.7109375" style="21" customWidth="1"/>
    <col min="13058" max="13058" width="3.5703125" style="21" customWidth="1"/>
    <col min="13059" max="13303" width="9.28515625" style="21"/>
    <col min="13304" max="13304" width="8.7109375" style="21" customWidth="1"/>
    <col min="13305" max="13305" width="9.71093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7109375" style="21" customWidth="1"/>
    <col min="13312" max="13312" width="11.28515625" style="21" customWidth="1"/>
    <col min="13313" max="13313" width="2.7109375" style="21" customWidth="1"/>
    <col min="13314" max="13314" width="3.5703125" style="21" customWidth="1"/>
    <col min="13315" max="13559" width="9.28515625" style="21"/>
    <col min="13560" max="13560" width="8.7109375" style="21" customWidth="1"/>
    <col min="13561" max="13561" width="9.71093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7109375" style="21" customWidth="1"/>
    <col min="13568" max="13568" width="11.28515625" style="21" customWidth="1"/>
    <col min="13569" max="13569" width="2.7109375" style="21" customWidth="1"/>
    <col min="13570" max="13570" width="3.5703125" style="21" customWidth="1"/>
    <col min="13571" max="13815" width="9.28515625" style="21"/>
    <col min="13816" max="13816" width="8.7109375" style="21" customWidth="1"/>
    <col min="13817" max="13817" width="9.71093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7109375" style="21" customWidth="1"/>
    <col min="13824" max="13824" width="11.28515625" style="21" customWidth="1"/>
    <col min="13825" max="13825" width="2.7109375" style="21" customWidth="1"/>
    <col min="13826" max="13826" width="3.5703125" style="21" customWidth="1"/>
    <col min="13827" max="14071" width="9.28515625" style="21"/>
    <col min="14072" max="14072" width="8.7109375" style="21" customWidth="1"/>
    <col min="14073" max="14073" width="9.71093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7109375" style="21" customWidth="1"/>
    <col min="14080" max="14080" width="11.28515625" style="21" customWidth="1"/>
    <col min="14081" max="14081" width="2.7109375" style="21" customWidth="1"/>
    <col min="14082" max="14082" width="3.5703125" style="21" customWidth="1"/>
    <col min="14083" max="14327" width="9.28515625" style="21"/>
    <col min="14328" max="14328" width="8.7109375" style="21" customWidth="1"/>
    <col min="14329" max="14329" width="9.71093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7109375" style="21" customWidth="1"/>
    <col min="14336" max="14336" width="11.28515625" style="21" customWidth="1"/>
    <col min="14337" max="14337" width="2.7109375" style="21" customWidth="1"/>
    <col min="14338" max="14338" width="3.5703125" style="21" customWidth="1"/>
    <col min="14339" max="14583" width="9.28515625" style="21"/>
    <col min="14584" max="14584" width="8.7109375" style="21" customWidth="1"/>
    <col min="14585" max="14585" width="9.71093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7109375" style="21" customWidth="1"/>
    <col min="14592" max="14592" width="11.28515625" style="21" customWidth="1"/>
    <col min="14593" max="14593" width="2.7109375" style="21" customWidth="1"/>
    <col min="14594" max="14594" width="3.5703125" style="21" customWidth="1"/>
    <col min="14595" max="14839" width="9.28515625" style="21"/>
    <col min="14840" max="14840" width="8.7109375" style="21" customWidth="1"/>
    <col min="14841" max="14841" width="9.71093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7109375" style="21" customWidth="1"/>
    <col min="14848" max="14848" width="11.28515625" style="21" customWidth="1"/>
    <col min="14849" max="14849" width="2.7109375" style="21" customWidth="1"/>
    <col min="14850" max="14850" width="3.5703125" style="21" customWidth="1"/>
    <col min="14851" max="15095" width="9.28515625" style="21"/>
    <col min="15096" max="15096" width="8.7109375" style="21" customWidth="1"/>
    <col min="15097" max="15097" width="9.71093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7109375" style="21" customWidth="1"/>
    <col min="15104" max="15104" width="11.28515625" style="21" customWidth="1"/>
    <col min="15105" max="15105" width="2.7109375" style="21" customWidth="1"/>
    <col min="15106" max="15106" width="3.5703125" style="21" customWidth="1"/>
    <col min="15107" max="15351" width="9.28515625" style="21"/>
    <col min="15352" max="15352" width="8.7109375" style="21" customWidth="1"/>
    <col min="15353" max="15353" width="9.71093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7109375" style="21" customWidth="1"/>
    <col min="15360" max="15360" width="11.28515625" style="21" customWidth="1"/>
    <col min="15361" max="15361" width="2.7109375" style="21" customWidth="1"/>
    <col min="15362" max="15362" width="3.5703125" style="21" customWidth="1"/>
    <col min="15363" max="15607" width="9.28515625" style="21"/>
    <col min="15608" max="15608" width="8.7109375" style="21" customWidth="1"/>
    <col min="15609" max="15609" width="9.71093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7109375" style="21" customWidth="1"/>
    <col min="15616" max="15616" width="11.28515625" style="21" customWidth="1"/>
    <col min="15617" max="15617" width="2.7109375" style="21" customWidth="1"/>
    <col min="15618" max="15618" width="3.5703125" style="21" customWidth="1"/>
    <col min="15619" max="15863" width="9.28515625" style="21"/>
    <col min="15864" max="15864" width="8.7109375" style="21" customWidth="1"/>
    <col min="15865" max="15865" width="9.71093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7109375" style="21" customWidth="1"/>
    <col min="15872" max="15872" width="11.28515625" style="21" customWidth="1"/>
    <col min="15873" max="15873" width="2.7109375" style="21" customWidth="1"/>
    <col min="15874" max="15874" width="3.5703125" style="21" customWidth="1"/>
    <col min="15875" max="16119" width="9.28515625" style="21"/>
    <col min="16120" max="16120" width="8.7109375" style="21" customWidth="1"/>
    <col min="16121" max="16121" width="9.71093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7109375" style="21" customWidth="1"/>
    <col min="16128" max="16128" width="11.28515625" style="21" customWidth="1"/>
    <col min="16129" max="16129" width="2.7109375" style="21" customWidth="1"/>
    <col min="16130" max="16130" width="3.5703125" style="21" customWidth="1"/>
    <col min="16131" max="16384" width="9.28515625" style="21"/>
  </cols>
  <sheetData>
    <row r="1" spans="1:26" ht="46.5" customHeight="1" x14ac:dyDescent="0.25">
      <c r="A1" s="186" t="s">
        <v>160</v>
      </c>
      <c r="B1" s="186"/>
      <c r="C1" s="186"/>
      <c r="D1" s="186"/>
      <c r="E1" s="186"/>
      <c r="F1" s="186"/>
      <c r="G1" s="186"/>
      <c r="H1" s="186"/>
    </row>
    <row r="2" spans="1:26" ht="16.5" customHeight="1" x14ac:dyDescent="0.25">
      <c r="A2" s="113" t="s">
        <v>0</v>
      </c>
      <c r="B2" s="113"/>
      <c r="C2" s="113"/>
      <c r="D2" s="113"/>
      <c r="E2" s="113"/>
      <c r="F2" s="113"/>
      <c r="G2" s="113"/>
      <c r="H2" s="113"/>
    </row>
    <row r="3" spans="1:26" x14ac:dyDescent="0.25">
      <c r="A3" s="134" t="s">
        <v>1</v>
      </c>
      <c r="B3" s="134"/>
      <c r="C3" s="134"/>
      <c r="D3" s="134"/>
      <c r="E3" s="134" t="str">
        <f ca="1">TEXT(TODAY(),"DD/MM/YYYY")</f>
        <v>12/08/2025</v>
      </c>
      <c r="F3" s="134"/>
      <c r="G3" s="134"/>
      <c r="H3" s="134"/>
    </row>
    <row r="4" spans="1:26" ht="15" customHeight="1" x14ac:dyDescent="0.25">
      <c r="A4" s="134" t="s">
        <v>2</v>
      </c>
      <c r="B4" s="134"/>
      <c r="C4" s="134"/>
      <c r="D4" s="134"/>
      <c r="E4" s="134" t="s">
        <v>226</v>
      </c>
      <c r="F4" s="134"/>
      <c r="G4" s="134"/>
      <c r="H4" s="134"/>
    </row>
    <row r="5" spans="1:26" x14ac:dyDescent="0.25">
      <c r="A5" s="134" t="s">
        <v>3</v>
      </c>
      <c r="B5" s="134"/>
      <c r="C5" s="134"/>
      <c r="D5" s="134"/>
      <c r="E5" s="187">
        <v>45881</v>
      </c>
      <c r="F5" s="134"/>
      <c r="G5" s="134"/>
      <c r="H5" s="134"/>
    </row>
    <row r="6" spans="1:26" ht="16.5" customHeight="1" x14ac:dyDescent="0.25">
      <c r="A6" s="134" t="s">
        <v>4</v>
      </c>
      <c r="B6" s="134"/>
      <c r="C6" s="134"/>
      <c r="D6" s="134"/>
      <c r="E6" s="134" t="s">
        <v>227</v>
      </c>
      <c r="F6" s="134"/>
      <c r="G6" s="134"/>
      <c r="H6" s="134"/>
    </row>
    <row r="7" spans="1:26" ht="15" customHeight="1" x14ac:dyDescent="0.25">
      <c r="A7" s="134" t="s">
        <v>5</v>
      </c>
      <c r="B7" s="134"/>
      <c r="C7" s="134"/>
      <c r="D7" s="134"/>
      <c r="E7" s="134" t="str">
        <f>E6</f>
        <v>Siddhivinayak Group NX</v>
      </c>
      <c r="F7" s="134"/>
      <c r="G7" s="134"/>
      <c r="H7" s="134"/>
    </row>
    <row r="8" spans="1:26" x14ac:dyDescent="0.25">
      <c r="A8" s="134" t="s">
        <v>6</v>
      </c>
      <c r="B8" s="134"/>
      <c r="C8" s="134"/>
      <c r="D8" s="134"/>
      <c r="E8" s="179" t="s">
        <v>228</v>
      </c>
      <c r="F8" s="179"/>
      <c r="G8" s="179"/>
      <c r="H8" s="179"/>
    </row>
    <row r="9" spans="1:26" x14ac:dyDescent="0.25">
      <c r="A9" s="134" t="s">
        <v>163</v>
      </c>
      <c r="B9" s="134"/>
      <c r="C9" s="134"/>
      <c r="D9" s="134"/>
      <c r="E9" s="134" t="s">
        <v>229</v>
      </c>
      <c r="F9" s="134"/>
      <c r="G9" s="134"/>
      <c r="H9" s="134"/>
    </row>
    <row r="10" spans="1:26" x14ac:dyDescent="0.25">
      <c r="A10" s="134" t="s">
        <v>164</v>
      </c>
      <c r="B10" s="134"/>
      <c r="C10" s="134"/>
      <c r="D10" s="134"/>
      <c r="E10" s="134" t="s">
        <v>29</v>
      </c>
      <c r="F10" s="134"/>
      <c r="G10" s="134"/>
      <c r="H10" s="134"/>
    </row>
    <row r="11" spans="1:26" x14ac:dyDescent="0.25">
      <c r="A11" s="134" t="s">
        <v>7</v>
      </c>
      <c r="B11" s="134"/>
      <c r="C11" s="134"/>
      <c r="D11" s="134"/>
      <c r="E11" s="134" t="s">
        <v>289</v>
      </c>
      <c r="F11" s="134"/>
      <c r="G11" s="134"/>
      <c r="H11" s="134"/>
    </row>
    <row r="12" spans="1:26" x14ac:dyDescent="0.25">
      <c r="A12" s="134" t="s">
        <v>166</v>
      </c>
      <c r="B12" s="134"/>
      <c r="C12" s="134"/>
      <c r="D12" s="134"/>
      <c r="E12" s="134" t="s">
        <v>29</v>
      </c>
      <c r="F12" s="134"/>
      <c r="G12" s="134"/>
      <c r="H12" s="134"/>
      <c r="S12" s="56" t="s">
        <v>173</v>
      </c>
      <c r="T12" s="56" t="s">
        <v>183</v>
      </c>
      <c r="U12" s="56" t="s">
        <v>167</v>
      </c>
      <c r="V12" s="56" t="s">
        <v>188</v>
      </c>
      <c r="W12" s="56" t="s">
        <v>206</v>
      </c>
      <c r="X12"/>
      <c r="Y12" t="s">
        <v>188</v>
      </c>
      <c r="Z12" t="e">
        <f ca="1">OFFSET($S$12,1,MATCH($G19,$S$12:$W$12,0)-1,15,1)</f>
        <v>#VALUE!</v>
      </c>
    </row>
    <row r="13" spans="1:26" x14ac:dyDescent="0.25">
      <c r="A13" s="114" t="s">
        <v>8</v>
      </c>
      <c r="B13" s="114"/>
      <c r="C13" s="114"/>
      <c r="D13" s="114"/>
      <c r="E13" s="133" t="s">
        <v>221</v>
      </c>
      <c r="F13" s="133"/>
      <c r="G13" s="133"/>
      <c r="H13" s="133"/>
      <c r="S13" s="56" t="s">
        <v>174</v>
      </c>
      <c r="T13" s="56" t="s">
        <v>181</v>
      </c>
      <c r="U13" s="56" t="s">
        <v>203</v>
      </c>
      <c r="V13" s="56" t="s">
        <v>189</v>
      </c>
      <c r="W13" s="56" t="s">
        <v>207</v>
      </c>
      <c r="X13"/>
      <c r="Y13"/>
      <c r="Z13"/>
    </row>
    <row r="14" spans="1:26" x14ac:dyDescent="0.25">
      <c r="A14" s="114" t="s">
        <v>9</v>
      </c>
      <c r="B14" s="114"/>
      <c r="C14" s="114"/>
      <c r="D14" s="114"/>
      <c r="E14" s="133" t="s">
        <v>230</v>
      </c>
      <c r="F14" s="134"/>
      <c r="G14" s="134"/>
      <c r="H14" s="134"/>
      <c r="I14" s="110" t="e">
        <f ca="1">OFFSET($D$4,1,MATCH($J12,$D$4:$H$4,0)-1,15,1)</f>
        <v>#N/A</v>
      </c>
      <c r="J14" s="111"/>
      <c r="K14" s="111"/>
      <c r="L14" s="111"/>
      <c r="M14" s="111"/>
      <c r="N14" s="111"/>
      <c r="O14" s="111"/>
      <c r="P14" s="111"/>
      <c r="S14" s="56" t="s">
        <v>175</v>
      </c>
      <c r="T14" s="56" t="s">
        <v>182</v>
      </c>
      <c r="U14" s="56" t="s">
        <v>204</v>
      </c>
      <c r="V14" s="56" t="s">
        <v>190</v>
      </c>
      <c r="W14" s="56" t="s">
        <v>220</v>
      </c>
      <c r="X14"/>
      <c r="Y14"/>
      <c r="Z14"/>
    </row>
    <row r="15" spans="1:26" ht="48.75" customHeight="1" x14ac:dyDescent="0.25">
      <c r="A15" s="119" t="s">
        <v>10</v>
      </c>
      <c r="B15" s="119"/>
      <c r="C15" s="11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Mid­Town, Survey No.24, H.No.12/A, near Shree Vitthal Rakhumai Mandir, Ambernath Badlapur Road (Badlapur - Katai Road), Navare Nagar, Chikhloli, Chikhloli West, Ambernath, Thane  - 421506.</v>
      </c>
      <c r="D15" s="119"/>
      <c r="E15" s="119"/>
      <c r="F15" s="119"/>
      <c r="G15" s="119"/>
      <c r="H15" s="119"/>
      <c r="S15" s="56" t="s">
        <v>176</v>
      </c>
      <c r="T15" s="56" t="s">
        <v>184</v>
      </c>
      <c r="U15" s="56" t="s">
        <v>205</v>
      </c>
      <c r="V15" s="56" t="s">
        <v>191</v>
      </c>
      <c r="W15" s="56" t="s">
        <v>208</v>
      </c>
      <c r="X15"/>
      <c r="Y15"/>
      <c r="Z15"/>
    </row>
    <row r="16" spans="1:26" x14ac:dyDescent="0.25">
      <c r="A16" s="133" t="s">
        <v>231</v>
      </c>
      <c r="B16" s="133"/>
      <c r="C16" s="188" t="s">
        <v>262</v>
      </c>
      <c r="D16" s="188"/>
      <c r="E16" s="188"/>
      <c r="F16" s="188"/>
      <c r="G16" s="188"/>
      <c r="H16" s="188"/>
      <c r="S16" s="56" t="s">
        <v>177</v>
      </c>
      <c r="T16" s="56" t="s">
        <v>185</v>
      </c>
      <c r="U16" s="56"/>
      <c r="V16" s="56" t="s">
        <v>192</v>
      </c>
      <c r="W16" s="56" t="s">
        <v>209</v>
      </c>
      <c r="X16"/>
      <c r="Y16"/>
      <c r="Z16"/>
    </row>
    <row r="17" spans="1:26" ht="15.75" customHeight="1" x14ac:dyDescent="0.25">
      <c r="A17" s="133" t="s">
        <v>158</v>
      </c>
      <c r="B17" s="133"/>
      <c r="C17" s="133" t="s">
        <v>245</v>
      </c>
      <c r="D17" s="133"/>
      <c r="E17" s="133"/>
      <c r="F17" s="133"/>
      <c r="G17" s="133"/>
      <c r="H17" s="133"/>
      <c r="S17" s="56" t="s">
        <v>178</v>
      </c>
      <c r="T17" s="56" t="s">
        <v>183</v>
      </c>
      <c r="U17" s="56"/>
      <c r="V17" s="56" t="s">
        <v>193</v>
      </c>
      <c r="W17" s="56" t="s">
        <v>210</v>
      </c>
      <c r="X17"/>
      <c r="Y17"/>
      <c r="Z17"/>
    </row>
    <row r="18" spans="1:26" ht="31.5" customHeight="1" x14ac:dyDescent="0.25">
      <c r="A18" s="119" t="s">
        <v>11</v>
      </c>
      <c r="B18" s="119"/>
      <c r="C18" s="133" t="s">
        <v>257</v>
      </c>
      <c r="D18" s="134"/>
      <c r="E18" s="119" t="s">
        <v>71</v>
      </c>
      <c r="F18" s="119"/>
      <c r="G18" s="133" t="s">
        <v>232</v>
      </c>
      <c r="H18" s="133"/>
      <c r="S18" s="56" t="s">
        <v>179</v>
      </c>
      <c r="T18" s="56" t="s">
        <v>186</v>
      </c>
      <c r="U18" s="56"/>
      <c r="V18" s="56" t="s">
        <v>194</v>
      </c>
      <c r="W18" s="56" t="s">
        <v>211</v>
      </c>
      <c r="X18"/>
      <c r="Y18"/>
      <c r="Z18"/>
    </row>
    <row r="19" spans="1:26" x14ac:dyDescent="0.25">
      <c r="A19" s="114" t="s">
        <v>13</v>
      </c>
      <c r="B19" s="114"/>
      <c r="C19" s="188" t="s">
        <v>248</v>
      </c>
      <c r="D19" s="188"/>
      <c r="E19" s="188" t="s">
        <v>12</v>
      </c>
      <c r="F19" s="188"/>
      <c r="G19" s="189" t="s">
        <v>173</v>
      </c>
      <c r="H19" s="189"/>
      <c r="S19" s="56" t="s">
        <v>180</v>
      </c>
      <c r="T19" s="56" t="s">
        <v>187</v>
      </c>
      <c r="U19" s="56"/>
      <c r="V19" s="56" t="s">
        <v>195</v>
      </c>
      <c r="W19" s="56" t="s">
        <v>212</v>
      </c>
      <c r="X19"/>
      <c r="Y19"/>
      <c r="Z19"/>
    </row>
    <row r="20" spans="1:26" x14ac:dyDescent="0.25">
      <c r="A20" s="114" t="s">
        <v>72</v>
      </c>
      <c r="B20" s="114"/>
      <c r="C20" s="188" t="s">
        <v>179</v>
      </c>
      <c r="D20" s="188"/>
      <c r="E20" s="188" t="s">
        <v>14</v>
      </c>
      <c r="F20" s="188"/>
      <c r="G20" s="188">
        <v>421506</v>
      </c>
      <c r="H20" s="188"/>
      <c r="S20" s="56"/>
      <c r="T20" s="56"/>
      <c r="U20" s="56"/>
      <c r="V20" s="56" t="s">
        <v>196</v>
      </c>
      <c r="W20" s="56" t="s">
        <v>213</v>
      </c>
      <c r="X20"/>
      <c r="Y20"/>
      <c r="Z20"/>
    </row>
    <row r="21" spans="1:26" ht="32.25" customHeight="1" x14ac:dyDescent="0.25">
      <c r="A21" s="114" t="s">
        <v>119</v>
      </c>
      <c r="B21" s="114"/>
      <c r="C21" s="133" t="s">
        <v>249</v>
      </c>
      <c r="D21" s="133"/>
      <c r="E21" s="119" t="s">
        <v>15</v>
      </c>
      <c r="F21" s="119"/>
      <c r="G21" s="188" t="s">
        <v>261</v>
      </c>
      <c r="H21" s="188"/>
      <c r="S21" s="56"/>
      <c r="T21" s="56"/>
      <c r="U21" s="56"/>
      <c r="V21" s="56" t="s">
        <v>197</v>
      </c>
      <c r="W21" s="56" t="s">
        <v>214</v>
      </c>
      <c r="X21"/>
      <c r="Y21"/>
      <c r="Z21"/>
    </row>
    <row r="22" spans="1:26" ht="15" customHeight="1" x14ac:dyDescent="0.25">
      <c r="A22" s="119" t="s">
        <v>74</v>
      </c>
      <c r="B22" s="119"/>
      <c r="C22" s="119"/>
      <c r="D22" s="119"/>
      <c r="E22" s="134" t="s">
        <v>16</v>
      </c>
      <c r="F22" s="134"/>
      <c r="G22" s="134"/>
      <c r="H22" s="134"/>
      <c r="S22" s="56"/>
      <c r="T22" s="56"/>
      <c r="U22" s="56"/>
      <c r="V22" s="56" t="s">
        <v>198</v>
      </c>
      <c r="W22" s="56" t="s">
        <v>215</v>
      </c>
      <c r="X22"/>
      <c r="Y22"/>
      <c r="Z22"/>
    </row>
    <row r="23" spans="1:26" ht="18.75" customHeight="1" x14ac:dyDescent="0.25">
      <c r="A23" s="119"/>
      <c r="B23" s="119"/>
      <c r="C23" s="119"/>
      <c r="D23" s="119"/>
      <c r="E23" s="134"/>
      <c r="F23" s="134"/>
      <c r="G23" s="134"/>
      <c r="H23" s="134"/>
      <c r="S23" s="56"/>
      <c r="T23" s="56"/>
      <c r="U23" s="56"/>
      <c r="V23" s="56" t="s">
        <v>199</v>
      </c>
      <c r="W23" s="56" t="s">
        <v>216</v>
      </c>
      <c r="X23"/>
      <c r="Y23"/>
      <c r="Z23"/>
    </row>
    <row r="24" spans="1:26" ht="15" customHeight="1" x14ac:dyDescent="0.25">
      <c r="A24" s="119" t="s">
        <v>17</v>
      </c>
      <c r="B24" s="119"/>
      <c r="C24" s="119"/>
      <c r="D24" s="119"/>
      <c r="E24" s="133" t="s">
        <v>18</v>
      </c>
      <c r="F24" s="133"/>
      <c r="G24" s="133"/>
      <c r="H24" s="133"/>
      <c r="S24" s="56"/>
      <c r="T24" s="56"/>
      <c r="U24" s="56"/>
      <c r="V24" s="56" t="s">
        <v>200</v>
      </c>
      <c r="W24" s="56" t="s">
        <v>217</v>
      </c>
      <c r="X24"/>
      <c r="Y24"/>
      <c r="Z24"/>
    </row>
    <row r="25" spans="1:26" ht="15" customHeight="1" x14ac:dyDescent="0.25">
      <c r="A25" s="114" t="s">
        <v>19</v>
      </c>
      <c r="B25" s="114"/>
      <c r="C25" s="114"/>
      <c r="D25" s="114"/>
      <c r="E25" s="133" t="str">
        <f>IF(AND(G19="Mumbai"),"Upper Class","Middle Class")</f>
        <v>Middle Class</v>
      </c>
      <c r="F25" s="133"/>
      <c r="G25" s="133"/>
      <c r="H25" s="133"/>
      <c r="S25" s="56"/>
      <c r="T25" s="56"/>
      <c r="U25" s="56"/>
      <c r="V25" s="56" t="s">
        <v>201</v>
      </c>
      <c r="W25" s="56" t="s">
        <v>218</v>
      </c>
      <c r="X25"/>
      <c r="Y25"/>
      <c r="Z25"/>
    </row>
    <row r="26" spans="1:26" x14ac:dyDescent="0.25">
      <c r="A26" s="114" t="s">
        <v>20</v>
      </c>
      <c r="B26" s="114"/>
      <c r="C26" s="114"/>
      <c r="D26" s="114"/>
      <c r="E26" s="133" t="s">
        <v>21</v>
      </c>
      <c r="F26" s="133"/>
      <c r="G26" s="133"/>
      <c r="H26" s="133"/>
      <c r="S26" s="56"/>
      <c r="T26" s="56"/>
      <c r="U26" s="56"/>
      <c r="V26" s="56" t="s">
        <v>202</v>
      </c>
      <c r="W26" s="56" t="s">
        <v>219</v>
      </c>
      <c r="X26"/>
      <c r="Y26"/>
      <c r="Z26"/>
    </row>
    <row r="27" spans="1:26" ht="15.75" customHeight="1" x14ac:dyDescent="0.25">
      <c r="A27" s="114" t="s">
        <v>22</v>
      </c>
      <c r="B27" s="114"/>
      <c r="C27" s="114"/>
      <c r="D27" s="114"/>
      <c r="E27" s="133" t="str">
        <f>IF(AND(G19="Mumbai"),"Developed","Developing")</f>
        <v>Developing</v>
      </c>
      <c r="F27" s="133"/>
      <c r="G27" s="133"/>
      <c r="H27" s="133"/>
    </row>
    <row r="28" spans="1:26" x14ac:dyDescent="0.25">
      <c r="A28" s="114" t="s">
        <v>23</v>
      </c>
      <c r="B28" s="114"/>
      <c r="C28" s="114"/>
      <c r="D28" s="114"/>
      <c r="E28" s="133" t="s">
        <v>24</v>
      </c>
      <c r="F28" s="133"/>
      <c r="G28" s="133"/>
      <c r="H28" s="133"/>
    </row>
    <row r="29" spans="1:26" ht="15.75" customHeight="1" x14ac:dyDescent="0.25">
      <c r="A29" s="114" t="s">
        <v>79</v>
      </c>
      <c r="B29" s="114"/>
      <c r="C29" s="114"/>
      <c r="D29" s="114"/>
      <c r="E29" s="133" t="s">
        <v>80</v>
      </c>
      <c r="F29" s="133"/>
      <c r="G29" s="133"/>
      <c r="H29" s="133"/>
    </row>
    <row r="30" spans="1:26" ht="15" customHeight="1" x14ac:dyDescent="0.25">
      <c r="A30" s="114" t="s">
        <v>32</v>
      </c>
      <c r="B30" s="114"/>
      <c r="C30" s="114"/>
      <c r="D30" s="114"/>
      <c r="E30" s="133" t="str">
        <f>IF(AND(ISNUMBER(SEARCH("Flat",D60)),ISNUMBER(SEARCH("Shop",D60)),ISNUMBER(SEARCH("Office",D60))),"Residential + Commercial",IF(AND(ISNUMBER(SEARCH("Flat",D60)),ISNUMBER(SEARCH("Shop",D60))),"Residential + Commercial",IF(AND(ISNUMBER(SEARCH("Flat",D60)),ISNUMBER(SEARCH("Office",D60))),"Residential + Commercial",IF(AND(ISNUMBER(SEARCH("Shop",D60)),ISNUMBER(SEARCH("Office",D60))),"Commercial",IF(ISNUMBER(SEARCH("Shop",D60)),"Commercial",IF(ISNUMBER(SEARCH("Office",D60)),"Commercial",IF(ISNUMBER(SEARCH("Flat",D60)),"Residential")))))))</f>
        <v>Residential + Commercial</v>
      </c>
      <c r="F30" s="133"/>
      <c r="G30" s="133"/>
      <c r="H30" s="133"/>
    </row>
    <row r="31" spans="1:26" ht="15.75" customHeight="1" x14ac:dyDescent="0.25">
      <c r="A31" s="114" t="s">
        <v>91</v>
      </c>
      <c r="B31" s="114"/>
      <c r="C31" s="114"/>
      <c r="D31" s="114"/>
      <c r="E31" s="133" t="s">
        <v>33</v>
      </c>
      <c r="F31" s="133"/>
      <c r="G31" s="133"/>
      <c r="H31" s="133"/>
    </row>
    <row r="32" spans="1:26" s="22" customFormat="1" x14ac:dyDescent="0.25">
      <c r="A32" s="202" t="s">
        <v>92</v>
      </c>
      <c r="B32" s="202"/>
      <c r="C32" s="198" t="s">
        <v>168</v>
      </c>
      <c r="D32" s="199"/>
      <c r="E32" s="200"/>
      <c r="F32" s="198" t="s">
        <v>30</v>
      </c>
      <c r="G32" s="199"/>
      <c r="H32" s="200"/>
    </row>
    <row r="33" spans="1:8" s="22" customFormat="1" x14ac:dyDescent="0.25">
      <c r="A33" s="194" t="s">
        <v>25</v>
      </c>
      <c r="B33" s="194" t="s">
        <v>29</v>
      </c>
      <c r="C33" s="195" t="s">
        <v>250</v>
      </c>
      <c r="D33" s="196"/>
      <c r="E33" s="197"/>
      <c r="F33" s="195" t="s">
        <v>251</v>
      </c>
      <c r="G33" s="196"/>
      <c r="H33" s="197"/>
    </row>
    <row r="34" spans="1:8" x14ac:dyDescent="0.25">
      <c r="A34" s="194" t="s">
        <v>26</v>
      </c>
      <c r="B34" s="194" t="s">
        <v>29</v>
      </c>
      <c r="C34" s="195" t="s">
        <v>250</v>
      </c>
      <c r="D34" s="196"/>
      <c r="E34" s="197"/>
      <c r="F34" s="195" t="s">
        <v>251</v>
      </c>
      <c r="G34" s="196"/>
      <c r="H34" s="197"/>
    </row>
    <row r="35" spans="1:8" s="22" customFormat="1" x14ac:dyDescent="0.25">
      <c r="A35" s="194" t="s">
        <v>28</v>
      </c>
      <c r="B35" s="194" t="s">
        <v>29</v>
      </c>
      <c r="C35" s="195" t="s">
        <v>250</v>
      </c>
      <c r="D35" s="196"/>
      <c r="E35" s="197"/>
      <c r="F35" s="195" t="s">
        <v>253</v>
      </c>
      <c r="G35" s="196"/>
      <c r="H35" s="197"/>
    </row>
    <row r="36" spans="1:8" ht="44.25" customHeight="1" x14ac:dyDescent="0.25">
      <c r="A36" s="190" t="s">
        <v>27</v>
      </c>
      <c r="B36" s="190" t="s">
        <v>29</v>
      </c>
      <c r="C36" s="191" t="s">
        <v>252</v>
      </c>
      <c r="D36" s="192"/>
      <c r="E36" s="193"/>
      <c r="F36" s="204" t="s">
        <v>254</v>
      </c>
      <c r="G36" s="205"/>
      <c r="H36" s="206"/>
    </row>
    <row r="37" spans="1:8" x14ac:dyDescent="0.25">
      <c r="A37" s="114" t="s">
        <v>31</v>
      </c>
      <c r="B37" s="114"/>
      <c r="C37" s="114"/>
      <c r="D37" s="114"/>
      <c r="E37" s="114"/>
      <c r="F37" s="114"/>
      <c r="G37" s="114"/>
      <c r="H37" s="114"/>
    </row>
    <row r="38" spans="1:8" ht="15.75" customHeight="1" x14ac:dyDescent="0.25">
      <c r="A38" s="114" t="s">
        <v>161</v>
      </c>
      <c r="B38" s="114"/>
      <c r="C38" s="176" t="s">
        <v>246</v>
      </c>
      <c r="D38" s="176"/>
      <c r="E38" s="176"/>
      <c r="F38" s="176"/>
      <c r="G38" s="176"/>
      <c r="H38" s="176"/>
    </row>
    <row r="39" spans="1:8" x14ac:dyDescent="0.25">
      <c r="A39" s="114" t="s">
        <v>157</v>
      </c>
      <c r="B39" s="114"/>
      <c r="C39" s="207" t="s">
        <v>247</v>
      </c>
      <c r="D39" s="133"/>
      <c r="E39" s="133"/>
      <c r="F39" s="133"/>
      <c r="G39" s="133"/>
      <c r="H39" s="133"/>
    </row>
    <row r="40" spans="1:8" x14ac:dyDescent="0.25">
      <c r="A40" s="176" t="s">
        <v>34</v>
      </c>
      <c r="B40" s="176"/>
      <c r="C40" s="176"/>
      <c r="D40" s="176"/>
      <c r="E40" s="176"/>
      <c r="F40" s="176"/>
      <c r="G40" s="176"/>
      <c r="H40" s="176"/>
    </row>
    <row r="41" spans="1:8" x14ac:dyDescent="0.25">
      <c r="A41" s="114" t="s">
        <v>35</v>
      </c>
      <c r="B41" s="114"/>
      <c r="C41" s="114"/>
      <c r="D41" s="114"/>
      <c r="E41" s="203">
        <v>5199.3999999999996</v>
      </c>
      <c r="F41" s="203"/>
      <c r="G41" s="203"/>
      <c r="H41" s="203"/>
    </row>
    <row r="42" spans="1:8" x14ac:dyDescent="0.25">
      <c r="A42" s="114" t="s">
        <v>36</v>
      </c>
      <c r="B42" s="114"/>
      <c r="C42" s="114"/>
      <c r="D42" s="114"/>
      <c r="E42" s="201">
        <f>5719.34/E41</f>
        <v>1.1000000000000001</v>
      </c>
      <c r="F42" s="201"/>
      <c r="G42" s="201"/>
      <c r="H42" s="201"/>
    </row>
    <row r="43" spans="1:8" x14ac:dyDescent="0.25">
      <c r="A43" s="114" t="s">
        <v>37</v>
      </c>
      <c r="B43" s="114"/>
      <c r="C43" s="114"/>
      <c r="D43" s="114"/>
      <c r="E43" s="201">
        <f>E45/E41-E42</f>
        <v>0.28476939646882338</v>
      </c>
      <c r="F43" s="201"/>
      <c r="G43" s="201"/>
      <c r="H43" s="201"/>
    </row>
    <row r="44" spans="1:8" x14ac:dyDescent="0.25">
      <c r="A44" s="114" t="s">
        <v>38</v>
      </c>
      <c r="B44" s="114"/>
      <c r="C44" s="114"/>
      <c r="D44" s="114"/>
      <c r="E44" s="201">
        <f>E42+E43</f>
        <v>1.3847693964688235</v>
      </c>
      <c r="F44" s="201"/>
      <c r="G44" s="201"/>
      <c r="H44" s="201"/>
    </row>
    <row r="45" spans="1:8" x14ac:dyDescent="0.25">
      <c r="A45" s="114" t="s">
        <v>90</v>
      </c>
      <c r="B45" s="114"/>
      <c r="C45" s="114"/>
      <c r="D45" s="114"/>
      <c r="E45" s="118">
        <v>7199.97</v>
      </c>
      <c r="F45" s="118"/>
      <c r="G45" s="118"/>
      <c r="H45" s="118"/>
    </row>
    <row r="46" spans="1:8" x14ac:dyDescent="0.25">
      <c r="A46" s="134" t="s">
        <v>39</v>
      </c>
      <c r="B46" s="134"/>
      <c r="C46" s="134"/>
      <c r="D46" s="134"/>
      <c r="E46" s="134" t="s">
        <v>270</v>
      </c>
      <c r="F46" s="134"/>
      <c r="G46" s="134"/>
      <c r="H46" s="134"/>
    </row>
    <row r="47" spans="1:8" x14ac:dyDescent="0.25">
      <c r="A47" s="176" t="s">
        <v>40</v>
      </c>
      <c r="B47" s="176"/>
      <c r="C47" s="176"/>
      <c r="D47" s="176"/>
      <c r="E47" s="176"/>
      <c r="F47" s="176"/>
      <c r="G47" s="176"/>
      <c r="H47" s="176"/>
    </row>
    <row r="48" spans="1:8" ht="33.75" customHeight="1" x14ac:dyDescent="0.25">
      <c r="A48" s="73" t="s">
        <v>148</v>
      </c>
      <c r="B48" s="68"/>
      <c r="C48" s="209" t="s">
        <v>233</v>
      </c>
      <c r="D48" s="210"/>
      <c r="E48" s="210"/>
      <c r="F48" s="210"/>
      <c r="G48" s="210"/>
      <c r="H48" s="211"/>
    </row>
    <row r="49" spans="1:14" ht="32.25" customHeight="1" x14ac:dyDescent="0.25">
      <c r="A49" s="73" t="s">
        <v>290</v>
      </c>
      <c r="B49" s="68"/>
      <c r="C49" s="73" t="s">
        <v>234</v>
      </c>
      <c r="D49" s="74"/>
      <c r="E49" s="68"/>
      <c r="F49" s="18" t="s">
        <v>41</v>
      </c>
      <c r="G49" s="67">
        <v>44651</v>
      </c>
      <c r="H49" s="68"/>
    </row>
    <row r="50" spans="1:14" ht="37.5" customHeight="1" x14ac:dyDescent="0.25">
      <c r="A50" s="73" t="s">
        <v>266</v>
      </c>
      <c r="B50" s="131"/>
      <c r="C50" s="73" t="s">
        <v>265</v>
      </c>
      <c r="D50" s="74"/>
      <c r="E50" s="68"/>
      <c r="F50" s="18" t="s">
        <v>41</v>
      </c>
      <c r="G50" s="67">
        <v>45275</v>
      </c>
      <c r="H50" s="68"/>
    </row>
    <row r="51" spans="1:14" s="23" customFormat="1" ht="47.25" customHeight="1" x14ac:dyDescent="0.25">
      <c r="A51" s="73" t="s">
        <v>291</v>
      </c>
      <c r="B51" s="131"/>
      <c r="C51" s="73" t="str">
        <f>C49</f>
        <v>A.N.P./NRV/BP/21-22/1579/9302/178</v>
      </c>
      <c r="D51" s="74"/>
      <c r="E51" s="68"/>
      <c r="F51" s="18" t="s">
        <v>41</v>
      </c>
      <c r="G51" s="67">
        <f>G49</f>
        <v>44651</v>
      </c>
      <c r="H51" s="68"/>
    </row>
    <row r="52" spans="1:14" s="23" customFormat="1" ht="49.5" customHeight="1" x14ac:dyDescent="0.25">
      <c r="A52" s="73" t="s">
        <v>267</v>
      </c>
      <c r="B52" s="68"/>
      <c r="C52" s="73" t="str">
        <f>C50</f>
        <v>AMC/TPD/2023-2024/1227</v>
      </c>
      <c r="D52" s="74"/>
      <c r="E52" s="68"/>
      <c r="F52" s="18" t="s">
        <v>41</v>
      </c>
      <c r="G52" s="67">
        <f>G50</f>
        <v>45275</v>
      </c>
      <c r="H52" s="68"/>
    </row>
    <row r="53" spans="1:14" s="23" customFormat="1" ht="36.75" customHeight="1" x14ac:dyDescent="0.25">
      <c r="A53" s="69" t="s">
        <v>292</v>
      </c>
      <c r="B53" s="70"/>
      <c r="C53" s="73" t="s">
        <v>235</v>
      </c>
      <c r="D53" s="74"/>
      <c r="E53" s="68"/>
      <c r="F53" s="18" t="s">
        <v>41</v>
      </c>
      <c r="G53" s="67">
        <f>G51</f>
        <v>44651</v>
      </c>
      <c r="H53" s="68"/>
    </row>
    <row r="54" spans="1:14" ht="30" customHeight="1" x14ac:dyDescent="0.25">
      <c r="A54" s="71"/>
      <c r="B54" s="72"/>
      <c r="C54" s="73" t="s">
        <v>293</v>
      </c>
      <c r="D54" s="74"/>
      <c r="E54" s="74"/>
      <c r="F54" s="74"/>
      <c r="G54" s="74"/>
      <c r="H54" s="68"/>
    </row>
    <row r="55" spans="1:14" s="23" customFormat="1" x14ac:dyDescent="0.25">
      <c r="A55" s="69" t="s">
        <v>296</v>
      </c>
      <c r="B55" s="70"/>
      <c r="C55" s="73" t="s">
        <v>265</v>
      </c>
      <c r="D55" s="74"/>
      <c r="E55" s="68"/>
      <c r="F55" s="18" t="s">
        <v>41</v>
      </c>
      <c r="G55" s="67">
        <f>G52</f>
        <v>45275</v>
      </c>
      <c r="H55" s="68"/>
    </row>
    <row r="56" spans="1:14" x14ac:dyDescent="0.25">
      <c r="A56" s="71"/>
      <c r="B56" s="72"/>
      <c r="C56" s="75" t="s">
        <v>295</v>
      </c>
      <c r="D56" s="76"/>
      <c r="E56" s="76"/>
      <c r="F56" s="76"/>
      <c r="G56" s="76"/>
      <c r="H56" s="77"/>
    </row>
    <row r="57" spans="1:14" x14ac:dyDescent="0.25">
      <c r="A57" s="115" t="s">
        <v>42</v>
      </c>
      <c r="B57" s="116"/>
      <c r="C57" s="115" t="s">
        <v>103</v>
      </c>
      <c r="D57" s="117"/>
      <c r="E57" s="116"/>
      <c r="F57" s="46" t="s">
        <v>41</v>
      </c>
      <c r="G57" s="136" t="s">
        <v>29</v>
      </c>
      <c r="H57" s="137"/>
    </row>
    <row r="58" spans="1:14" x14ac:dyDescent="0.25">
      <c r="A58" s="132" t="s">
        <v>44</v>
      </c>
      <c r="B58" s="132"/>
      <c r="C58" s="132"/>
      <c r="D58" s="132"/>
      <c r="E58" s="132"/>
      <c r="F58" s="132"/>
      <c r="G58" s="132"/>
      <c r="H58" s="132"/>
    </row>
    <row r="59" spans="1:14" x14ac:dyDescent="0.25">
      <c r="A59" s="119" t="s">
        <v>89</v>
      </c>
      <c r="B59" s="119"/>
      <c r="C59" s="119"/>
      <c r="D59" s="118">
        <f>E45</f>
        <v>7199.97</v>
      </c>
      <c r="E59" s="114"/>
      <c r="F59" s="114"/>
      <c r="G59" s="114"/>
      <c r="H59" s="114"/>
      <c r="I59" s="24"/>
    </row>
    <row r="60" spans="1:14" x14ac:dyDescent="0.25">
      <c r="A60" s="133" t="s">
        <v>45</v>
      </c>
      <c r="B60" s="134"/>
      <c r="C60" s="134"/>
      <c r="D60" s="135" t="s">
        <v>283</v>
      </c>
      <c r="E60" s="135"/>
      <c r="F60" s="135"/>
      <c r="G60" s="135"/>
      <c r="H60" s="135"/>
    </row>
    <row r="61" spans="1:14" ht="31.5" customHeight="1" x14ac:dyDescent="0.25">
      <c r="A61" s="140" t="s">
        <v>46</v>
      </c>
      <c r="B61" s="141"/>
      <c r="C61" s="208"/>
      <c r="D61" s="138" t="s">
        <v>285</v>
      </c>
      <c r="E61" s="212"/>
      <c r="F61" s="212"/>
      <c r="G61" s="212"/>
      <c r="H61" s="212"/>
    </row>
    <row r="62" spans="1:14" ht="15.75" customHeight="1" x14ac:dyDescent="0.25">
      <c r="A62" s="140" t="s">
        <v>87</v>
      </c>
      <c r="B62" s="141"/>
      <c r="C62" s="141"/>
      <c r="D62" s="134" t="s">
        <v>271</v>
      </c>
      <c r="E62" s="134"/>
      <c r="F62" s="134"/>
      <c r="G62" s="134"/>
      <c r="H62" s="134"/>
    </row>
    <row r="63" spans="1:14" ht="15.75" customHeight="1" x14ac:dyDescent="0.25">
      <c r="A63" s="142"/>
      <c r="B63" s="143"/>
      <c r="C63" s="143"/>
      <c r="D63" s="134" t="s">
        <v>286</v>
      </c>
      <c r="E63" s="134"/>
      <c r="F63" s="134"/>
      <c r="G63" s="134"/>
      <c r="H63" s="134"/>
      <c r="J63" s="25"/>
      <c r="K63" s="24"/>
      <c r="N63" s="24"/>
    </row>
    <row r="64" spans="1:14" ht="15.75" customHeight="1" x14ac:dyDescent="0.25">
      <c r="A64" s="114" t="s">
        <v>43</v>
      </c>
      <c r="B64" s="114"/>
      <c r="C64" s="114"/>
      <c r="D64" s="119" t="s">
        <v>236</v>
      </c>
      <c r="E64" s="119"/>
      <c r="F64" s="119"/>
      <c r="G64" s="119"/>
      <c r="H64" s="119"/>
      <c r="N64" s="24"/>
    </row>
    <row r="65" spans="1:14" ht="15.75" customHeight="1" x14ac:dyDescent="0.25">
      <c r="A65" s="114" t="s">
        <v>85</v>
      </c>
      <c r="B65" s="114"/>
      <c r="C65" s="114"/>
      <c r="D65" s="185" t="str">
        <f>(IF(G57="NA","60 Years After Completion",IF(G57&lt;&gt;"NA",""&amp;60-ROUNDDOWN((E3-G57)/360,0)&amp;" Years"," ")))</f>
        <v>60 Years After Completion</v>
      </c>
      <c r="E65" s="185"/>
      <c r="F65" s="185"/>
      <c r="G65" s="185"/>
      <c r="H65" s="185"/>
      <c r="J65" s="26"/>
      <c r="K65" s="26"/>
    </row>
    <row r="66" spans="1:14" x14ac:dyDescent="0.25">
      <c r="A66" s="114" t="s">
        <v>86</v>
      </c>
      <c r="B66" s="114"/>
      <c r="C66" s="114"/>
      <c r="D66" s="119" t="s">
        <v>24</v>
      </c>
      <c r="E66" s="119"/>
      <c r="F66" s="119"/>
      <c r="G66" s="119"/>
      <c r="H66" s="119"/>
    </row>
    <row r="67" spans="1:14" ht="54" customHeight="1" x14ac:dyDescent="0.25">
      <c r="A67" s="135" t="s">
        <v>255</v>
      </c>
      <c r="B67" s="135"/>
      <c r="C67" s="135"/>
      <c r="D67" s="188" t="s">
        <v>256</v>
      </c>
      <c r="E67" s="188"/>
      <c r="F67" s="188"/>
      <c r="G67" s="188"/>
      <c r="H67" s="188"/>
      <c r="I67" s="27"/>
      <c r="J67" s="27"/>
      <c r="K67" s="27"/>
      <c r="L67" s="27"/>
      <c r="M67" s="27"/>
      <c r="N67" s="27"/>
    </row>
    <row r="68" spans="1:14" ht="15.75" customHeight="1" x14ac:dyDescent="0.25">
      <c r="A68" s="119" t="s">
        <v>145</v>
      </c>
      <c r="B68" s="119"/>
      <c r="C68" s="119"/>
      <c r="D68" s="119" t="s">
        <v>29</v>
      </c>
      <c r="E68" s="119"/>
      <c r="F68" s="119"/>
      <c r="G68" s="119"/>
      <c r="H68" s="119"/>
      <c r="J68" s="26"/>
    </row>
    <row r="69" spans="1:14" ht="16.5" thickBot="1" x14ac:dyDescent="0.3">
      <c r="A69" s="120" t="s">
        <v>84</v>
      </c>
      <c r="B69" s="120"/>
      <c r="C69" s="120"/>
      <c r="D69" s="138" t="str">
        <f ca="1">(IF(G89&gt;95%,"Nothing",IF(G89&gt;0%,"Cement, Aggregate, Steel, etc",IF(G89=0%,"Work not yet Started"))))</f>
        <v>Nothing</v>
      </c>
      <c r="E69" s="138"/>
      <c r="F69" s="138"/>
      <c r="G69" s="138"/>
      <c r="H69" s="138"/>
    </row>
    <row r="70" spans="1:14" ht="15.75" customHeight="1" thickBot="1" x14ac:dyDescent="0.3">
      <c r="A70" s="221" t="s">
        <v>116</v>
      </c>
      <c r="B70" s="221"/>
      <c r="C70" s="221"/>
      <c r="D70" s="138" t="str">
        <f ca="1">(IF(D69="Nothing","Yes",IF(D69="Cement, Aggregate, Steel, etc","Under Construction",IF(D69="Work not yet Started","Work not yet Started"))))</f>
        <v>Yes</v>
      </c>
      <c r="E70" s="138"/>
      <c r="F70" s="138" t="str">
        <f ca="1">(IF(D69="Nothing","Yes",IF(D69="Cement, Aggregate, Steel, etc","Under Construction",IF(D69="Work not yet Started","Work not yet Started"))))</f>
        <v>Yes</v>
      </c>
      <c r="G70" s="138"/>
      <c r="H70" s="138"/>
      <c r="I70" s="50" t="str">
        <f ca="1">IF(D84=100%,"All work Completed. Possession granted to the Building.",IF(D83=100%,"All work Completed, Waiting for OC",I71&amp;""&amp;I72&amp;""&amp;J71&amp;""&amp;J70&amp;" "&amp;J72))</f>
        <v>Excavation, Plinth Completed, RCC upto 11 Slab, Brickwork upto 6 Floor Completed</v>
      </c>
      <c r="J70" s="51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11 Slab, Brickwork upto 6 Floor</v>
      </c>
    </row>
    <row r="71" spans="1:14" x14ac:dyDescent="0.25">
      <c r="A71" s="180" t="s">
        <v>137</v>
      </c>
      <c r="B71" s="181"/>
      <c r="C71" s="182" t="str">
        <f>D62</f>
        <v>Wing A1 = Gr/Mezz.Floor + 1st to 14th Floor</v>
      </c>
      <c r="D71" s="183"/>
      <c r="E71" s="183"/>
      <c r="F71" s="183"/>
      <c r="G71" s="183"/>
      <c r="H71" s="184"/>
      <c r="I71" s="52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1" s="53" t="str">
        <f ca="1">(IF(C75=0,"Work not yet Started.",IF(D75=25%,"Piling work in process",IF(D75=50%,"Excavation work in process",IF(D75=100%,"","0")))))&amp;(IF(C76=0%,"",IF(C76=J76,", Footing work is process",IF(C76=J77,", Footing work Completed",IF(C76=J78,", 1st Basement Completed",IF(C76=J79,", 1st &amp; 2nd Basement Completed",IF(C76=J80,", 1st to 3rd Basement Completed",IF(C76=J81,", 1st to 4th Basement Completed",IF(C76=J82,", Plinth work is process",IF(C76=J83,"","0"))))))))))</f>
        <v/>
      </c>
    </row>
    <row r="72" spans="1:14" x14ac:dyDescent="0.25">
      <c r="A72" s="16" t="s">
        <v>139</v>
      </c>
      <c r="B72" s="48">
        <f>IF(AND(ISNUMBER(SEARCH("1B",C71))),1,IF(AND(ISNUMBER(SEARCH("2B",C71))),2,IF(AND(ISNUMBER(SEARCH("3B",C71))),3,IF(AND(ISNUMBER(SEARCH("4B",C71))),4,IF(ISNUMBER(SEARCH("5B",C71)),5,0)))))</f>
        <v>0</v>
      </c>
      <c r="C72" s="48" t="s">
        <v>70</v>
      </c>
      <c r="D72" s="59">
        <v>1</v>
      </c>
      <c r="E72" s="59" t="s">
        <v>69</v>
      </c>
      <c r="F72" s="59">
        <v>0</v>
      </c>
      <c r="G72" s="59" t="s">
        <v>78</v>
      </c>
      <c r="H72" s="60">
        <f ca="1">--TRIM(RIGHT(SUBSTITUTE(LEFT(C71,_xlfn.AGGREGATE(16,6,FIND({0,1,2,3,4,5,6,7,8,9},C71,ROW(INDIRECT("1:"&amp;LEN(C71)))),1))," ",REPT(" ",LEN(C71))),LEN(C71)))</f>
        <v>14</v>
      </c>
      <c r="I72" s="52" t="str">
        <f ca="1">IF(I71&lt;&gt;""," Completed","")</f>
        <v xml:space="preserve"> Completed</v>
      </c>
      <c r="J72" s="53" t="str">
        <f ca="1">IF(J70&lt;&gt;"","Completed","")</f>
        <v>Completed</v>
      </c>
    </row>
    <row r="73" spans="1:14" x14ac:dyDescent="0.25">
      <c r="A73" s="178" t="s">
        <v>88</v>
      </c>
      <c r="B73" s="179"/>
      <c r="C73" s="213" t="str">
        <f ca="1">I70</f>
        <v>Excavation, Plinth Completed, RCC upto 11 Slab, Brickwork upto 6 Floor Completed</v>
      </c>
      <c r="D73" s="213"/>
      <c r="E73" s="213"/>
      <c r="F73" s="213"/>
      <c r="G73" s="213"/>
      <c r="H73" s="214"/>
      <c r="I73" s="14" t="s">
        <v>138</v>
      </c>
      <c r="J73" s="28">
        <f ca="1">H72*25%</f>
        <v>3.5</v>
      </c>
    </row>
    <row r="74" spans="1:14" x14ac:dyDescent="0.25">
      <c r="A74" s="129" t="s">
        <v>47</v>
      </c>
      <c r="B74" s="130"/>
      <c r="C74" s="44" t="s">
        <v>136</v>
      </c>
      <c r="D74" s="44" t="s">
        <v>81</v>
      </c>
      <c r="E74" s="130" t="s">
        <v>83</v>
      </c>
      <c r="F74" s="130"/>
      <c r="G74" s="130" t="s">
        <v>82</v>
      </c>
      <c r="H74" s="139"/>
      <c r="I74" s="14" t="s">
        <v>98</v>
      </c>
      <c r="J74" s="29">
        <f ca="1">H72*50%</f>
        <v>7</v>
      </c>
    </row>
    <row r="75" spans="1:14" x14ac:dyDescent="0.25">
      <c r="A75" s="129" t="s">
        <v>125</v>
      </c>
      <c r="B75" s="130"/>
      <c r="C75" s="44">
        <f ca="1">J75</f>
        <v>14</v>
      </c>
      <c r="D75" s="19">
        <f ca="1">((100/H72)*C75)/100</f>
        <v>1</v>
      </c>
      <c r="E75" s="215">
        <f ca="1">(((C76/H72*10)+(40/(D72+F72+H72)*C77)+(7.5/(H72)*C78)+(7.5/(H72)*C79)+(10/H72*C80)+(10/H72*C81)+(5/H72*C82)+(5/H72*C83)+(5/H72*C84))/100)</f>
        <v>0.42547619047619045</v>
      </c>
      <c r="F75" s="216"/>
      <c r="G75" s="215">
        <f ca="1">((((C75/H72)*20)+((C76/H72)*25)+(30/(H72+F72+D72)*C77)+(5/H72*C78)+(5/H72*C79)+(5/H72*C80)+(5/H72*C81)+(0/H72*C82)+(0/H72*C83)+(5/H72*C84))/100)</f>
        <v>0.69142857142857139</v>
      </c>
      <c r="H75" s="222"/>
      <c r="I75" s="14" t="s">
        <v>99</v>
      </c>
      <c r="J75" s="29">
        <f ca="1">H72</f>
        <v>14</v>
      </c>
    </row>
    <row r="76" spans="1:14" ht="15.75" customHeight="1" x14ac:dyDescent="0.25">
      <c r="A76" s="129" t="s">
        <v>48</v>
      </c>
      <c r="B76" s="130"/>
      <c r="C76" s="54">
        <f ca="1">J83</f>
        <v>14</v>
      </c>
      <c r="D76" s="19">
        <f ca="1">((100/H72)*C76)/100</f>
        <v>1</v>
      </c>
      <c r="E76" s="217"/>
      <c r="F76" s="218"/>
      <c r="G76" s="217"/>
      <c r="H76" s="223"/>
      <c r="I76" s="14" t="s">
        <v>100</v>
      </c>
      <c r="J76" s="30">
        <f ca="1">(IF(B72&gt;1,(H72/(B72+2)),H72/4))</f>
        <v>3.5</v>
      </c>
    </row>
    <row r="77" spans="1:14" ht="15.75" customHeight="1" x14ac:dyDescent="0.25">
      <c r="A77" s="129" t="s">
        <v>126</v>
      </c>
      <c r="B77" s="130"/>
      <c r="C77" s="44">
        <v>11</v>
      </c>
      <c r="D77" s="19">
        <f ca="1">((100/(D72+F72+H72))*C77)/100</f>
        <v>0.73333333333333339</v>
      </c>
      <c r="E77" s="217"/>
      <c r="F77" s="218"/>
      <c r="G77" s="217"/>
      <c r="H77" s="223"/>
      <c r="I77" s="14" t="s">
        <v>101</v>
      </c>
      <c r="J77" s="30">
        <f ca="1">(IF(B72&gt;1,(H72/(B72+2)+J76),H72/4+J76))</f>
        <v>7</v>
      </c>
    </row>
    <row r="78" spans="1:14" ht="15.75" customHeight="1" x14ac:dyDescent="0.25">
      <c r="A78" s="129" t="s">
        <v>133</v>
      </c>
      <c r="B78" s="130" t="s">
        <v>127</v>
      </c>
      <c r="C78" s="44">
        <v>6</v>
      </c>
      <c r="D78" s="19">
        <f ca="1">((100/H72)*C78)/100</f>
        <v>0.4285714285714286</v>
      </c>
      <c r="E78" s="217"/>
      <c r="F78" s="218"/>
      <c r="G78" s="217"/>
      <c r="H78" s="223"/>
      <c r="I78" s="14" t="s">
        <v>143</v>
      </c>
      <c r="J78" s="30">
        <f>(IF(B72&gt;1,(H72/(B72+2)+J77),0))</f>
        <v>0</v>
      </c>
    </row>
    <row r="79" spans="1:14" ht="15" customHeight="1" x14ac:dyDescent="0.25">
      <c r="A79" s="129" t="s">
        <v>134</v>
      </c>
      <c r="B79" s="130" t="s">
        <v>127</v>
      </c>
      <c r="C79" s="44">
        <v>0</v>
      </c>
      <c r="D79" s="19">
        <f ca="1">((100/H72)*C79)/100</f>
        <v>0</v>
      </c>
      <c r="E79" s="217"/>
      <c r="F79" s="218"/>
      <c r="G79" s="217"/>
      <c r="H79" s="223"/>
      <c r="I79" s="14" t="s">
        <v>140</v>
      </c>
      <c r="J79" s="30">
        <f>(IF(B72&gt;2,(H72/(B72+2)+J78),0))</f>
        <v>0</v>
      </c>
    </row>
    <row r="80" spans="1:14" ht="15.75" customHeight="1" x14ac:dyDescent="0.25">
      <c r="A80" s="129" t="s">
        <v>132</v>
      </c>
      <c r="B80" s="130" t="s">
        <v>129</v>
      </c>
      <c r="C80" s="44">
        <v>0</v>
      </c>
      <c r="D80" s="19">
        <f ca="1">((100/(H72))*C80)/100</f>
        <v>0</v>
      </c>
      <c r="E80" s="217"/>
      <c r="F80" s="218"/>
      <c r="G80" s="217"/>
      <c r="H80" s="223"/>
      <c r="I80" s="14" t="s">
        <v>141</v>
      </c>
      <c r="J80" s="31">
        <f>(IF(B72&gt;3,(H72/(B72+2)+J79),0))</f>
        <v>0</v>
      </c>
    </row>
    <row r="81" spans="1:10" ht="15.75" customHeight="1" x14ac:dyDescent="0.25">
      <c r="A81" s="129" t="s">
        <v>128</v>
      </c>
      <c r="B81" s="130" t="s">
        <v>128</v>
      </c>
      <c r="C81" s="44">
        <v>0</v>
      </c>
      <c r="D81" s="19">
        <f ca="1">((100/H72)*C81)/100</f>
        <v>0</v>
      </c>
      <c r="E81" s="217"/>
      <c r="F81" s="218"/>
      <c r="G81" s="217"/>
      <c r="H81" s="223"/>
      <c r="I81" s="14" t="s">
        <v>142</v>
      </c>
      <c r="J81" s="30">
        <f>(IF(B72&gt;4,(H72/(B72+2)+J80),0))</f>
        <v>0</v>
      </c>
    </row>
    <row r="82" spans="1:10" ht="15.75" customHeight="1" x14ac:dyDescent="0.25">
      <c r="A82" s="129" t="s">
        <v>135</v>
      </c>
      <c r="B82" s="130"/>
      <c r="C82" s="44">
        <v>0</v>
      </c>
      <c r="D82" s="19">
        <f ca="1">((100/H72)*C82)/100</f>
        <v>0</v>
      </c>
      <c r="E82" s="217"/>
      <c r="F82" s="218"/>
      <c r="G82" s="217"/>
      <c r="H82" s="223"/>
      <c r="I82" s="14" t="s">
        <v>144</v>
      </c>
      <c r="J82" s="30">
        <f ca="1">(IF(B72=1,(H72/(B72+3)+J77),IF(B72=0,(H72/4+J77),IF(B72&gt;1,0))))</f>
        <v>10.5</v>
      </c>
    </row>
    <row r="83" spans="1:10" ht="16.5" thickBot="1" x14ac:dyDescent="0.3">
      <c r="A83" s="129" t="s">
        <v>130</v>
      </c>
      <c r="B83" s="130" t="s">
        <v>130</v>
      </c>
      <c r="C83" s="44">
        <v>0</v>
      </c>
      <c r="D83" s="19">
        <f ca="1">((100/(H72))*C83)/100</f>
        <v>0</v>
      </c>
      <c r="E83" s="217"/>
      <c r="F83" s="218"/>
      <c r="G83" s="217"/>
      <c r="H83" s="223"/>
      <c r="I83" s="15" t="s">
        <v>102</v>
      </c>
      <c r="J83" s="32">
        <f ca="1">(IF(B72&gt;1.5,(H72/(B72+2)+J77+MAX(0,J78-J77)+MAX(0,J79-J78)+MAX(0,J80-J79)+MAX(0,J81-J80)+MAX(0,J82-J81)),IF(B72=1,(H72/(B72+3)+J82),IF(B72=0,H72/4+J82))))</f>
        <v>14</v>
      </c>
    </row>
    <row r="84" spans="1:10" ht="15.75" customHeight="1" thickBot="1" x14ac:dyDescent="0.3">
      <c r="A84" s="171" t="s">
        <v>131</v>
      </c>
      <c r="B84" s="172"/>
      <c r="C84" s="45">
        <v>0</v>
      </c>
      <c r="D84" s="20">
        <f ca="1">((100/(H72))*C84)/100</f>
        <v>0</v>
      </c>
      <c r="E84" s="219"/>
      <c r="F84" s="220"/>
      <c r="G84" s="219"/>
      <c r="H84" s="224"/>
      <c r="I84" s="50" t="str">
        <f ca="1">IF(D98=100%,"All work Completed. Possession granted to the Building.",IF(D97=100%,"All work Completed, Waiting for OC",I85&amp;""&amp;I86&amp;""&amp;J85&amp;""&amp;J84&amp;" "&amp;J86))</f>
        <v>All work Completed. Possession granted to the Building.</v>
      </c>
      <c r="J84" s="51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/>
      </c>
    </row>
    <row r="85" spans="1:10" x14ac:dyDescent="0.25">
      <c r="A85" s="124" t="s">
        <v>137</v>
      </c>
      <c r="B85" s="125"/>
      <c r="C85" s="126" t="str">
        <f>D63</f>
        <v>Wing D = Gr/Stilt + 1st to 7th Floor</v>
      </c>
      <c r="D85" s="127"/>
      <c r="E85" s="127"/>
      <c r="F85" s="127"/>
      <c r="G85" s="127"/>
      <c r="H85" s="128"/>
      <c r="I85" s="52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Brickwork, Internal Plaster, External Plaster, Flooring, Painting, Building common Amenities</v>
      </c>
      <c r="J85" s="53" t="str">
        <f ca="1">(IF(C89=0,"Work not yet Started.",IF(D89=25%,"Piling work in process",IF(D89=50%,"Excavation work in process",IF(D89=100%,"","0")))))&amp;(IF(C90=0%,"",IF(C90=J90,", Footing work is process",IF(C90=J91,", Footing work Completed",IF(C90=J92,", 1st Basement Completed",IF(C90=J93,", 1st &amp; 2nd Basement Completed",IF(C90=J94,", 1st to 3rd Basement Completed",IF(C90=J95,", 1st to 4th Basement Completed",IF(C90=J96,", Plinth work is process",IF(C90=J97,"","0"))))))))))</f>
        <v/>
      </c>
    </row>
    <row r="86" spans="1:10" x14ac:dyDescent="0.25">
      <c r="A86" s="16" t="s">
        <v>139</v>
      </c>
      <c r="B86" s="48">
        <f>IF(AND(ISNUMBER(SEARCH("1B",C85))),1,IF(AND(ISNUMBER(SEARCH("2B",C85))),2,IF(AND(ISNUMBER(SEARCH("3B",C85))),3,IF(AND(ISNUMBER(SEARCH("4B",C85))),4,IF(ISNUMBER(SEARCH("5B",C85)),5,0)))))</f>
        <v>0</v>
      </c>
      <c r="C86" s="48" t="s">
        <v>70</v>
      </c>
      <c r="D86" s="48">
        <v>1</v>
      </c>
      <c r="E86" s="48" t="s">
        <v>69</v>
      </c>
      <c r="F86" s="59">
        <v>0</v>
      </c>
      <c r="G86" s="49" t="s">
        <v>78</v>
      </c>
      <c r="H86" s="17">
        <f ca="1">--TRIM(RIGHT(SUBSTITUTE(LEFT(C85,_xlfn.AGGREGATE(16,6,FIND({0,1,2,3,4,5,6,7,8,9},C85,ROW(INDIRECT("1:"&amp;LEN(C85)))),1))," ",REPT(" ",LEN(C85))),LEN(C85)))</f>
        <v>7</v>
      </c>
      <c r="I86" s="52" t="str">
        <f ca="1">IF(I85&lt;&gt;""," Completed","")</f>
        <v xml:space="preserve"> Completed</v>
      </c>
      <c r="J86" s="53" t="str">
        <f ca="1">IF(J84&lt;&gt;"","Completed","")</f>
        <v/>
      </c>
    </row>
    <row r="87" spans="1:10" x14ac:dyDescent="0.25">
      <c r="A87" s="178" t="s">
        <v>88</v>
      </c>
      <c r="B87" s="179"/>
      <c r="C87" s="213" t="str">
        <f ca="1">(IF($G$57="NA",I84,"All work Completed. OC Received."))</f>
        <v>All work Completed. Possession granted to the Building.</v>
      </c>
      <c r="D87" s="213"/>
      <c r="E87" s="213"/>
      <c r="F87" s="213"/>
      <c r="G87" s="213"/>
      <c r="H87" s="214"/>
      <c r="I87" s="14" t="s">
        <v>138</v>
      </c>
      <c r="J87" s="28">
        <f ca="1">H86*25%</f>
        <v>1.75</v>
      </c>
    </row>
    <row r="88" spans="1:10" x14ac:dyDescent="0.25">
      <c r="A88" s="129" t="s">
        <v>47</v>
      </c>
      <c r="B88" s="130"/>
      <c r="C88" s="44" t="s">
        <v>136</v>
      </c>
      <c r="D88" s="44" t="s">
        <v>81</v>
      </c>
      <c r="E88" s="130" t="s">
        <v>83</v>
      </c>
      <c r="F88" s="130"/>
      <c r="G88" s="130" t="s">
        <v>82</v>
      </c>
      <c r="H88" s="139"/>
      <c r="I88" s="14" t="s">
        <v>98</v>
      </c>
      <c r="J88" s="29">
        <f ca="1">H86*50%</f>
        <v>3.5</v>
      </c>
    </row>
    <row r="89" spans="1:10" x14ac:dyDescent="0.25">
      <c r="A89" s="129" t="s">
        <v>125</v>
      </c>
      <c r="B89" s="130"/>
      <c r="C89" s="44">
        <v>7</v>
      </c>
      <c r="D89" s="19">
        <f ca="1">((100/H86)*C89)/100</f>
        <v>1</v>
      </c>
      <c r="E89" s="215">
        <f ca="1">(((C90/H86*10)+(40/(D86+F86+H86)*C91)+(7.5/(H86)*C92)+(7.5/(H86)*C93)+(10/H86*C94)+(10/H86*C95)+(5/H86*C96)+(5/H86*C97)+(5/H86*C98))/100)</f>
        <v>1</v>
      </c>
      <c r="F89" s="216"/>
      <c r="G89" s="215">
        <f ca="1">((((C89/H86)*20)+((C90/H86)*25)+(30/(H86+F86+D86)*C91)+(5/H86*C92)+(5/H86*C93)+(5/H86*C94)+(5/H86*C95)+(0/H86*C96)+(0/H86*C97)+(5/H86*C98))/100)</f>
        <v>1</v>
      </c>
      <c r="H89" s="222"/>
      <c r="I89" s="14" t="s">
        <v>99</v>
      </c>
      <c r="J89" s="29">
        <f ca="1">H86</f>
        <v>7</v>
      </c>
    </row>
    <row r="90" spans="1:10" ht="15.75" customHeight="1" x14ac:dyDescent="0.25">
      <c r="A90" s="129" t="s">
        <v>48</v>
      </c>
      <c r="B90" s="130"/>
      <c r="C90" s="54">
        <v>7</v>
      </c>
      <c r="D90" s="19">
        <f ca="1">((100/H86)*C90)/100</f>
        <v>1</v>
      </c>
      <c r="E90" s="217"/>
      <c r="F90" s="218"/>
      <c r="G90" s="217"/>
      <c r="H90" s="223"/>
      <c r="I90" s="14" t="s">
        <v>100</v>
      </c>
      <c r="J90" s="30">
        <f ca="1">(IF(B86&gt;1,(H86/(B86+2)),H86/4))</f>
        <v>1.75</v>
      </c>
    </row>
    <row r="91" spans="1:10" ht="15.75" customHeight="1" x14ac:dyDescent="0.25">
      <c r="A91" s="129" t="s">
        <v>126</v>
      </c>
      <c r="B91" s="130"/>
      <c r="C91" s="44">
        <v>8</v>
      </c>
      <c r="D91" s="19">
        <f ca="1">((100/(D86+F86+H86))*C91)/100</f>
        <v>1</v>
      </c>
      <c r="E91" s="217"/>
      <c r="F91" s="218"/>
      <c r="G91" s="217"/>
      <c r="H91" s="223"/>
      <c r="I91" s="14" t="s">
        <v>101</v>
      </c>
      <c r="J91" s="30">
        <f ca="1">(IF(B86&gt;1,(H86/(B86+2)+J90),H86/4+J90))</f>
        <v>3.5</v>
      </c>
    </row>
    <row r="92" spans="1:10" ht="15.75" customHeight="1" x14ac:dyDescent="0.25">
      <c r="A92" s="129" t="s">
        <v>133</v>
      </c>
      <c r="B92" s="130" t="s">
        <v>127</v>
      </c>
      <c r="C92" s="44">
        <v>7</v>
      </c>
      <c r="D92" s="19">
        <f ca="1">((100/H86)*C92)/100</f>
        <v>1</v>
      </c>
      <c r="E92" s="217"/>
      <c r="F92" s="218"/>
      <c r="G92" s="217"/>
      <c r="H92" s="223"/>
      <c r="I92" s="14" t="s">
        <v>143</v>
      </c>
      <c r="J92" s="30">
        <f>(IF(B86&gt;1,(H86/(B86+2)+J91),0))</f>
        <v>0</v>
      </c>
    </row>
    <row r="93" spans="1:10" ht="15" customHeight="1" x14ac:dyDescent="0.25">
      <c r="A93" s="129" t="s">
        <v>134</v>
      </c>
      <c r="B93" s="130" t="s">
        <v>127</v>
      </c>
      <c r="C93" s="44">
        <v>7</v>
      </c>
      <c r="D93" s="19">
        <f ca="1">((100/H86)*C93)/100</f>
        <v>1</v>
      </c>
      <c r="E93" s="217"/>
      <c r="F93" s="218"/>
      <c r="G93" s="217"/>
      <c r="H93" s="223"/>
      <c r="I93" s="14" t="s">
        <v>140</v>
      </c>
      <c r="J93" s="30">
        <f>(IF(B86&gt;2,(H86/(B86+2)+J92),0))</f>
        <v>0</v>
      </c>
    </row>
    <row r="94" spans="1:10" ht="15.75" customHeight="1" x14ac:dyDescent="0.25">
      <c r="A94" s="129" t="s">
        <v>132</v>
      </c>
      <c r="B94" s="130" t="s">
        <v>129</v>
      </c>
      <c r="C94" s="44">
        <v>7</v>
      </c>
      <c r="D94" s="19">
        <f ca="1">((100/(H86))*C94)/100</f>
        <v>1</v>
      </c>
      <c r="E94" s="217"/>
      <c r="F94" s="218"/>
      <c r="G94" s="217"/>
      <c r="H94" s="223"/>
      <c r="I94" s="14" t="s">
        <v>141</v>
      </c>
      <c r="J94" s="31">
        <f>(IF(B86&gt;3,(H86/(B86+2)+J93),0))</f>
        <v>0</v>
      </c>
    </row>
    <row r="95" spans="1:10" ht="15.75" customHeight="1" x14ac:dyDescent="0.25">
      <c r="A95" s="129" t="s">
        <v>128</v>
      </c>
      <c r="B95" s="130" t="s">
        <v>128</v>
      </c>
      <c r="C95" s="44">
        <v>7</v>
      </c>
      <c r="D95" s="19">
        <f ca="1">((100/H86)*C95)/100</f>
        <v>1</v>
      </c>
      <c r="E95" s="217"/>
      <c r="F95" s="218"/>
      <c r="G95" s="217"/>
      <c r="H95" s="223"/>
      <c r="I95" s="14" t="s">
        <v>142</v>
      </c>
      <c r="J95" s="30">
        <f>(IF(B86&gt;4,(H86/(B86+2)+J94),0))</f>
        <v>0</v>
      </c>
    </row>
    <row r="96" spans="1:10" ht="15.75" customHeight="1" x14ac:dyDescent="0.25">
      <c r="A96" s="129" t="s">
        <v>135</v>
      </c>
      <c r="B96" s="130"/>
      <c r="C96" s="44">
        <v>7</v>
      </c>
      <c r="D96" s="19">
        <f ca="1">((100/H86)*C96)/100</f>
        <v>1</v>
      </c>
      <c r="E96" s="217"/>
      <c r="F96" s="218"/>
      <c r="G96" s="217"/>
      <c r="H96" s="223"/>
      <c r="I96" s="14" t="s">
        <v>144</v>
      </c>
      <c r="J96" s="30">
        <f ca="1">(IF(B86=1,(H86/(B86+3)+J91),IF(B86=0,(H86/4+J91),IF(B86&gt;1,0))))</f>
        <v>5.25</v>
      </c>
    </row>
    <row r="97" spans="1:10" ht="16.5" thickBot="1" x14ac:dyDescent="0.3">
      <c r="A97" s="129" t="s">
        <v>130</v>
      </c>
      <c r="B97" s="130" t="s">
        <v>130</v>
      </c>
      <c r="C97" s="44">
        <v>7</v>
      </c>
      <c r="D97" s="19">
        <f ca="1">((100/(H86))*C97)/100</f>
        <v>1</v>
      </c>
      <c r="E97" s="217"/>
      <c r="F97" s="218"/>
      <c r="G97" s="217"/>
      <c r="H97" s="223"/>
      <c r="I97" s="15" t="s">
        <v>102</v>
      </c>
      <c r="J97" s="32">
        <f ca="1">(IF(B86&gt;1.5,(H86/(B86+2)+J91+MAX(0,J92-J91)+MAX(0,J93-J92)+MAX(0,J94-J93)+MAX(0,J95-J94)+MAX(0,J96-J95)),IF(B86=1,(H86/(B86+3)+J96),IF(B86=0,H86/4+J96))))</f>
        <v>7</v>
      </c>
    </row>
    <row r="98" spans="1:10" ht="15.75" customHeight="1" thickBot="1" x14ac:dyDescent="0.3">
      <c r="A98" s="171" t="s">
        <v>131</v>
      </c>
      <c r="B98" s="172"/>
      <c r="C98" s="45">
        <v>7</v>
      </c>
      <c r="D98" s="20">
        <f ca="1">((100/(H86))*C98)/100</f>
        <v>1</v>
      </c>
      <c r="E98" s="219"/>
      <c r="F98" s="220"/>
      <c r="G98" s="219"/>
      <c r="H98" s="224"/>
      <c r="I98" s="50" t="e">
        <f>IF(#REF!=100%,"All work Completed. Possession granted to the Building.",IF(#REF!=100%,"All work Completed, Waiting for OC",#REF!&amp;""&amp;#REF!&amp;""&amp;#REF!&amp;""&amp;J98&amp;" "&amp;#REF!))</f>
        <v>#REF!</v>
      </c>
      <c r="J98" s="51" t="e">
        <f>(IF(#REF!=(#REF!+#REF!+#REF!),"",IF(#REF!&gt;0,", RCC upto "&amp;#REF!&amp;" Slab","")))&amp;(IF(#REF!=#REF!,"",IF(#REF!&gt;0,", Brickwork upto "&amp;#REF!&amp;" Floor","")))&amp;(IF(#REF!=#REF!,"",IF(#REF!&gt;0,", Internal Plaster upto "&amp;#REF!&amp;" Floor","")))&amp;(IF(#REF!=#REF!,"",IF(#REF!&gt;0,", External Plaster upto "&amp;#REF!&amp;" Floor","")))&amp;(IF(#REF!=#REF!,"",IF(#REF!&gt;0,", Flooring upto "&amp;#REF!&amp;" Floor","")))&amp;(IF(#REF!=#REF!,"",IF(#REF!&gt;0,", Painting upto "&amp;#REF!&amp;" Floor","")))&amp;(IF(#REF!=#REF!,"",IF(#REF!&gt;0,", Finishing upto "&amp;#REF!&amp;" Floor","")))&amp;(IF(#REF!=#REF!,"",IF(#REF!&gt;0,", Possession upto "&amp;#REF!&amp;" Floor","")))</f>
        <v>#REF!</v>
      </c>
    </row>
    <row r="99" spans="1:10" x14ac:dyDescent="0.25">
      <c r="A99" s="145" t="s">
        <v>151</v>
      </c>
      <c r="B99" s="145"/>
      <c r="C99" s="145"/>
      <c r="D99" s="145"/>
      <c r="E99" s="145"/>
      <c r="F99" s="152" t="s">
        <v>155</v>
      </c>
      <c r="G99" s="152"/>
      <c r="H99" s="152"/>
      <c r="I99" s="21" t="s">
        <v>259</v>
      </c>
    </row>
    <row r="100" spans="1:10" x14ac:dyDescent="0.25">
      <c r="A100" s="114" t="s">
        <v>153</v>
      </c>
      <c r="B100" s="114"/>
      <c r="C100" s="114"/>
      <c r="D100" s="114"/>
      <c r="E100" s="114"/>
      <c r="F100" s="112">
        <v>4400</v>
      </c>
      <c r="G100" s="112"/>
      <c r="H100" s="112"/>
    </row>
    <row r="101" spans="1:10" x14ac:dyDescent="0.25">
      <c r="A101" s="114" t="s">
        <v>152</v>
      </c>
      <c r="B101" s="114"/>
      <c r="C101" s="114"/>
      <c r="D101" s="114"/>
      <c r="E101" s="114"/>
      <c r="F101" s="112">
        <v>8000</v>
      </c>
      <c r="G101" s="112"/>
      <c r="H101" s="112"/>
    </row>
    <row r="102" spans="1:10" s="33" customFormat="1" x14ac:dyDescent="0.25">
      <c r="A102" s="114" t="s">
        <v>154</v>
      </c>
      <c r="B102" s="114"/>
      <c r="C102" s="114"/>
      <c r="D102" s="114"/>
      <c r="E102" s="114"/>
      <c r="F102" s="112">
        <v>7000</v>
      </c>
      <c r="G102" s="112"/>
      <c r="H102" s="112"/>
    </row>
    <row r="103" spans="1:10" s="33" customFormat="1" hidden="1" x14ac:dyDescent="0.25">
      <c r="A103" s="114" t="s">
        <v>170</v>
      </c>
      <c r="B103" s="114"/>
      <c r="C103" s="114"/>
      <c r="D103" s="114"/>
      <c r="E103" s="114"/>
      <c r="F103" s="112"/>
      <c r="G103" s="112"/>
      <c r="H103" s="112"/>
    </row>
    <row r="104" spans="1:10" s="33" customFormat="1" x14ac:dyDescent="0.25">
      <c r="A104" s="114" t="s">
        <v>300</v>
      </c>
      <c r="B104" s="114"/>
      <c r="C104" s="114"/>
      <c r="D104" s="114"/>
      <c r="E104" s="114"/>
      <c r="F104" s="112">
        <v>200000</v>
      </c>
      <c r="G104" s="112"/>
      <c r="H104" s="112"/>
      <c r="I104" s="33" t="s">
        <v>301</v>
      </c>
    </row>
    <row r="105" spans="1:10" s="33" customFormat="1" hidden="1" x14ac:dyDescent="0.25">
      <c r="A105" s="114" t="s">
        <v>93</v>
      </c>
      <c r="B105" s="114"/>
      <c r="C105" s="114"/>
      <c r="D105" s="114"/>
      <c r="E105" s="114"/>
      <c r="F105" s="112"/>
      <c r="G105" s="112"/>
      <c r="H105" s="112"/>
    </row>
    <row r="106" spans="1:10" s="33" customFormat="1" hidden="1" x14ac:dyDescent="0.25">
      <c r="A106" s="114" t="s">
        <v>156</v>
      </c>
      <c r="B106" s="114"/>
      <c r="C106" s="114"/>
      <c r="D106" s="114"/>
      <c r="E106" s="114"/>
      <c r="F106" s="112"/>
      <c r="G106" s="112"/>
      <c r="H106" s="112"/>
    </row>
    <row r="107" spans="1:10" s="33" customFormat="1" hidden="1" x14ac:dyDescent="0.25">
      <c r="A107" s="114" t="s">
        <v>94</v>
      </c>
      <c r="B107" s="114"/>
      <c r="C107" s="114"/>
      <c r="D107" s="114"/>
      <c r="E107" s="114"/>
      <c r="F107" s="112"/>
      <c r="G107" s="112"/>
      <c r="H107" s="112"/>
    </row>
    <row r="108" spans="1:10" s="33" customFormat="1" hidden="1" x14ac:dyDescent="0.25">
      <c r="A108" s="114" t="s">
        <v>95</v>
      </c>
      <c r="B108" s="114"/>
      <c r="C108" s="114"/>
      <c r="D108" s="114"/>
      <c r="E108" s="114"/>
      <c r="F108" s="112"/>
      <c r="G108" s="112"/>
      <c r="H108" s="112"/>
    </row>
    <row r="109" spans="1:10" s="33" customFormat="1" hidden="1" x14ac:dyDescent="0.25">
      <c r="A109" s="114" t="s">
        <v>96</v>
      </c>
      <c r="B109" s="114"/>
      <c r="C109" s="114"/>
      <c r="D109" s="114"/>
      <c r="E109" s="114"/>
      <c r="F109" s="112"/>
      <c r="G109" s="112"/>
      <c r="H109" s="112"/>
    </row>
    <row r="110" spans="1:10" hidden="1" x14ac:dyDescent="0.25">
      <c r="A110" s="114" t="s">
        <v>97</v>
      </c>
      <c r="B110" s="114"/>
      <c r="C110" s="114"/>
      <c r="D110" s="114"/>
      <c r="E110" s="114"/>
      <c r="F110" s="112"/>
      <c r="G110" s="112"/>
      <c r="H110" s="112"/>
    </row>
    <row r="111" spans="1:10" s="34" customFormat="1" x14ac:dyDescent="0.25">
      <c r="A111" s="114" t="s">
        <v>49</v>
      </c>
      <c r="B111" s="114"/>
      <c r="C111" s="114"/>
      <c r="D111" s="114"/>
      <c r="E111" s="114"/>
      <c r="F111" s="175">
        <v>150000</v>
      </c>
      <c r="G111" s="175"/>
      <c r="H111" s="175"/>
    </row>
    <row r="112" spans="1:10" s="35" customFormat="1" ht="15.75" customHeight="1" x14ac:dyDescent="0.25">
      <c r="A112" s="176" t="s">
        <v>50</v>
      </c>
      <c r="B112" s="176"/>
      <c r="C112" s="176"/>
      <c r="D112" s="176"/>
      <c r="E112" s="176"/>
      <c r="F112" s="112">
        <f>F100*0.8</f>
        <v>3520</v>
      </c>
      <c r="G112" s="112"/>
      <c r="H112" s="112"/>
    </row>
    <row r="113" spans="1:10" s="35" customFormat="1" ht="15.75" customHeight="1" x14ac:dyDescent="0.25">
      <c r="A113" s="83" t="s">
        <v>73</v>
      </c>
      <c r="B113" s="83"/>
      <c r="C113" s="83"/>
      <c r="D113" s="83"/>
      <c r="E113" s="83"/>
      <c r="F113" s="83"/>
      <c r="G113" s="83"/>
      <c r="H113" s="83"/>
    </row>
    <row r="114" spans="1:10" s="35" customFormat="1" x14ac:dyDescent="0.25">
      <c r="A114" s="88" t="s">
        <v>51</v>
      </c>
      <c r="B114" s="88"/>
      <c r="C114" s="85" t="s">
        <v>76</v>
      </c>
      <c r="D114" s="85"/>
      <c r="E114" s="87" t="s">
        <v>52</v>
      </c>
      <c r="F114" s="87"/>
      <c r="G114" s="88" t="s">
        <v>53</v>
      </c>
      <c r="H114" s="88"/>
    </row>
    <row r="115" spans="1:10" s="35" customFormat="1" x14ac:dyDescent="0.25">
      <c r="A115" s="158" t="s">
        <v>269</v>
      </c>
      <c r="B115" s="47" t="s">
        <v>237</v>
      </c>
      <c r="C115" s="89">
        <f>COUNT(D131:D147)</f>
        <v>17</v>
      </c>
      <c r="D115" s="90"/>
      <c r="E115" s="160">
        <f>SUM(D131:D147)</f>
        <v>3044.5973999999997</v>
      </c>
      <c r="F115" s="161"/>
      <c r="G115" s="160">
        <f>SUM(F131:F147)</f>
        <v>6875.8925039999995</v>
      </c>
      <c r="H115" s="161"/>
    </row>
    <row r="116" spans="1:10" s="35" customFormat="1" x14ac:dyDescent="0.25">
      <c r="A116" s="159"/>
      <c r="B116" s="47" t="s">
        <v>244</v>
      </c>
      <c r="C116" s="154">
        <f>COUNT(D149:D165)</f>
        <v>17</v>
      </c>
      <c r="D116" s="155"/>
      <c r="E116" s="81">
        <f>SUM(D149:D165)</f>
        <v>2630.2910399999996</v>
      </c>
      <c r="F116" s="82"/>
      <c r="G116" s="81">
        <f>SUM(F149:F165)</f>
        <v>4801.9630229999993</v>
      </c>
      <c r="H116" s="82"/>
    </row>
    <row r="117" spans="1:10" s="35" customFormat="1" x14ac:dyDescent="0.25">
      <c r="A117" s="83" t="s">
        <v>147</v>
      </c>
      <c r="B117" s="83"/>
      <c r="C117" s="84">
        <f>SUM(C115:D116)</f>
        <v>34</v>
      </c>
      <c r="D117" s="85"/>
      <c r="E117" s="86">
        <f>SUM(E115:F116)</f>
        <v>5674.8884399999988</v>
      </c>
      <c r="F117" s="87"/>
      <c r="G117" s="88">
        <f>SUM(G115:H116)</f>
        <v>11677.855527</v>
      </c>
      <c r="H117" s="88"/>
    </row>
    <row r="118" spans="1:10" s="35" customFormat="1" ht="15.75" customHeight="1" x14ac:dyDescent="0.25">
      <c r="A118" s="83" t="s">
        <v>68</v>
      </c>
      <c r="B118" s="83"/>
      <c r="C118" s="83"/>
      <c r="D118" s="83"/>
      <c r="E118" s="83"/>
      <c r="F118" s="83"/>
      <c r="G118" s="83"/>
      <c r="H118" s="83"/>
    </row>
    <row r="119" spans="1:10" s="35" customFormat="1" x14ac:dyDescent="0.25">
      <c r="A119" s="88" t="s">
        <v>51</v>
      </c>
      <c r="B119" s="88"/>
      <c r="C119" s="85" t="s">
        <v>76</v>
      </c>
      <c r="D119" s="85"/>
      <c r="E119" s="87" t="s">
        <v>52</v>
      </c>
      <c r="F119" s="87"/>
      <c r="G119" s="88" t="s">
        <v>53</v>
      </c>
      <c r="H119" s="88"/>
    </row>
    <row r="120" spans="1:10" s="35" customFormat="1" x14ac:dyDescent="0.25">
      <c r="A120" s="167" t="s">
        <v>269</v>
      </c>
      <c r="B120" s="167"/>
      <c r="C120" s="89">
        <f>COUNT(D171:D177)+COUNT(D179:D185)*4+COUNT(D187:D193)*5+COUNT(D196:D201)+COUNT(D204:D209)+COUNT(D211:D217)</f>
        <v>89</v>
      </c>
      <c r="D120" s="89"/>
      <c r="E120" s="160">
        <f>SUM(D171:D177)+SUM(D179:D185)*4+SUM(D187:D193)*5+SUM(D196:D201)+SUM(D204:D209)+SUM(D211:D217)</f>
        <v>39543.948989999997</v>
      </c>
      <c r="F120" s="160"/>
      <c r="G120" s="160">
        <f>SUM(F171:F177)+SUM(F179:F185)*4+SUM(F187:F193)*5+SUM(F196:F201)+SUM(F204:F209)+SUM(F211:F217)</f>
        <v>61972.039513799995</v>
      </c>
      <c r="H120" s="160"/>
      <c r="J120" s="35">
        <f>13*7-2</f>
        <v>89</v>
      </c>
    </row>
    <row r="121" spans="1:10" s="35" customFormat="1" x14ac:dyDescent="0.25">
      <c r="A121" s="167" t="s">
        <v>287</v>
      </c>
      <c r="B121" s="167"/>
      <c r="C121" s="89">
        <f>COUNT(D221:D222)*7</f>
        <v>14</v>
      </c>
      <c r="D121" s="89"/>
      <c r="E121" s="160">
        <f>SUM(D221:D222)*7</f>
        <v>9829.5233400000016</v>
      </c>
      <c r="F121" s="160"/>
      <c r="G121" s="160">
        <f>SUM(F221:F222)*7</f>
        <v>14744.28501</v>
      </c>
      <c r="H121" s="160"/>
    </row>
    <row r="122" spans="1:10" s="35" customFormat="1" ht="16.5" thickBot="1" x14ac:dyDescent="0.3">
      <c r="A122" s="156" t="s">
        <v>147</v>
      </c>
      <c r="B122" s="156"/>
      <c r="C122" s="144">
        <f>SUM(C120:C121)</f>
        <v>103</v>
      </c>
      <c r="D122" s="144"/>
      <c r="E122" s="157">
        <f>SUM(E120:E121)</f>
        <v>49373.472329999997</v>
      </c>
      <c r="F122" s="157"/>
      <c r="G122" s="153">
        <f>SUM(G120:G121)</f>
        <v>76716.324523799994</v>
      </c>
      <c r="H122" s="153"/>
    </row>
    <row r="123" spans="1:10" s="34" customFormat="1" ht="16.5" thickBot="1" x14ac:dyDescent="0.3">
      <c r="A123" s="146" t="s">
        <v>162</v>
      </c>
      <c r="B123" s="147"/>
      <c r="C123" s="148">
        <f>C117+C122</f>
        <v>137</v>
      </c>
      <c r="D123" s="148"/>
      <c r="E123" s="149">
        <f>E117+E122</f>
        <v>55048.360769999999</v>
      </c>
      <c r="F123" s="149"/>
      <c r="G123" s="150">
        <f>G117+G122</f>
        <v>88394.180050800001</v>
      </c>
      <c r="H123" s="151"/>
    </row>
    <row r="124" spans="1:10" x14ac:dyDescent="0.25">
      <c r="A124" s="152" t="s">
        <v>54</v>
      </c>
      <c r="B124" s="152"/>
      <c r="C124" s="152"/>
      <c r="D124" s="152"/>
      <c r="E124" s="152"/>
      <c r="F124" s="152"/>
      <c r="G124" s="152"/>
      <c r="H124" s="152"/>
    </row>
    <row r="125" spans="1:10" x14ac:dyDescent="0.25">
      <c r="A125" s="113" t="s">
        <v>169</v>
      </c>
      <c r="B125" s="113"/>
      <c r="C125" s="113"/>
      <c r="D125" s="113"/>
      <c r="E125" s="113"/>
      <c r="F125" s="113"/>
      <c r="G125" s="113"/>
      <c r="H125" s="113"/>
      <c r="I125" s="58">
        <v>10.763999999999999</v>
      </c>
    </row>
    <row r="126" spans="1:10" s="37" customFormat="1" ht="47.25" x14ac:dyDescent="0.25">
      <c r="A126" s="165" t="s">
        <v>117</v>
      </c>
      <c r="B126" s="165" t="s">
        <v>171</v>
      </c>
      <c r="C126" s="165" t="s">
        <v>55</v>
      </c>
      <c r="D126" s="165" t="s">
        <v>56</v>
      </c>
      <c r="E126" s="96" t="s">
        <v>274</v>
      </c>
      <c r="F126" s="43" t="s">
        <v>146</v>
      </c>
      <c r="G126" s="98" t="s">
        <v>58</v>
      </c>
      <c r="H126" s="99"/>
    </row>
    <row r="127" spans="1:10" s="37" customFormat="1" x14ac:dyDescent="0.25">
      <c r="A127" s="166"/>
      <c r="B127" s="166"/>
      <c r="C127" s="166"/>
      <c r="D127" s="166"/>
      <c r="E127" s="97"/>
      <c r="F127" s="13">
        <v>0.55000000000000004</v>
      </c>
      <c r="G127" s="100"/>
      <c r="H127" s="101"/>
    </row>
    <row r="128" spans="1:10" s="37" customFormat="1" x14ac:dyDescent="0.25">
      <c r="A128" s="121" t="s">
        <v>269</v>
      </c>
      <c r="B128" s="122"/>
      <c r="C128" s="122"/>
      <c r="D128" s="122"/>
      <c r="E128" s="122"/>
      <c r="F128" s="122"/>
      <c r="G128" s="122"/>
      <c r="H128" s="123"/>
      <c r="J128" s="36"/>
    </row>
    <row r="129" spans="1:14" s="37" customFormat="1" x14ac:dyDescent="0.25">
      <c r="A129" s="93" t="s">
        <v>242</v>
      </c>
      <c r="B129" s="94"/>
      <c r="C129" s="94"/>
      <c r="D129" s="94"/>
      <c r="E129" s="94"/>
      <c r="F129" s="94"/>
      <c r="G129" s="94"/>
      <c r="H129" s="95"/>
      <c r="I129" s="58">
        <v>10.763999999999999</v>
      </c>
      <c r="J129" s="36"/>
    </row>
    <row r="130" spans="1:14" s="37" customFormat="1" ht="15.75" customHeight="1" x14ac:dyDescent="0.25">
      <c r="A130" s="93" t="s">
        <v>272</v>
      </c>
      <c r="B130" s="94"/>
      <c r="C130" s="94"/>
      <c r="D130" s="94"/>
      <c r="E130" s="94"/>
      <c r="F130" s="94"/>
      <c r="G130" s="94"/>
      <c r="H130" s="95"/>
      <c r="J130" s="36"/>
    </row>
    <row r="131" spans="1:14" s="37" customFormat="1" ht="15.75" customHeight="1" x14ac:dyDescent="0.25">
      <c r="A131" s="91">
        <v>1</v>
      </c>
      <c r="B131" s="92"/>
      <c r="C131" s="42" t="s">
        <v>237</v>
      </c>
      <c r="D131" s="58">
        <f>(41.93)*10.764</f>
        <v>451.33452</v>
      </c>
      <c r="E131" s="58">
        <f>(20.6)*10.764</f>
        <v>221.73840000000001</v>
      </c>
      <c r="F131" s="42">
        <f>(D131+E131)*(($F$127)+1)</f>
        <v>1043.2630260000001</v>
      </c>
      <c r="G131" s="103" t="str">
        <f>A130</f>
        <v>1st Floor For Commercial &amp; Entrance Lobby</v>
      </c>
      <c r="H131" s="104"/>
      <c r="J131" s="57"/>
    </row>
    <row r="132" spans="1:14" s="37" customFormat="1" ht="15.75" customHeight="1" x14ac:dyDescent="0.25">
      <c r="A132" s="91">
        <f t="shared" ref="A132:A134" si="0">A131+1</f>
        <v>2</v>
      </c>
      <c r="B132" s="92"/>
      <c r="C132" s="42" t="s">
        <v>237</v>
      </c>
      <c r="D132" s="58">
        <f>(18.72)*10.764</f>
        <v>201.50207999999998</v>
      </c>
      <c r="E132" s="58">
        <f>(8.25)*10.764</f>
        <v>88.802999999999997</v>
      </c>
      <c r="F132" s="42">
        <f t="shared" ref="F132:F134" si="1">(D132+E132)*(($F$127)+1)</f>
        <v>449.97287399999999</v>
      </c>
      <c r="G132" s="105"/>
      <c r="H132" s="106"/>
      <c r="I132" s="37">
        <f>8.13*2.5</f>
        <v>20.325000000000003</v>
      </c>
      <c r="J132" s="36">
        <f>3.3*2.5</f>
        <v>8.25</v>
      </c>
    </row>
    <row r="133" spans="1:14" s="37" customFormat="1" ht="15.75" customHeight="1" x14ac:dyDescent="0.25">
      <c r="A133" s="91">
        <f t="shared" si="0"/>
        <v>3</v>
      </c>
      <c r="B133" s="92"/>
      <c r="C133" s="42" t="s">
        <v>237</v>
      </c>
      <c r="D133" s="58">
        <f>(16.89)*10.764</f>
        <v>181.80395999999999</v>
      </c>
      <c r="E133" s="58">
        <f>(8.42)*10.764</f>
        <v>90.63288</v>
      </c>
      <c r="F133" s="42">
        <f t="shared" si="1"/>
        <v>422.27710199999996</v>
      </c>
      <c r="G133" s="105"/>
      <c r="H133" s="106"/>
      <c r="J133" s="36"/>
    </row>
    <row r="134" spans="1:14" s="37" customFormat="1" x14ac:dyDescent="0.25">
      <c r="A134" s="91">
        <f t="shared" si="0"/>
        <v>4</v>
      </c>
      <c r="B134" s="92"/>
      <c r="C134" s="42" t="s">
        <v>237</v>
      </c>
      <c r="D134" s="58">
        <f>(13.63)*10.764</f>
        <v>146.71332000000001</v>
      </c>
      <c r="E134" s="58">
        <f>(6.12)*10.764</f>
        <v>65.875680000000003</v>
      </c>
      <c r="F134" s="42">
        <f t="shared" si="1"/>
        <v>329.51294999999999</v>
      </c>
      <c r="G134" s="105"/>
      <c r="H134" s="106"/>
      <c r="J134" s="36"/>
    </row>
    <row r="135" spans="1:14" s="37" customFormat="1" x14ac:dyDescent="0.25">
      <c r="A135" s="91">
        <v>5</v>
      </c>
      <c r="B135" s="92"/>
      <c r="C135" s="42" t="s">
        <v>237</v>
      </c>
      <c r="D135" s="58">
        <f>(14.94)*10.764</f>
        <v>160.81415999999999</v>
      </c>
      <c r="E135" s="58">
        <f>(5.67)*10.764</f>
        <v>61.031879999999994</v>
      </c>
      <c r="F135" s="42">
        <f>(D135+E135)*(($F$127)+1)</f>
        <v>343.86136199999999</v>
      </c>
      <c r="G135" s="105"/>
      <c r="H135" s="106"/>
      <c r="J135" s="36"/>
    </row>
    <row r="136" spans="1:14" s="37" customFormat="1" x14ac:dyDescent="0.25">
      <c r="A136" s="91">
        <f t="shared" ref="A136:A138" si="2">A135+1</f>
        <v>6</v>
      </c>
      <c r="B136" s="92"/>
      <c r="C136" s="42" t="s">
        <v>237</v>
      </c>
      <c r="D136" s="58">
        <f>(9.64)*10.764</f>
        <v>103.76496</v>
      </c>
      <c r="E136" s="58">
        <f>(4.73)*10.764</f>
        <v>50.913720000000005</v>
      </c>
      <c r="F136" s="42">
        <f t="shared" ref="F136:F138" si="3">(D136+E136)*(($F$127)+1)</f>
        <v>239.75195400000004</v>
      </c>
      <c r="G136" s="105"/>
      <c r="H136" s="106"/>
      <c r="J136" s="36"/>
    </row>
    <row r="137" spans="1:14" s="37" customFormat="1" x14ac:dyDescent="0.25">
      <c r="A137" s="91">
        <f t="shared" si="2"/>
        <v>7</v>
      </c>
      <c r="B137" s="92"/>
      <c r="C137" s="42" t="s">
        <v>237</v>
      </c>
      <c r="D137" s="58">
        <f>(12.6)*10.764</f>
        <v>135.62639999999999</v>
      </c>
      <c r="E137" s="58">
        <f>(4.86)*10.764</f>
        <v>52.313040000000001</v>
      </c>
      <c r="F137" s="42">
        <f t="shared" si="3"/>
        <v>291.30613199999999</v>
      </c>
      <c r="G137" s="105"/>
      <c r="H137" s="106"/>
      <c r="I137" s="57">
        <f>2.7*4.55</f>
        <v>12.285</v>
      </c>
      <c r="J137" s="57">
        <f>2.7*1.8</f>
        <v>4.8600000000000003</v>
      </c>
    </row>
    <row r="138" spans="1:14" s="37" customFormat="1" ht="15.75" customHeight="1" x14ac:dyDescent="0.25">
      <c r="A138" s="91">
        <f t="shared" si="2"/>
        <v>8</v>
      </c>
      <c r="B138" s="92"/>
      <c r="C138" s="42" t="s">
        <v>237</v>
      </c>
      <c r="D138" s="58">
        <f>(11.9)*10.764</f>
        <v>128.0916</v>
      </c>
      <c r="E138" s="58">
        <f>(4.59)*10.764</f>
        <v>49.406759999999998</v>
      </c>
      <c r="F138" s="42">
        <f t="shared" si="3"/>
        <v>275.12245799999999</v>
      </c>
      <c r="G138" s="105"/>
      <c r="H138" s="106"/>
      <c r="I138" s="36"/>
      <c r="L138" s="102"/>
      <c r="M138" s="102"/>
      <c r="N138" s="36"/>
    </row>
    <row r="139" spans="1:14" s="37" customFormat="1" ht="15.75" customHeight="1" x14ac:dyDescent="0.25">
      <c r="A139" s="91">
        <v>9</v>
      </c>
      <c r="B139" s="92"/>
      <c r="C139" s="42" t="s">
        <v>237</v>
      </c>
      <c r="D139" s="58">
        <f>(11.67)*10.764</f>
        <v>125.61587999999999</v>
      </c>
      <c r="E139" s="58">
        <f>(5.67)*10.764</f>
        <v>61.031879999999994</v>
      </c>
      <c r="F139" s="42">
        <f>(D139+E139)*(($F$127)+1)</f>
        <v>289.30402799999996</v>
      </c>
      <c r="G139" s="105"/>
      <c r="H139" s="106"/>
      <c r="I139" s="36"/>
      <c r="L139" s="102"/>
      <c r="M139" s="102"/>
      <c r="N139" s="36"/>
    </row>
    <row r="140" spans="1:14" s="37" customFormat="1" x14ac:dyDescent="0.25">
      <c r="A140" s="91">
        <f t="shared" ref="A140" si="4">A139+1</f>
        <v>10</v>
      </c>
      <c r="B140" s="92"/>
      <c r="C140" s="42" t="s">
        <v>237</v>
      </c>
      <c r="D140" s="58">
        <f>(16.92)*10.764</f>
        <v>182.12688</v>
      </c>
      <c r="E140" s="58">
        <f>(9.18)*10.764</f>
        <v>98.813519999999997</v>
      </c>
      <c r="F140" s="42">
        <f t="shared" ref="F140" si="5">(D140+E140)*(($F$127)+1)</f>
        <v>435.45762000000002</v>
      </c>
      <c r="G140" s="105"/>
      <c r="H140" s="106"/>
      <c r="J140" s="36"/>
    </row>
    <row r="141" spans="1:14" s="37" customFormat="1" x14ac:dyDescent="0.25">
      <c r="A141" s="91">
        <v>11</v>
      </c>
      <c r="B141" s="92"/>
      <c r="C141" s="42" t="s">
        <v>237</v>
      </c>
      <c r="D141" s="58">
        <f>(16.59)*10.764</f>
        <v>178.57476</v>
      </c>
      <c r="E141" s="58">
        <f>(7.92)*10.764</f>
        <v>85.250879999999995</v>
      </c>
      <c r="F141" s="42">
        <f>(D141+E141)*(($F$127)+1)</f>
        <v>408.92974200000003</v>
      </c>
      <c r="G141" s="105"/>
      <c r="H141" s="106"/>
      <c r="J141" s="36"/>
    </row>
    <row r="142" spans="1:14" s="37" customFormat="1" x14ac:dyDescent="0.25">
      <c r="A142" s="91">
        <f t="shared" ref="A142:A144" si="6">A141+1</f>
        <v>12</v>
      </c>
      <c r="B142" s="92"/>
      <c r="C142" s="42" t="s">
        <v>237</v>
      </c>
      <c r="D142" s="58">
        <f>(16.95)*10.764</f>
        <v>182.44979999999998</v>
      </c>
      <c r="E142" s="58">
        <f>(7.21)*10.764</f>
        <v>77.608440000000002</v>
      </c>
      <c r="F142" s="42">
        <f t="shared" ref="F142:F144" si="7">(D142+E142)*(($F$127)+1)</f>
        <v>403.09027199999997</v>
      </c>
      <c r="G142" s="105"/>
      <c r="H142" s="106"/>
      <c r="J142" s="36"/>
    </row>
    <row r="143" spans="1:14" s="37" customFormat="1" x14ac:dyDescent="0.25">
      <c r="A143" s="91">
        <f t="shared" si="6"/>
        <v>13</v>
      </c>
      <c r="B143" s="92"/>
      <c r="C143" s="42" t="s">
        <v>237</v>
      </c>
      <c r="D143" s="58">
        <f>(21.67)*10.764</f>
        <v>233.25587999999999</v>
      </c>
      <c r="E143" s="58">
        <f>(10.54)*10.764</f>
        <v>113.45255999999998</v>
      </c>
      <c r="F143" s="42">
        <f t="shared" si="7"/>
        <v>537.39808200000004</v>
      </c>
      <c r="G143" s="105"/>
      <c r="H143" s="106"/>
      <c r="J143" s="36"/>
    </row>
    <row r="144" spans="1:14" s="37" customFormat="1" x14ac:dyDescent="0.25">
      <c r="A144" s="91">
        <f t="shared" si="6"/>
        <v>14</v>
      </c>
      <c r="B144" s="92"/>
      <c r="C144" s="42" t="s">
        <v>237</v>
      </c>
      <c r="D144" s="58">
        <f>(15.57)*10.764</f>
        <v>167.59547999999998</v>
      </c>
      <c r="E144" s="58">
        <f>(6.75)*10.764</f>
        <v>72.656999999999996</v>
      </c>
      <c r="F144" s="42">
        <f t="shared" si="7"/>
        <v>372.391344</v>
      </c>
      <c r="G144" s="105"/>
      <c r="H144" s="106"/>
      <c r="J144" s="36"/>
    </row>
    <row r="145" spans="1:14" s="37" customFormat="1" x14ac:dyDescent="0.25">
      <c r="A145" s="91">
        <v>15</v>
      </c>
      <c r="B145" s="92"/>
      <c r="C145" s="42" t="s">
        <v>237</v>
      </c>
      <c r="D145" s="58">
        <f>(13.83)*10.764</f>
        <v>148.86612</v>
      </c>
      <c r="E145" s="58">
        <f>(6)*10.764</f>
        <v>64.584000000000003</v>
      </c>
      <c r="F145" s="42">
        <f>(D145+E145)*(($F$127)+1)</f>
        <v>330.84768600000001</v>
      </c>
      <c r="G145" s="105"/>
      <c r="H145" s="106"/>
      <c r="J145" s="36"/>
    </row>
    <row r="146" spans="1:14" s="37" customFormat="1" x14ac:dyDescent="0.25">
      <c r="A146" s="91">
        <f t="shared" ref="A146:A147" si="8">A145+1</f>
        <v>16</v>
      </c>
      <c r="B146" s="92"/>
      <c r="C146" s="42" t="s">
        <v>237</v>
      </c>
      <c r="D146" s="58">
        <f>(14.7)*10.764</f>
        <v>158.23079999999999</v>
      </c>
      <c r="E146" s="58">
        <f>(6.38)*10.764</f>
        <v>68.674319999999994</v>
      </c>
      <c r="F146" s="42">
        <f t="shared" ref="F146" si="9">(D146+E146)*(($F$127)+1)</f>
        <v>351.70293599999997</v>
      </c>
      <c r="G146" s="105"/>
      <c r="H146" s="106"/>
      <c r="J146" s="36"/>
    </row>
    <row r="147" spans="1:14" s="37" customFormat="1" x14ac:dyDescent="0.25">
      <c r="A147" s="91">
        <f t="shared" si="8"/>
        <v>17</v>
      </c>
      <c r="B147" s="92"/>
      <c r="C147" s="42" t="s">
        <v>237</v>
      </c>
      <c r="D147" s="58">
        <f>(14.7)*10.764</f>
        <v>158.23079999999999</v>
      </c>
      <c r="E147" s="58">
        <f>(6.38)*10.764</f>
        <v>68.674319999999994</v>
      </c>
      <c r="F147" s="42">
        <f t="shared" ref="F147" si="10">(D147+E147)*(($F$127)+1)</f>
        <v>351.70293599999997</v>
      </c>
      <c r="G147" s="107"/>
      <c r="H147" s="108"/>
      <c r="J147" s="36"/>
    </row>
    <row r="148" spans="1:14" s="37" customFormat="1" x14ac:dyDescent="0.25">
      <c r="A148" s="93" t="s">
        <v>273</v>
      </c>
      <c r="B148" s="94"/>
      <c r="C148" s="94"/>
      <c r="D148" s="94"/>
      <c r="E148" s="94"/>
      <c r="F148" s="94"/>
      <c r="G148" s="94"/>
      <c r="H148" s="95"/>
      <c r="J148" s="36"/>
    </row>
    <row r="149" spans="1:14" s="37" customFormat="1" x14ac:dyDescent="0.25">
      <c r="A149" s="91">
        <v>1</v>
      </c>
      <c r="B149" s="92"/>
      <c r="C149" s="61" t="s">
        <v>244</v>
      </c>
      <c r="D149" s="58">
        <f>(16.71)*10.764</f>
        <v>179.86644000000001</v>
      </c>
      <c r="E149" s="58">
        <f>(3*0.75)*10.764</f>
        <v>24.218999999999998</v>
      </c>
      <c r="F149" s="42">
        <f>(D149+E149)*(($F$127)+1)</f>
        <v>316.33243200000004</v>
      </c>
      <c r="G149" s="103" t="str">
        <f>A148</f>
        <v>1st Floor</v>
      </c>
      <c r="H149" s="104"/>
      <c r="I149" s="37">
        <f>2.85*6.8</f>
        <v>19.38</v>
      </c>
      <c r="J149" s="57">
        <f>2.85*1.9+2.6*2.2+2.1*2.6</f>
        <v>16.595000000000002</v>
      </c>
    </row>
    <row r="150" spans="1:14" s="37" customFormat="1" x14ac:dyDescent="0.25">
      <c r="A150" s="91">
        <f t="shared" ref="A150:A165" si="11">A149+1</f>
        <v>2</v>
      </c>
      <c r="B150" s="92"/>
      <c r="C150" s="61" t="s">
        <v>244</v>
      </c>
      <c r="D150" s="58">
        <f>(13.18)*10.764</f>
        <v>141.86951999999999</v>
      </c>
      <c r="E150" s="58">
        <f>(2.4*0.75)*10.764</f>
        <v>19.375199999999996</v>
      </c>
      <c r="F150" s="42">
        <f t="shared" ref="F150:F152" si="12">(D150+E150)*(($F$127)+1)</f>
        <v>249.929316</v>
      </c>
      <c r="G150" s="105"/>
      <c r="H150" s="106"/>
      <c r="I150" s="37">
        <f>2.4*5.45</f>
        <v>13.08</v>
      </c>
    </row>
    <row r="151" spans="1:14" s="37" customFormat="1" x14ac:dyDescent="0.25">
      <c r="A151" s="91">
        <f t="shared" si="11"/>
        <v>3</v>
      </c>
      <c r="B151" s="92"/>
      <c r="C151" s="61" t="s">
        <v>244</v>
      </c>
      <c r="D151" s="58">
        <f>(14.82)*10.764</f>
        <v>159.52248</v>
      </c>
      <c r="E151" s="58">
        <f>(2.7*0.75)*10.764</f>
        <v>21.797100000000004</v>
      </c>
      <c r="F151" s="42">
        <f t="shared" si="12"/>
        <v>281.04534899999999</v>
      </c>
      <c r="G151" s="105"/>
      <c r="H151" s="106"/>
    </row>
    <row r="152" spans="1:14" s="37" customFormat="1" x14ac:dyDescent="0.25">
      <c r="A152" s="91">
        <f t="shared" si="11"/>
        <v>4</v>
      </c>
      <c r="B152" s="92"/>
      <c r="C152" s="61" t="s">
        <v>244</v>
      </c>
      <c r="D152" s="58">
        <f>(22.79)*10.764</f>
        <v>245.31155999999999</v>
      </c>
      <c r="E152" s="58">
        <f>(4.75*0.75)*10.764</f>
        <v>38.34675</v>
      </c>
      <c r="F152" s="42">
        <f t="shared" si="12"/>
        <v>439.67038049999996</v>
      </c>
      <c r="G152" s="105"/>
      <c r="H152" s="106"/>
      <c r="I152" s="36">
        <f>4.75*4.55+1.2*0.9</f>
        <v>22.692500000000003</v>
      </c>
      <c r="N152" s="36"/>
    </row>
    <row r="153" spans="1:14" s="37" customFormat="1" x14ac:dyDescent="0.25">
      <c r="A153" s="91">
        <v>5</v>
      </c>
      <c r="B153" s="92"/>
      <c r="C153" s="61" t="s">
        <v>244</v>
      </c>
      <c r="D153" s="58">
        <f>(18.86)*10.764</f>
        <v>203.00903999999997</v>
      </c>
      <c r="E153" s="58">
        <f>(2.8*0.75)*10.764</f>
        <v>22.604399999999995</v>
      </c>
      <c r="F153" s="42">
        <f>(D153+E153)*(($F$127)+1)</f>
        <v>349.70083199999993</v>
      </c>
      <c r="G153" s="105"/>
      <c r="H153" s="106"/>
      <c r="I153" s="36"/>
      <c r="N153" s="36"/>
    </row>
    <row r="154" spans="1:14" s="37" customFormat="1" x14ac:dyDescent="0.25">
      <c r="A154" s="91">
        <f t="shared" si="11"/>
        <v>6</v>
      </c>
      <c r="B154" s="92"/>
      <c r="C154" s="61" t="s">
        <v>244</v>
      </c>
      <c r="D154" s="58">
        <f>(17.97)*10.764</f>
        <v>193.42907999999997</v>
      </c>
      <c r="E154" s="58">
        <f>(0.75*5.77)*10.764</f>
        <v>46.581209999999992</v>
      </c>
      <c r="F154" s="42">
        <f t="shared" ref="F154:F156" si="13">(D154+E154)*(($F$127)+1)</f>
        <v>372.01594949999998</v>
      </c>
      <c r="G154" s="105"/>
      <c r="H154" s="106"/>
      <c r="I154" s="36"/>
      <c r="N154" s="36"/>
    </row>
    <row r="155" spans="1:14" s="37" customFormat="1" x14ac:dyDescent="0.25">
      <c r="A155" s="91">
        <f t="shared" si="11"/>
        <v>7</v>
      </c>
      <c r="B155" s="92"/>
      <c r="C155" s="61" t="s">
        <v>244</v>
      </c>
      <c r="D155" s="58">
        <f>(8.56)*10.764</f>
        <v>92.139840000000007</v>
      </c>
      <c r="E155" s="58">
        <f>(0.75*2.9)*10.764</f>
        <v>23.411699999999996</v>
      </c>
      <c r="F155" s="42">
        <f t="shared" si="13"/>
        <v>179.10488700000002</v>
      </c>
      <c r="G155" s="105"/>
      <c r="H155" s="106"/>
      <c r="I155" s="36"/>
      <c r="N155" s="36"/>
    </row>
    <row r="156" spans="1:14" s="37" customFormat="1" x14ac:dyDescent="0.25">
      <c r="A156" s="91">
        <f t="shared" si="11"/>
        <v>8</v>
      </c>
      <c r="B156" s="92"/>
      <c r="C156" s="61" t="s">
        <v>244</v>
      </c>
      <c r="D156" s="58">
        <f>(11.82)*10.764</f>
        <v>127.23048</v>
      </c>
      <c r="E156" s="58">
        <f>(0.75*2.9)*10.764</f>
        <v>23.411699999999996</v>
      </c>
      <c r="F156" s="42">
        <f t="shared" si="13"/>
        <v>233.49537900000001</v>
      </c>
      <c r="G156" s="105"/>
      <c r="H156" s="106"/>
      <c r="I156" s="36"/>
      <c r="N156" s="36"/>
    </row>
    <row r="157" spans="1:14" s="37" customFormat="1" x14ac:dyDescent="0.25">
      <c r="A157" s="91">
        <v>9</v>
      </c>
      <c r="B157" s="92"/>
      <c r="C157" s="61" t="s">
        <v>244</v>
      </c>
      <c r="D157" s="58">
        <f>(13.84)*10.764</f>
        <v>148.97376</v>
      </c>
      <c r="E157" s="58">
        <f>(0.75*2.22)*10.764</f>
        <v>17.922059999999998</v>
      </c>
      <c r="F157" s="42">
        <f>(D157+E157)*(($F$127)+1)</f>
        <v>258.68852099999998</v>
      </c>
      <c r="G157" s="105"/>
      <c r="H157" s="106"/>
      <c r="I157" s="36"/>
      <c r="N157" s="36"/>
    </row>
    <row r="158" spans="1:14" s="37" customFormat="1" x14ac:dyDescent="0.25">
      <c r="A158" s="91">
        <f t="shared" si="11"/>
        <v>10</v>
      </c>
      <c r="B158" s="92"/>
      <c r="C158" s="61" t="s">
        <v>244</v>
      </c>
      <c r="D158" s="58">
        <f>(27.19)*10.764</f>
        <v>292.67316</v>
      </c>
      <c r="E158" s="58">
        <f>(0.75*5.4+3.1*0.75+0.75*3.7)*10.764</f>
        <v>98.490600000000015</v>
      </c>
      <c r="F158" s="42">
        <f t="shared" ref="F158:F160" si="14">(D158+E158)*(($F$127)+1)</f>
        <v>606.30382800000007</v>
      </c>
      <c r="G158" s="105"/>
      <c r="H158" s="106"/>
      <c r="I158" s="36">
        <f>0.75*5.4+3.2*0.75+0.75*3.7</f>
        <v>9.2250000000000014</v>
      </c>
      <c r="J158" s="37">
        <f>2.26*8.74</f>
        <v>19.752399999999998</v>
      </c>
      <c r="N158" s="36"/>
    </row>
    <row r="159" spans="1:14" s="37" customFormat="1" x14ac:dyDescent="0.25">
      <c r="A159" s="91">
        <f t="shared" si="11"/>
        <v>11</v>
      </c>
      <c r="B159" s="92"/>
      <c r="C159" s="61" t="s">
        <v>244</v>
      </c>
      <c r="D159" s="58">
        <f>(9.73)*10.764</f>
        <v>104.73372000000001</v>
      </c>
      <c r="E159" s="58">
        <f>(2.7*0.75)*10.764</f>
        <v>21.797100000000004</v>
      </c>
      <c r="F159" s="42">
        <f t="shared" si="14"/>
        <v>196.122771</v>
      </c>
      <c r="G159" s="105"/>
      <c r="H159" s="106"/>
      <c r="I159" s="36"/>
      <c r="N159" s="36"/>
    </row>
    <row r="160" spans="1:14" s="37" customFormat="1" x14ac:dyDescent="0.25">
      <c r="A160" s="91">
        <f t="shared" si="11"/>
        <v>12</v>
      </c>
      <c r="B160" s="92"/>
      <c r="C160" s="61" t="s">
        <v>244</v>
      </c>
      <c r="D160" s="58">
        <f>(10.43)*10.764</f>
        <v>112.26852</v>
      </c>
      <c r="E160" s="58">
        <f>(2.55*0.75)*10.764</f>
        <v>20.586149999999996</v>
      </c>
      <c r="F160" s="42">
        <f t="shared" si="14"/>
        <v>205.92473850000002</v>
      </c>
      <c r="G160" s="105"/>
      <c r="H160" s="106"/>
      <c r="I160" s="36"/>
      <c r="N160" s="36"/>
    </row>
    <row r="161" spans="1:14" s="37" customFormat="1" x14ac:dyDescent="0.25">
      <c r="A161" s="91">
        <v>13</v>
      </c>
      <c r="B161" s="92"/>
      <c r="C161" s="61" t="s">
        <v>244</v>
      </c>
      <c r="D161" s="58">
        <f>(10.43)*10.764</f>
        <v>112.26852</v>
      </c>
      <c r="E161" s="58">
        <f>(2.55*0.75)*10.764</f>
        <v>20.586149999999996</v>
      </c>
      <c r="F161" s="42">
        <f>(D161+E161)*(($F$127)+1)</f>
        <v>205.92473850000002</v>
      </c>
      <c r="G161" s="105"/>
      <c r="H161" s="106"/>
      <c r="I161" s="36"/>
      <c r="N161" s="36"/>
    </row>
    <row r="162" spans="1:14" s="37" customFormat="1" x14ac:dyDescent="0.25">
      <c r="A162" s="91">
        <f t="shared" si="11"/>
        <v>14</v>
      </c>
      <c r="B162" s="92"/>
      <c r="C162" s="61" t="s">
        <v>244</v>
      </c>
      <c r="D162" s="58">
        <f>(9.82)*10.764</f>
        <v>105.70247999999999</v>
      </c>
      <c r="E162" s="58">
        <f>(2.4*0.75)*10.764</f>
        <v>19.375199999999996</v>
      </c>
      <c r="F162" s="42">
        <f t="shared" ref="F162:F164" si="15">(D162+E162)*(($F$127)+1)</f>
        <v>193.87040399999998</v>
      </c>
      <c r="G162" s="105"/>
      <c r="H162" s="106"/>
      <c r="I162" s="36"/>
      <c r="N162" s="36"/>
    </row>
    <row r="163" spans="1:14" s="37" customFormat="1" x14ac:dyDescent="0.25">
      <c r="A163" s="91">
        <f t="shared" si="11"/>
        <v>15</v>
      </c>
      <c r="B163" s="92"/>
      <c r="C163" s="61" t="s">
        <v>244</v>
      </c>
      <c r="D163" s="58">
        <f>(11.04)*10.764</f>
        <v>118.83455999999998</v>
      </c>
      <c r="E163" s="58">
        <f>(2.7*0.75)*10.764</f>
        <v>21.797100000000004</v>
      </c>
      <c r="F163" s="42">
        <f t="shared" si="15"/>
        <v>217.97907299999997</v>
      </c>
      <c r="G163" s="105"/>
      <c r="H163" s="106"/>
      <c r="I163" s="36"/>
      <c r="N163" s="36"/>
    </row>
    <row r="164" spans="1:14" s="37" customFormat="1" x14ac:dyDescent="0.25">
      <c r="A164" s="91">
        <f t="shared" si="11"/>
        <v>16</v>
      </c>
      <c r="B164" s="92"/>
      <c r="C164" s="61" t="s">
        <v>244</v>
      </c>
      <c r="D164" s="58">
        <f>(13.87)*10.764</f>
        <v>149.29667999999998</v>
      </c>
      <c r="E164" s="58">
        <f>(3.4*0.75)*10.764</f>
        <v>27.448199999999996</v>
      </c>
      <c r="F164" s="42">
        <f t="shared" si="15"/>
        <v>273.95456399999995</v>
      </c>
      <c r="G164" s="105"/>
      <c r="H164" s="106"/>
      <c r="I164" s="36"/>
      <c r="N164" s="36"/>
    </row>
    <row r="165" spans="1:14" s="37" customFormat="1" x14ac:dyDescent="0.25">
      <c r="A165" s="91">
        <f t="shared" si="11"/>
        <v>17</v>
      </c>
      <c r="B165" s="92"/>
      <c r="C165" s="61" t="s">
        <v>244</v>
      </c>
      <c r="D165" s="58">
        <f>(13.3)*10.764</f>
        <v>143.16120000000001</v>
      </c>
      <c r="E165" s="58">
        <v>0</v>
      </c>
      <c r="F165" s="42">
        <f t="shared" ref="F165" si="16">(D165+E165)*(($F$127)+1)</f>
        <v>221.89986000000002</v>
      </c>
      <c r="G165" s="107"/>
      <c r="H165" s="108"/>
      <c r="I165" s="36"/>
      <c r="N165" s="36"/>
    </row>
    <row r="166" spans="1:14" x14ac:dyDescent="0.25">
      <c r="A166" s="91"/>
      <c r="B166" s="109"/>
      <c r="C166" s="109"/>
      <c r="D166" s="109"/>
      <c r="E166" s="109"/>
      <c r="F166" s="109"/>
      <c r="G166" s="109"/>
      <c r="H166" s="92"/>
      <c r="I166" s="36"/>
    </row>
    <row r="167" spans="1:14" s="37" customFormat="1" ht="47.25" x14ac:dyDescent="0.25">
      <c r="A167" s="98" t="s">
        <v>118</v>
      </c>
      <c r="B167" s="165" t="s">
        <v>172</v>
      </c>
      <c r="C167" s="165" t="s">
        <v>55</v>
      </c>
      <c r="D167" s="165" t="s">
        <v>56</v>
      </c>
      <c r="E167" s="96" t="s">
        <v>57</v>
      </c>
      <c r="F167" s="43" t="s">
        <v>146</v>
      </c>
      <c r="G167" s="98" t="s">
        <v>58</v>
      </c>
      <c r="H167" s="99"/>
      <c r="I167" s="36"/>
    </row>
    <row r="168" spans="1:14" s="37" customFormat="1" x14ac:dyDescent="0.25">
      <c r="A168" s="100"/>
      <c r="B168" s="166"/>
      <c r="C168" s="166"/>
      <c r="D168" s="166"/>
      <c r="E168" s="97"/>
      <c r="F168" s="13">
        <v>0.5</v>
      </c>
      <c r="G168" s="100"/>
      <c r="H168" s="101"/>
      <c r="I168" s="36"/>
    </row>
    <row r="169" spans="1:14" s="37" customFormat="1" x14ac:dyDescent="0.25">
      <c r="A169" s="168" t="s">
        <v>269</v>
      </c>
      <c r="B169" s="169"/>
      <c r="C169" s="169"/>
      <c r="D169" s="169"/>
      <c r="E169" s="169"/>
      <c r="F169" s="169"/>
      <c r="G169" s="169"/>
      <c r="H169" s="170"/>
      <c r="J169" s="36"/>
    </row>
    <row r="170" spans="1:14" s="37" customFormat="1" ht="15.75" customHeight="1" x14ac:dyDescent="0.25">
      <c r="A170" s="93" t="s">
        <v>275</v>
      </c>
      <c r="B170" s="94"/>
      <c r="C170" s="94"/>
      <c r="D170" s="94"/>
      <c r="E170" s="94"/>
      <c r="F170" s="94"/>
      <c r="G170" s="94"/>
      <c r="H170" s="95"/>
      <c r="J170" s="36"/>
    </row>
    <row r="171" spans="1:14" s="37" customFormat="1" ht="15.75" customHeight="1" x14ac:dyDescent="0.25">
      <c r="A171" s="91">
        <v>1</v>
      </c>
      <c r="B171" s="92"/>
      <c r="C171" s="42" t="s">
        <v>238</v>
      </c>
      <c r="D171" s="58">
        <f>(33.71+0.75*(2.4+2.85))*10.764</f>
        <v>405.23768999999999</v>
      </c>
      <c r="E171" s="58">
        <v>0</v>
      </c>
      <c r="F171" s="42">
        <f t="shared" ref="F171:F177" si="17">D171*(($F$168)+1)+(IF(E171&lt;101,E171,IF(E171&lt;201,E171/2,IF(E171&lt;=301,E171/3,E171/4))))</f>
        <v>607.85653500000001</v>
      </c>
      <c r="G171" s="103" t="str">
        <f>A170</f>
        <v>2nd Floor For Residential</v>
      </c>
      <c r="H171" s="104"/>
      <c r="I171" s="37">
        <f>4.6*3.05+2.85*1.85+2.4*3.65+1.5*1.25+1.2*0.9+1.5*1.9</f>
        <v>33.8675</v>
      </c>
      <c r="J171" s="36"/>
    </row>
    <row r="172" spans="1:14" s="37" customFormat="1" ht="15.75" customHeight="1" x14ac:dyDescent="0.25">
      <c r="A172" s="91">
        <f t="shared" ref="A172:A174" si="18">A171+1</f>
        <v>2</v>
      </c>
      <c r="B172" s="92"/>
      <c r="C172" s="42" t="s">
        <v>238</v>
      </c>
      <c r="D172" s="58">
        <f>(31.43+4.9)*10.764</f>
        <v>391.05611999999996</v>
      </c>
      <c r="E172" s="58">
        <f>(2.7*1.5)*10.764</f>
        <v>43.594200000000008</v>
      </c>
      <c r="F172" s="42">
        <f t="shared" si="17"/>
        <v>630.17837999999995</v>
      </c>
      <c r="G172" s="105"/>
      <c r="H172" s="106"/>
      <c r="I172" s="37">
        <f>2.65+2.25</f>
        <v>4.9000000000000004</v>
      </c>
      <c r="J172" s="36"/>
    </row>
    <row r="173" spans="1:14" s="37" customFormat="1" ht="15.75" customHeight="1" x14ac:dyDescent="0.25">
      <c r="A173" s="91">
        <f t="shared" si="18"/>
        <v>3</v>
      </c>
      <c r="B173" s="92"/>
      <c r="C173" s="42" t="s">
        <v>239</v>
      </c>
      <c r="D173" s="58">
        <f>(41.58+2.75+(3.3*0.75))*10.764</f>
        <v>503.80901999999998</v>
      </c>
      <c r="E173" s="58">
        <f>(1.68*2.51+1*2.55+1.07*2.73)*10.764</f>
        <v>104.28055559999999</v>
      </c>
      <c r="F173" s="42">
        <f t="shared" si="17"/>
        <v>807.85380780000003</v>
      </c>
      <c r="G173" s="105"/>
      <c r="H173" s="106"/>
      <c r="I173" s="37">
        <f>1.68*2.51</f>
        <v>4.2167999999999992</v>
      </c>
      <c r="J173" s="36"/>
    </row>
    <row r="174" spans="1:14" s="37" customFormat="1" ht="15.75" customHeight="1" x14ac:dyDescent="0.25">
      <c r="A174" s="91">
        <f t="shared" si="18"/>
        <v>4</v>
      </c>
      <c r="B174" s="92"/>
      <c r="C174" s="42" t="s">
        <v>239</v>
      </c>
      <c r="D174" s="58">
        <f>(44.25)*10.764</f>
        <v>476.30699999999996</v>
      </c>
      <c r="E174" s="58">
        <f>(2.41*8.74+2.33*5.16)*10.764</f>
        <v>356.13985680000002</v>
      </c>
      <c r="F174" s="42">
        <f t="shared" si="17"/>
        <v>803.4954641999999</v>
      </c>
      <c r="G174" s="105"/>
      <c r="H174" s="106"/>
      <c r="I174" s="36">
        <f>(1.2+2.4)*2.55+(2.4+2.7)*2+0.9*2.9+2.9*1.6+2.6*0.9+(5*1.6)/2</f>
        <v>32.97</v>
      </c>
      <c r="J174" s="36">
        <f>2.41*8.74+2.3*5.16</f>
        <v>32.931399999999996</v>
      </c>
      <c r="L174" s="102"/>
      <c r="M174" s="102"/>
      <c r="N174" s="36"/>
    </row>
    <row r="175" spans="1:14" s="37" customFormat="1" ht="15.75" customHeight="1" x14ac:dyDescent="0.25">
      <c r="A175" s="91">
        <v>5</v>
      </c>
      <c r="B175" s="92"/>
      <c r="C175" s="42" t="s">
        <v>239</v>
      </c>
      <c r="D175" s="58">
        <f>(43.02+6.4)*10.764</f>
        <v>531.95687999999996</v>
      </c>
      <c r="E175" s="58">
        <f>(1.66*2.87)*10.764</f>
        <v>51.281848799999992</v>
      </c>
      <c r="F175" s="42">
        <f t="shared" si="17"/>
        <v>849.21716879999997</v>
      </c>
      <c r="G175" s="105"/>
      <c r="H175" s="106"/>
      <c r="I175" s="62">
        <f>2.75*1.17+2.65*1.2</f>
        <v>6.3974999999999991</v>
      </c>
      <c r="J175" s="36"/>
      <c r="L175" s="102"/>
      <c r="M175" s="102"/>
      <c r="N175" s="36"/>
    </row>
    <row r="176" spans="1:14" s="37" customFormat="1" ht="15.75" customHeight="1" x14ac:dyDescent="0.25">
      <c r="A176" s="91">
        <f t="shared" ref="A176:A177" si="19">A175+1</f>
        <v>6</v>
      </c>
      <c r="B176" s="92"/>
      <c r="C176" s="42" t="s">
        <v>238</v>
      </c>
      <c r="D176" s="58">
        <f>(31.97+(2.4*0.75))*10.764</f>
        <v>363.50027999999992</v>
      </c>
      <c r="E176" s="58">
        <f>(2.7*1.85)*10.764</f>
        <v>53.766180000000006</v>
      </c>
      <c r="F176" s="42">
        <f t="shared" si="17"/>
        <v>599.01659999999981</v>
      </c>
      <c r="G176" s="105"/>
      <c r="H176" s="106"/>
      <c r="I176" s="36"/>
      <c r="J176" s="36"/>
      <c r="L176" s="102"/>
      <c r="M176" s="102"/>
      <c r="N176" s="36"/>
    </row>
    <row r="177" spans="1:14" s="37" customFormat="1" ht="15.75" customHeight="1" x14ac:dyDescent="0.25">
      <c r="A177" s="91">
        <f t="shared" si="19"/>
        <v>7</v>
      </c>
      <c r="B177" s="92"/>
      <c r="C177" s="42" t="s">
        <v>238</v>
      </c>
      <c r="D177" s="58">
        <f>(33.38+(3.4*0.75))*10.764</f>
        <v>386.75051999999999</v>
      </c>
      <c r="E177" s="58">
        <v>0</v>
      </c>
      <c r="F177" s="42">
        <f t="shared" si="17"/>
        <v>580.12577999999996</v>
      </c>
      <c r="G177" s="105"/>
      <c r="H177" s="106"/>
      <c r="I177" s="36"/>
      <c r="J177" s="36"/>
      <c r="L177" s="102"/>
      <c r="M177" s="102"/>
      <c r="N177" s="36"/>
    </row>
    <row r="178" spans="1:14" s="37" customFormat="1" ht="15.75" customHeight="1" x14ac:dyDescent="0.25">
      <c r="A178" s="93" t="s">
        <v>277</v>
      </c>
      <c r="B178" s="94"/>
      <c r="C178" s="94"/>
      <c r="D178" s="94"/>
      <c r="E178" s="94"/>
      <c r="F178" s="94"/>
      <c r="G178" s="94"/>
      <c r="H178" s="95"/>
      <c r="I178" s="36"/>
      <c r="N178" s="36"/>
    </row>
    <row r="179" spans="1:14" s="37" customFormat="1" ht="15.75" customHeight="1" x14ac:dyDescent="0.25">
      <c r="A179" s="91">
        <v>1</v>
      </c>
      <c r="B179" s="92"/>
      <c r="C179" s="42" t="s">
        <v>238</v>
      </c>
      <c r="D179" s="58">
        <f>(33.71+0.75*(2.85))*10.764</f>
        <v>385.86249000000004</v>
      </c>
      <c r="E179" s="58">
        <f>(2.6*1.5)*10.764</f>
        <v>41.979599999999998</v>
      </c>
      <c r="F179" s="42">
        <f t="shared" ref="F179:F185" si="20">D179*(($F$168)+1)+(IF(E179&lt;101,E179,IF(E179&lt;201,E179/2,IF(E179&lt;=301,E179/3,E179/4))))</f>
        <v>620.77333500000009</v>
      </c>
      <c r="G179" s="103" t="str">
        <f>A178</f>
        <v>3rd, 5th, 9th &amp; 11th Floor</v>
      </c>
      <c r="H179" s="104"/>
      <c r="I179" s="36"/>
      <c r="N179" s="36"/>
    </row>
    <row r="180" spans="1:14" s="37" customFormat="1" ht="15.75" customHeight="1" x14ac:dyDescent="0.25">
      <c r="A180" s="91">
        <f t="shared" ref="A180:A182" si="21">A179+1</f>
        <v>2</v>
      </c>
      <c r="B180" s="92"/>
      <c r="C180" s="42" t="s">
        <v>238</v>
      </c>
      <c r="D180" s="58">
        <f>(31.43+4.9+(2.7*0.75))*10.764</f>
        <v>412.85321999999996</v>
      </c>
      <c r="E180" s="58">
        <v>0</v>
      </c>
      <c r="F180" s="42">
        <f t="shared" si="20"/>
        <v>619.27982999999995</v>
      </c>
      <c r="G180" s="105"/>
      <c r="H180" s="106"/>
      <c r="I180" s="36"/>
      <c r="N180" s="36"/>
    </row>
    <row r="181" spans="1:14" s="37" customFormat="1" ht="15.75" customHeight="1" x14ac:dyDescent="0.25">
      <c r="A181" s="91">
        <f t="shared" si="21"/>
        <v>3</v>
      </c>
      <c r="B181" s="92"/>
      <c r="C181" s="42" t="s">
        <v>239</v>
      </c>
      <c r="D181" s="58">
        <f>(41.58+2.75+(2.6*0.75+0.75*3.2))*10.764</f>
        <v>523.99151999999992</v>
      </c>
      <c r="E181" s="58">
        <f>(1.5*2.65)*10.764</f>
        <v>42.786899999999996</v>
      </c>
      <c r="F181" s="42">
        <f t="shared" si="20"/>
        <v>828.77417999999977</v>
      </c>
      <c r="G181" s="105"/>
      <c r="H181" s="106"/>
      <c r="I181" s="36">
        <f>2.6*0.75+3.2*0.75</f>
        <v>4.3500000000000005</v>
      </c>
      <c r="J181" s="37">
        <f>3.3*3.15</f>
        <v>10.395</v>
      </c>
      <c r="N181" s="36"/>
    </row>
    <row r="182" spans="1:14" s="37" customFormat="1" ht="15.75" customHeight="1" x14ac:dyDescent="0.25">
      <c r="A182" s="91">
        <f t="shared" si="21"/>
        <v>4</v>
      </c>
      <c r="B182" s="92"/>
      <c r="C182" s="42" t="s">
        <v>239</v>
      </c>
      <c r="D182" s="58">
        <f>(44.25+0.75*(2.1+2.2))*10.764</f>
        <v>511.02089999999998</v>
      </c>
      <c r="E182" s="58">
        <f>(2.65*1.5)*10.764</f>
        <v>42.786899999999996</v>
      </c>
      <c r="F182" s="42">
        <f t="shared" si="20"/>
        <v>809.31824999999992</v>
      </c>
      <c r="G182" s="105"/>
      <c r="H182" s="106"/>
      <c r="I182" s="36"/>
    </row>
    <row r="183" spans="1:14" s="37" customFormat="1" x14ac:dyDescent="0.25">
      <c r="A183" s="91">
        <v>5</v>
      </c>
      <c r="B183" s="92"/>
      <c r="C183" s="42" t="s">
        <v>239</v>
      </c>
      <c r="D183" s="58">
        <f>(43.02+6.58)*10.764</f>
        <v>533.89440000000002</v>
      </c>
      <c r="E183" s="58">
        <f>(2.55*1.5)*10.764</f>
        <v>41.172299999999993</v>
      </c>
      <c r="F183" s="42">
        <f t="shared" si="20"/>
        <v>842.01389999999992</v>
      </c>
      <c r="G183" s="105"/>
      <c r="H183" s="106"/>
      <c r="I183" s="36"/>
    </row>
    <row r="184" spans="1:14" s="37" customFormat="1" x14ac:dyDescent="0.25">
      <c r="A184" s="91">
        <f t="shared" ref="A184:A185" si="22">A183+1</f>
        <v>6</v>
      </c>
      <c r="B184" s="92"/>
      <c r="C184" s="42" t="s">
        <v>238</v>
      </c>
      <c r="D184" s="58">
        <f>(31.97+(2.7*0.75))*10.764</f>
        <v>365.92217999999997</v>
      </c>
      <c r="E184" s="58">
        <f>(2.5*1.5)*10.764</f>
        <v>40.364999999999995</v>
      </c>
      <c r="F184" s="42">
        <f t="shared" si="20"/>
        <v>589.24826999999993</v>
      </c>
      <c r="G184" s="105"/>
      <c r="H184" s="106"/>
      <c r="I184" s="36"/>
    </row>
    <row r="185" spans="1:14" s="37" customFormat="1" ht="15.75" customHeight="1" x14ac:dyDescent="0.25">
      <c r="A185" s="91">
        <f t="shared" si="22"/>
        <v>7</v>
      </c>
      <c r="B185" s="92"/>
      <c r="C185" s="42" t="s">
        <v>238</v>
      </c>
      <c r="D185" s="58">
        <f>(33.38)*10.764</f>
        <v>359.30232000000001</v>
      </c>
      <c r="E185" s="58">
        <f>(3.65*1.5)*10.764</f>
        <v>58.932899999999989</v>
      </c>
      <c r="F185" s="42">
        <f t="shared" si="20"/>
        <v>597.88638000000003</v>
      </c>
      <c r="G185" s="105"/>
      <c r="H185" s="106"/>
      <c r="I185" s="36"/>
    </row>
    <row r="186" spans="1:14" s="37" customFormat="1" ht="15.75" customHeight="1" x14ac:dyDescent="0.25">
      <c r="A186" s="93" t="s">
        <v>278</v>
      </c>
      <c r="B186" s="94"/>
      <c r="C186" s="94"/>
      <c r="D186" s="94"/>
      <c r="E186" s="94"/>
      <c r="F186" s="94"/>
      <c r="G186" s="94"/>
      <c r="H186" s="95"/>
      <c r="I186" s="36"/>
    </row>
    <row r="187" spans="1:14" s="37" customFormat="1" ht="15.75" customHeight="1" x14ac:dyDescent="0.25">
      <c r="A187" s="91">
        <v>1</v>
      </c>
      <c r="B187" s="92"/>
      <c r="C187" s="42" t="s">
        <v>238</v>
      </c>
      <c r="D187" s="58">
        <f>(33.71+0.75*(2.4+2.85))*10.764</f>
        <v>405.23768999999999</v>
      </c>
      <c r="E187" s="58">
        <v>0</v>
      </c>
      <c r="F187" s="42">
        <f t="shared" ref="F187:F193" si="23">D187*(($F$168)+1)+(IF(E187&lt;101,E187,IF(E187&lt;201,E187/2,IF(E187&lt;=301,E187/3,E187/4))))</f>
        <v>607.85653500000001</v>
      </c>
      <c r="G187" s="103" t="str">
        <f>A186</f>
        <v>4th, 6th, 8th, 10th &amp; 12th Floor</v>
      </c>
      <c r="H187" s="104"/>
      <c r="I187" s="36"/>
    </row>
    <row r="188" spans="1:14" s="37" customFormat="1" x14ac:dyDescent="0.25">
      <c r="A188" s="91">
        <f t="shared" ref="A188:A190" si="24">A187+1</f>
        <v>2</v>
      </c>
      <c r="B188" s="92"/>
      <c r="C188" s="42" t="s">
        <v>238</v>
      </c>
      <c r="D188" s="58">
        <f>(31.43+4.8+(2.7*0.75))*10.764</f>
        <v>411.77681999999993</v>
      </c>
      <c r="E188" s="58">
        <f>(2.9*1.5)*10.764</f>
        <v>46.823399999999992</v>
      </c>
      <c r="F188" s="42">
        <f t="shared" si="23"/>
        <v>664.48862999999983</v>
      </c>
      <c r="G188" s="105"/>
      <c r="H188" s="106"/>
      <c r="I188" s="36"/>
    </row>
    <row r="189" spans="1:14" s="37" customFormat="1" x14ac:dyDescent="0.25">
      <c r="A189" s="91">
        <f t="shared" si="24"/>
        <v>3</v>
      </c>
      <c r="B189" s="92"/>
      <c r="C189" s="42" t="s">
        <v>239</v>
      </c>
      <c r="D189" s="58">
        <f>(41.58+2.85+(2.6*0.75+0.75*3.2+0.75*2.55))*10.764</f>
        <v>545.65407000000005</v>
      </c>
      <c r="E189" s="58">
        <v>0</v>
      </c>
      <c r="F189" s="42">
        <f t="shared" si="23"/>
        <v>818.48110500000007</v>
      </c>
      <c r="G189" s="105"/>
      <c r="H189" s="106"/>
      <c r="I189" s="36"/>
    </row>
    <row r="190" spans="1:14" s="37" customFormat="1" x14ac:dyDescent="0.25">
      <c r="A190" s="91">
        <f t="shared" si="24"/>
        <v>4</v>
      </c>
      <c r="B190" s="92"/>
      <c r="C190" s="42" t="s">
        <v>239</v>
      </c>
      <c r="D190" s="58">
        <f>(44.25+0.75*(2.55*2+2.2))*10.764</f>
        <v>535.23990000000003</v>
      </c>
      <c r="E190" s="58">
        <f>(1.5*2.11)*10.764</f>
        <v>34.068059999999996</v>
      </c>
      <c r="F190" s="42">
        <f t="shared" si="23"/>
        <v>836.92791</v>
      </c>
      <c r="G190" s="105"/>
      <c r="H190" s="106"/>
      <c r="I190" s="36"/>
    </row>
    <row r="191" spans="1:14" s="37" customFormat="1" x14ac:dyDescent="0.25">
      <c r="A191" s="91">
        <v>5</v>
      </c>
      <c r="B191" s="92"/>
      <c r="C191" s="42" t="s">
        <v>239</v>
      </c>
      <c r="D191" s="58">
        <f>(43.02+6.28)*10.764</f>
        <v>530.66520000000003</v>
      </c>
      <c r="E191" s="58">
        <f>(2.8*1.5)*10.764</f>
        <v>45.208799999999989</v>
      </c>
      <c r="F191" s="42">
        <f t="shared" si="23"/>
        <v>841.20660000000009</v>
      </c>
      <c r="G191" s="105"/>
      <c r="H191" s="106"/>
      <c r="I191" s="36"/>
    </row>
    <row r="192" spans="1:14" s="37" customFormat="1" x14ac:dyDescent="0.25">
      <c r="A192" s="91">
        <f t="shared" ref="A192:A193" si="25">A191+1</f>
        <v>6</v>
      </c>
      <c r="B192" s="92"/>
      <c r="C192" s="42" t="s">
        <v>238</v>
      </c>
      <c r="D192" s="58">
        <f>(31.97+(2.4*0.75))*10.764</f>
        <v>363.50027999999992</v>
      </c>
      <c r="E192" s="58">
        <f>(2.7*1.5)*10.764</f>
        <v>43.594200000000008</v>
      </c>
      <c r="F192" s="42">
        <f t="shared" si="23"/>
        <v>588.84461999999985</v>
      </c>
      <c r="G192" s="105"/>
      <c r="H192" s="106"/>
      <c r="I192" s="36"/>
    </row>
    <row r="193" spans="1:9" s="37" customFormat="1" x14ac:dyDescent="0.25">
      <c r="A193" s="91">
        <f t="shared" si="25"/>
        <v>7</v>
      </c>
      <c r="B193" s="92"/>
      <c r="C193" s="42" t="s">
        <v>238</v>
      </c>
      <c r="D193" s="58">
        <f>(33.38+(3.4*0.75))*10.764</f>
        <v>386.75051999999999</v>
      </c>
      <c r="E193" s="58">
        <v>0</v>
      </c>
      <c r="F193" s="42">
        <f t="shared" si="23"/>
        <v>580.12577999999996</v>
      </c>
      <c r="G193" s="105"/>
      <c r="H193" s="106"/>
      <c r="I193" s="36"/>
    </row>
    <row r="194" spans="1:9" s="37" customFormat="1" ht="15.75" customHeight="1" x14ac:dyDescent="0.25">
      <c r="A194" s="93" t="s">
        <v>279</v>
      </c>
      <c r="B194" s="94"/>
      <c r="C194" s="94"/>
      <c r="D194" s="94"/>
      <c r="E194" s="94"/>
      <c r="F194" s="94"/>
      <c r="G194" s="94"/>
      <c r="H194" s="95"/>
      <c r="I194" s="36"/>
    </row>
    <row r="195" spans="1:9" s="37" customFormat="1" ht="15.75" customHeight="1" x14ac:dyDescent="0.25">
      <c r="A195" s="91" t="s">
        <v>240</v>
      </c>
      <c r="B195" s="92"/>
      <c r="C195" s="91" t="s">
        <v>241</v>
      </c>
      <c r="D195" s="109"/>
      <c r="E195" s="109"/>
      <c r="F195" s="92"/>
      <c r="G195" s="103" t="str">
        <f>A194</f>
        <v>7th Floor (Part Refuge Area)</v>
      </c>
      <c r="H195" s="104"/>
      <c r="I195" s="36"/>
    </row>
    <row r="196" spans="1:9" s="37" customFormat="1" ht="15.75" customHeight="1" x14ac:dyDescent="0.25">
      <c r="A196" s="91">
        <v>1</v>
      </c>
      <c r="B196" s="92"/>
      <c r="C196" s="42" t="s">
        <v>239</v>
      </c>
      <c r="D196" s="58">
        <f>(40.48+4.9+0.75*2.7)*10.764</f>
        <v>510.2674199999999</v>
      </c>
      <c r="E196" s="58">
        <f>(2.6*1.5)*10.764</f>
        <v>41.979599999999998</v>
      </c>
      <c r="F196" s="42">
        <f t="shared" ref="F196:F201" si="26">D196*(($F$168)+1)+(IF(E196&lt;101,E196,IF(E196&lt;201,E196/2,IF(E196&lt;=301,E196/3,E196/4))))</f>
        <v>807.38072999999986</v>
      </c>
      <c r="G196" s="105"/>
      <c r="H196" s="106"/>
      <c r="I196" s="36"/>
    </row>
    <row r="197" spans="1:9" s="37" customFormat="1" ht="15.75" customHeight="1" x14ac:dyDescent="0.25">
      <c r="A197" s="91">
        <f t="shared" ref="A197:A199" si="27">A196+1</f>
        <v>2</v>
      </c>
      <c r="B197" s="92"/>
      <c r="C197" s="42" t="s">
        <v>239</v>
      </c>
      <c r="D197" s="58">
        <f>(41.58+2.75+(2.6*0.75+0.75*3.2))*10.764</f>
        <v>523.99151999999992</v>
      </c>
      <c r="E197" s="58">
        <f>(2.65*1.5)*10.764</f>
        <v>42.786899999999996</v>
      </c>
      <c r="F197" s="42">
        <f t="shared" si="26"/>
        <v>828.77417999999977</v>
      </c>
      <c r="G197" s="105"/>
      <c r="H197" s="106"/>
      <c r="I197" s="36"/>
    </row>
    <row r="198" spans="1:9" s="37" customFormat="1" ht="15.75" customHeight="1" x14ac:dyDescent="0.25">
      <c r="A198" s="91">
        <f t="shared" si="27"/>
        <v>3</v>
      </c>
      <c r="B198" s="92"/>
      <c r="C198" s="42" t="s">
        <v>239</v>
      </c>
      <c r="D198" s="58">
        <f>(44.25+0.75*(2.1+2.2))*10.764</f>
        <v>511.02089999999998</v>
      </c>
      <c r="E198" s="58">
        <f>(1.5*2.55+2.65*1.5)*10.764</f>
        <v>83.959199999999981</v>
      </c>
      <c r="F198" s="42">
        <f t="shared" si="26"/>
        <v>850.49054999999998</v>
      </c>
      <c r="G198" s="105"/>
      <c r="H198" s="106"/>
      <c r="I198" s="36"/>
    </row>
    <row r="199" spans="1:9" s="37" customFormat="1" ht="15.75" customHeight="1" x14ac:dyDescent="0.25">
      <c r="A199" s="91">
        <f t="shared" si="27"/>
        <v>4</v>
      </c>
      <c r="B199" s="92"/>
      <c r="C199" s="42" t="s">
        <v>239</v>
      </c>
      <c r="D199" s="58">
        <f>(43.02+6.46)*10.764</f>
        <v>532.60271999999998</v>
      </c>
      <c r="E199" s="58">
        <f>(2.65*1.5)*10.764</f>
        <v>42.786899999999996</v>
      </c>
      <c r="F199" s="42">
        <f t="shared" si="26"/>
        <v>841.69097999999997</v>
      </c>
      <c r="G199" s="105"/>
      <c r="H199" s="106"/>
      <c r="I199" s="36">
        <f>2.6*4.5+2.35*2.15+2.4*4.05+3.3*4.65+3.65*3.05+2.15*1.2+1.3*1.8+1.3*0.3</f>
        <v>58.260000000000005</v>
      </c>
    </row>
    <row r="200" spans="1:9" s="37" customFormat="1" ht="15.75" customHeight="1" x14ac:dyDescent="0.25">
      <c r="A200" s="91">
        <v>5</v>
      </c>
      <c r="B200" s="92"/>
      <c r="C200" s="42" t="s">
        <v>238</v>
      </c>
      <c r="D200" s="58">
        <f>(31.97+(2.7*0.75))*10.764</f>
        <v>365.92217999999997</v>
      </c>
      <c r="E200" s="58">
        <f>(2.5*1.5)*10.764</f>
        <v>40.364999999999995</v>
      </c>
      <c r="F200" s="42">
        <f t="shared" si="26"/>
        <v>589.24826999999993</v>
      </c>
      <c r="G200" s="105"/>
      <c r="H200" s="106"/>
      <c r="I200" s="36"/>
    </row>
    <row r="201" spans="1:9" s="35" customFormat="1" x14ac:dyDescent="0.25">
      <c r="A201" s="91">
        <f t="shared" ref="A201" si="28">A200+1</f>
        <v>6</v>
      </c>
      <c r="B201" s="92"/>
      <c r="C201" s="42" t="s">
        <v>238</v>
      </c>
      <c r="D201" s="58">
        <f>(33.38)*10.764</f>
        <v>359.30232000000001</v>
      </c>
      <c r="E201" s="58">
        <f>(3.65*1.5)*10.764</f>
        <v>58.932899999999989</v>
      </c>
      <c r="F201" s="42">
        <f t="shared" si="26"/>
        <v>597.88638000000003</v>
      </c>
      <c r="G201" s="107"/>
      <c r="H201" s="108"/>
    </row>
    <row r="202" spans="1:9" s="35" customFormat="1" ht="15.75" customHeight="1" x14ac:dyDescent="0.25">
      <c r="A202" s="93" t="s">
        <v>280</v>
      </c>
      <c r="B202" s="94"/>
      <c r="C202" s="94"/>
      <c r="D202" s="94"/>
      <c r="E202" s="94"/>
      <c r="F202" s="94"/>
      <c r="G202" s="94"/>
      <c r="H202" s="95"/>
    </row>
    <row r="203" spans="1:9" s="35" customFormat="1" ht="15.75" customHeight="1" x14ac:dyDescent="0.25">
      <c r="A203" s="91" t="s">
        <v>240</v>
      </c>
      <c r="B203" s="92"/>
      <c r="C203" s="91" t="s">
        <v>241</v>
      </c>
      <c r="D203" s="109"/>
      <c r="E203" s="109"/>
      <c r="F203" s="92"/>
      <c r="G203" s="103" t="str">
        <f>A202</f>
        <v>13th Floor (Part Refuge Area)</v>
      </c>
      <c r="H203" s="104"/>
    </row>
    <row r="204" spans="1:9" s="35" customFormat="1" x14ac:dyDescent="0.25">
      <c r="A204" s="91">
        <v>1</v>
      </c>
      <c r="B204" s="92"/>
      <c r="C204" s="42" t="s">
        <v>239</v>
      </c>
      <c r="D204" s="58">
        <f>(35.4+7.74)*10.764</f>
        <v>464.35895999999997</v>
      </c>
      <c r="E204" s="58">
        <v>0</v>
      </c>
      <c r="F204" s="42">
        <f t="shared" ref="F204:F209" si="29">D204*(($F$168)+1)+(IF(E204&lt;101,E204,IF(E204&lt;201,E204/2,IF(E204&lt;=301,E204/3,E204/4))))</f>
        <v>696.53843999999992</v>
      </c>
      <c r="G204" s="105"/>
      <c r="H204" s="106"/>
    </row>
    <row r="205" spans="1:9" s="35" customFormat="1" x14ac:dyDescent="0.25">
      <c r="A205" s="91">
        <f t="shared" ref="A205:A207" si="30">A204+1</f>
        <v>2</v>
      </c>
      <c r="B205" s="92"/>
      <c r="C205" s="42" t="s">
        <v>239</v>
      </c>
      <c r="D205" s="58">
        <f>(39.74+3.08+(2.6*0.75+0.75*3.2+0.75*2.55))*10.764</f>
        <v>528.32402999999999</v>
      </c>
      <c r="E205" s="58">
        <v>0</v>
      </c>
      <c r="F205" s="42">
        <f t="shared" si="29"/>
        <v>792.48604499999999</v>
      </c>
      <c r="G205" s="105"/>
      <c r="H205" s="106"/>
    </row>
    <row r="206" spans="1:9" s="35" customFormat="1" x14ac:dyDescent="0.25">
      <c r="A206" s="91">
        <f t="shared" si="30"/>
        <v>3</v>
      </c>
      <c r="B206" s="92"/>
      <c r="C206" s="42" t="s">
        <v>239</v>
      </c>
      <c r="D206" s="58">
        <f>(37.15+0.75*(2.1+2.55))*10.764</f>
        <v>437.4220499999999</v>
      </c>
      <c r="E206" s="58">
        <f>(2*3.2+1.4*0.6+0.6*0.6)*10.764</f>
        <v>81.806399999999996</v>
      </c>
      <c r="F206" s="42">
        <f t="shared" si="29"/>
        <v>737.9394749999999</v>
      </c>
      <c r="G206" s="105"/>
      <c r="H206" s="106"/>
    </row>
    <row r="207" spans="1:9" s="35" customFormat="1" x14ac:dyDescent="0.25">
      <c r="A207" s="91">
        <f t="shared" si="30"/>
        <v>4</v>
      </c>
      <c r="B207" s="92"/>
      <c r="C207" s="42" t="s">
        <v>239</v>
      </c>
      <c r="D207" s="58">
        <f>(42.64+8.86)*10.764</f>
        <v>554.346</v>
      </c>
      <c r="E207" s="58">
        <v>0</v>
      </c>
      <c r="F207" s="42">
        <f t="shared" si="29"/>
        <v>831.51900000000001</v>
      </c>
      <c r="G207" s="105"/>
      <c r="H207" s="106"/>
    </row>
    <row r="208" spans="1:9" s="35" customFormat="1" x14ac:dyDescent="0.25">
      <c r="A208" s="91">
        <v>5</v>
      </c>
      <c r="B208" s="92"/>
      <c r="C208" s="42" t="s">
        <v>238</v>
      </c>
      <c r="D208" s="58">
        <f>(31.97+2.45*1.1)*10.764</f>
        <v>373.13405999999998</v>
      </c>
      <c r="E208" s="58">
        <v>0</v>
      </c>
      <c r="F208" s="42">
        <f t="shared" si="29"/>
        <v>559.70109000000002</v>
      </c>
      <c r="G208" s="105"/>
      <c r="H208" s="106"/>
    </row>
    <row r="209" spans="1:8" s="35" customFormat="1" x14ac:dyDescent="0.25">
      <c r="A209" s="91">
        <f t="shared" ref="A209" si="31">A208+1</f>
        <v>6</v>
      </c>
      <c r="B209" s="92"/>
      <c r="C209" s="42" t="s">
        <v>282</v>
      </c>
      <c r="D209" s="58">
        <f>(23.95)*10.764</f>
        <v>257.7978</v>
      </c>
      <c r="E209" s="58">
        <f>(3.55*2.78)*10.764</f>
        <v>106.22991599999997</v>
      </c>
      <c r="F209" s="42">
        <f t="shared" si="29"/>
        <v>439.81165799999997</v>
      </c>
      <c r="G209" s="107"/>
      <c r="H209" s="108"/>
    </row>
    <row r="210" spans="1:8" s="35" customFormat="1" x14ac:dyDescent="0.25">
      <c r="A210" s="93" t="s">
        <v>281</v>
      </c>
      <c r="B210" s="94"/>
      <c r="C210" s="94"/>
      <c r="D210" s="94"/>
      <c r="E210" s="94"/>
      <c r="F210" s="94"/>
      <c r="G210" s="94"/>
      <c r="H210" s="95"/>
    </row>
    <row r="211" spans="1:8" x14ac:dyDescent="0.25">
      <c r="A211" s="91">
        <v>1</v>
      </c>
      <c r="B211" s="92"/>
      <c r="C211" s="42" t="s">
        <v>282</v>
      </c>
      <c r="D211" s="58">
        <f>(25.47+2.73)*10.764</f>
        <v>303.54479999999995</v>
      </c>
      <c r="E211" s="58">
        <v>0</v>
      </c>
      <c r="F211" s="42">
        <f t="shared" ref="F211:F217" si="32">D211*(($F$168)+1)+(IF(E211&lt;101,E211,IF(E211&lt;201,E211/2,IF(E211&lt;=301,E211/3,E211/4))))</f>
        <v>455.31719999999996</v>
      </c>
      <c r="G211" s="103" t="str">
        <f>A210</f>
        <v>14th Floor</v>
      </c>
      <c r="H211" s="104"/>
    </row>
    <row r="212" spans="1:8" x14ac:dyDescent="0.25">
      <c r="A212" s="91">
        <f t="shared" ref="A212:A214" si="33">A211+1</f>
        <v>2</v>
      </c>
      <c r="B212" s="92"/>
      <c r="C212" s="42" t="s">
        <v>238</v>
      </c>
      <c r="D212" s="58">
        <f>(28.9+5.07)*10.764</f>
        <v>365.65307999999999</v>
      </c>
      <c r="E212" s="58">
        <v>0</v>
      </c>
      <c r="F212" s="42">
        <f t="shared" si="32"/>
        <v>548.47961999999995</v>
      </c>
      <c r="G212" s="105"/>
      <c r="H212" s="106"/>
    </row>
    <row r="213" spans="1:8" ht="15.75" customHeight="1" x14ac:dyDescent="0.25">
      <c r="A213" s="91">
        <f t="shared" si="33"/>
        <v>3</v>
      </c>
      <c r="B213" s="92"/>
      <c r="C213" s="42" t="s">
        <v>239</v>
      </c>
      <c r="D213" s="58">
        <f>(39.74+3.03+0.75*(2.4+2.55)+2.4*0.45)*10.764</f>
        <v>511.96274999999997</v>
      </c>
      <c r="E213" s="58">
        <v>0</v>
      </c>
      <c r="F213" s="42">
        <f t="shared" si="32"/>
        <v>767.94412499999999</v>
      </c>
      <c r="G213" s="105"/>
      <c r="H213" s="106"/>
    </row>
    <row r="214" spans="1:8" x14ac:dyDescent="0.25">
      <c r="A214" s="91">
        <f t="shared" si="33"/>
        <v>4</v>
      </c>
      <c r="B214" s="92"/>
      <c r="C214" s="42" t="s">
        <v>239</v>
      </c>
      <c r="D214" s="58">
        <f>(37.15+0.75*(2.55+2.7))*10.764</f>
        <v>442.26584999999994</v>
      </c>
      <c r="E214" s="58">
        <v>0</v>
      </c>
      <c r="F214" s="42">
        <f t="shared" si="32"/>
        <v>663.39877499999989</v>
      </c>
      <c r="G214" s="105"/>
      <c r="H214" s="106"/>
    </row>
    <row r="215" spans="1:8" x14ac:dyDescent="0.25">
      <c r="A215" s="91">
        <v>5</v>
      </c>
      <c r="B215" s="92"/>
      <c r="C215" s="42" t="s">
        <v>239</v>
      </c>
      <c r="D215" s="58">
        <f>(42.64+8.86)*10.764</f>
        <v>554.346</v>
      </c>
      <c r="E215" s="58">
        <v>0</v>
      </c>
      <c r="F215" s="42">
        <f t="shared" si="32"/>
        <v>831.51900000000001</v>
      </c>
      <c r="G215" s="105"/>
      <c r="H215" s="106"/>
    </row>
    <row r="216" spans="1:8" x14ac:dyDescent="0.25">
      <c r="A216" s="91">
        <f t="shared" ref="A216:A217" si="34">A215+1</f>
        <v>6</v>
      </c>
      <c r="B216" s="92"/>
      <c r="C216" s="42" t="s">
        <v>238</v>
      </c>
      <c r="D216" s="58">
        <f>(31.97+(2.8*0.75))*10.764</f>
        <v>366.72947999999997</v>
      </c>
      <c r="E216" s="58">
        <v>0</v>
      </c>
      <c r="F216" s="42">
        <f t="shared" si="32"/>
        <v>550.09421999999995</v>
      </c>
      <c r="G216" s="105"/>
      <c r="H216" s="106"/>
    </row>
    <row r="217" spans="1:8" x14ac:dyDescent="0.25">
      <c r="A217" s="91">
        <f t="shared" si="34"/>
        <v>7</v>
      </c>
      <c r="B217" s="92"/>
      <c r="C217" s="42" t="s">
        <v>282</v>
      </c>
      <c r="D217" s="58">
        <f>(23.86)*10.764</f>
        <v>256.82903999999996</v>
      </c>
      <c r="E217" s="58">
        <v>0</v>
      </c>
      <c r="F217" s="42">
        <f t="shared" si="32"/>
        <v>385.24355999999995</v>
      </c>
      <c r="G217" s="105"/>
      <c r="H217" s="106"/>
    </row>
    <row r="218" spans="1:8" x14ac:dyDescent="0.25">
      <c r="A218" s="93" t="s">
        <v>287</v>
      </c>
      <c r="B218" s="94"/>
      <c r="C218" s="94"/>
      <c r="D218" s="94"/>
      <c r="E218" s="94"/>
      <c r="F218" s="94"/>
      <c r="G218" s="94"/>
      <c r="H218" s="95"/>
    </row>
    <row r="219" spans="1:8" x14ac:dyDescent="0.25">
      <c r="A219" s="93" t="s">
        <v>243</v>
      </c>
      <c r="B219" s="94"/>
      <c r="C219" s="94"/>
      <c r="D219" s="94"/>
      <c r="E219" s="94"/>
      <c r="F219" s="94"/>
      <c r="G219" s="94"/>
      <c r="H219" s="95"/>
    </row>
    <row r="220" spans="1:8" x14ac:dyDescent="0.25">
      <c r="A220" s="93" t="s">
        <v>258</v>
      </c>
      <c r="B220" s="94"/>
      <c r="C220" s="94"/>
      <c r="D220" s="94"/>
      <c r="E220" s="94"/>
      <c r="F220" s="94"/>
      <c r="G220" s="94"/>
      <c r="H220" s="95"/>
    </row>
    <row r="221" spans="1:8" x14ac:dyDescent="0.25">
      <c r="A221" s="91">
        <v>1</v>
      </c>
      <c r="B221" s="92"/>
      <c r="C221" s="42" t="s">
        <v>239</v>
      </c>
      <c r="D221" s="58">
        <f>(2.6*4.5+2.35*2.15+2.4*4.05+3.3*4.65+3.65*3.05+2.15*1.2+1.3*1.8+1.3*0.3+0.75*(3.05)+2.6*1.8)*10.764</f>
        <v>702.10881000000006</v>
      </c>
      <c r="E221" s="58">
        <v>0</v>
      </c>
      <c r="F221" s="42">
        <f>D221*(($F$168)+1)+(IF(E221&lt;101,E221,IF(E221&lt;201,E221/2,IF(E221&lt;=301,E221/3,E221/4))))</f>
        <v>1053.163215</v>
      </c>
      <c r="G221" s="103" t="str">
        <f>A220</f>
        <v>1st to 7th Floor For Residential</v>
      </c>
      <c r="H221" s="104"/>
    </row>
    <row r="222" spans="1:8" x14ac:dyDescent="0.25">
      <c r="A222" s="91">
        <v>2</v>
      </c>
      <c r="B222" s="92"/>
      <c r="C222" s="42" t="s">
        <v>239</v>
      </c>
      <c r="D222" s="58">
        <f>(2.6*4.5+2.35*2.15+2.4*4.05+3.3*4.65+3.65*3.05+2.15*1.2+1.3*1.8+1.3*0.3+0.75*(3.05)+2.6*1.8)*10.764</f>
        <v>702.10881000000006</v>
      </c>
      <c r="E222" s="58">
        <v>0</v>
      </c>
      <c r="F222" s="42">
        <f>D222*(($F$168)+1)+(IF(E222&lt;101,E222,IF(E222&lt;201,E222/2,IF(E222&lt;=301,E222/3,E222/4))))</f>
        <v>1053.163215</v>
      </c>
      <c r="G222" s="107"/>
      <c r="H222" s="108"/>
    </row>
    <row r="223" spans="1:8" x14ac:dyDescent="0.25">
      <c r="A223" s="230" t="s">
        <v>66</v>
      </c>
      <c r="B223" s="230"/>
      <c r="C223" s="230"/>
      <c r="D223" s="230"/>
      <c r="E223" s="230"/>
      <c r="F223" s="230"/>
      <c r="G223" s="230"/>
      <c r="H223" s="230"/>
    </row>
    <row r="224" spans="1:8" ht="31.5" customHeight="1" x14ac:dyDescent="0.25">
      <c r="A224" s="47">
        <v>1</v>
      </c>
      <c r="B224" s="162" t="s">
        <v>303</v>
      </c>
      <c r="C224" s="163"/>
      <c r="D224" s="163"/>
      <c r="E224" s="163"/>
      <c r="F224" s="163"/>
      <c r="G224" s="163"/>
      <c r="H224" s="164"/>
    </row>
    <row r="225" spans="1:8" x14ac:dyDescent="0.25">
      <c r="A225" s="47">
        <v>2</v>
      </c>
      <c r="B225" s="162" t="str">
        <f>(IF(F167="Saleable area Loading :","We have considered Saleable area of Flats as per our Calculation.","We considered Saleable area of Flat as per Builder area Sheet."))</f>
        <v>We have considered Saleable area of Flats as per our Calculation.</v>
      </c>
      <c r="C225" s="163"/>
      <c r="D225" s="163"/>
      <c r="E225" s="163"/>
      <c r="F225" s="163"/>
      <c r="G225" s="163"/>
      <c r="H225" s="164"/>
    </row>
    <row r="226" spans="1:8" ht="15" customHeight="1" x14ac:dyDescent="0.25">
      <c r="A226" s="47">
        <v>3</v>
      </c>
      <c r="B226" s="162" t="str">
        <f>(IF(F126="Saleable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226" s="163"/>
      <c r="D226" s="163"/>
      <c r="E226" s="163"/>
      <c r="F226" s="163"/>
      <c r="G226" s="163"/>
      <c r="H226" s="164"/>
    </row>
    <row r="227" spans="1:8" x14ac:dyDescent="0.25">
      <c r="A227" s="47">
        <v>4</v>
      </c>
      <c r="B227" s="78" t="s">
        <v>120</v>
      </c>
      <c r="C227" s="79"/>
      <c r="D227" s="79"/>
      <c r="E227" s="79"/>
      <c r="F227" s="79"/>
      <c r="G227" s="79"/>
      <c r="H227" s="80"/>
    </row>
    <row r="228" spans="1:8" ht="32.25" customHeight="1" x14ac:dyDescent="0.25">
      <c r="A228" s="47">
        <v>5</v>
      </c>
      <c r="B228" s="78" t="s">
        <v>276</v>
      </c>
      <c r="C228" s="79"/>
      <c r="D228" s="79"/>
      <c r="E228" s="79"/>
      <c r="F228" s="79"/>
      <c r="G228" s="79"/>
      <c r="H228" s="80"/>
    </row>
    <row r="229" spans="1:8" x14ac:dyDescent="0.25">
      <c r="A229" s="47">
        <v>6</v>
      </c>
      <c r="B229" s="78" t="s">
        <v>149</v>
      </c>
      <c r="C229" s="79"/>
      <c r="D229" s="79"/>
      <c r="E229" s="79"/>
      <c r="F229" s="79"/>
      <c r="G229" s="79"/>
      <c r="H229" s="80"/>
    </row>
    <row r="230" spans="1:8" x14ac:dyDescent="0.25">
      <c r="A230" s="47">
        <v>7</v>
      </c>
      <c r="B230" s="78" t="s">
        <v>121</v>
      </c>
      <c r="C230" s="79"/>
      <c r="D230" s="79"/>
      <c r="E230" s="79"/>
      <c r="F230" s="79"/>
      <c r="G230" s="79"/>
      <c r="H230" s="80"/>
    </row>
    <row r="231" spans="1:8" ht="34.5" customHeight="1" x14ac:dyDescent="0.25">
      <c r="A231" s="47">
        <v>8</v>
      </c>
      <c r="B231" s="78" t="s">
        <v>150</v>
      </c>
      <c r="C231" s="79"/>
      <c r="D231" s="79"/>
      <c r="E231" s="79"/>
      <c r="F231" s="79"/>
      <c r="G231" s="79"/>
      <c r="H231" s="80"/>
    </row>
    <row r="232" spans="1:8" x14ac:dyDescent="0.25">
      <c r="A232" s="47">
        <v>9</v>
      </c>
      <c r="B232" s="78" t="s">
        <v>122</v>
      </c>
      <c r="C232" s="79"/>
      <c r="D232" s="79"/>
      <c r="E232" s="79"/>
      <c r="F232" s="79"/>
      <c r="G232" s="79"/>
      <c r="H232" s="80"/>
    </row>
    <row r="233" spans="1:8" ht="34.15" customHeight="1" x14ac:dyDescent="0.25">
      <c r="A233" s="47">
        <v>10</v>
      </c>
      <c r="B233" s="78" t="s">
        <v>288</v>
      </c>
      <c r="C233" s="79"/>
      <c r="D233" s="79"/>
      <c r="E233" s="79"/>
      <c r="F233" s="79"/>
      <c r="G233" s="79"/>
      <c r="H233" s="80"/>
    </row>
    <row r="234" spans="1:8" x14ac:dyDescent="0.25">
      <c r="A234" s="47">
        <v>11</v>
      </c>
      <c r="B234" s="78" t="s">
        <v>284</v>
      </c>
      <c r="C234" s="79"/>
      <c r="D234" s="79"/>
      <c r="E234" s="79"/>
      <c r="F234" s="79"/>
      <c r="G234" s="79"/>
      <c r="H234" s="80"/>
    </row>
    <row r="235" spans="1:8" ht="35.25" customHeight="1" x14ac:dyDescent="0.25">
      <c r="A235" s="225">
        <v>12</v>
      </c>
      <c r="B235" s="63" t="s">
        <v>263</v>
      </c>
      <c r="C235" s="63"/>
      <c r="D235" s="63" t="s">
        <v>268</v>
      </c>
      <c r="E235" s="63"/>
      <c r="F235" s="64" t="s">
        <v>299</v>
      </c>
      <c r="G235" s="66"/>
      <c r="H235" s="65"/>
    </row>
    <row r="236" spans="1:8" ht="34.5" customHeight="1" x14ac:dyDescent="0.25">
      <c r="A236" s="226"/>
      <c r="B236" s="64" t="s">
        <v>264</v>
      </c>
      <c r="C236" s="65"/>
      <c r="D236" s="63" t="s">
        <v>294</v>
      </c>
      <c r="E236" s="63"/>
      <c r="F236" s="64" t="s">
        <v>297</v>
      </c>
      <c r="G236" s="66"/>
      <c r="H236" s="65"/>
    </row>
    <row r="237" spans="1:8" x14ac:dyDescent="0.25">
      <c r="A237" s="47">
        <v>13</v>
      </c>
      <c r="B237" s="227" t="s">
        <v>298</v>
      </c>
      <c r="C237" s="228"/>
      <c r="D237" s="228"/>
      <c r="E237" s="228"/>
      <c r="F237" s="228"/>
      <c r="G237" s="228"/>
      <c r="H237" s="229"/>
    </row>
    <row r="238" spans="1:8" x14ac:dyDescent="0.25">
      <c r="A238" s="47">
        <v>14</v>
      </c>
      <c r="B238" s="227" t="s">
        <v>302</v>
      </c>
      <c r="C238" s="228"/>
      <c r="D238" s="228"/>
      <c r="E238" s="228"/>
      <c r="F238" s="228"/>
      <c r="G238" s="228"/>
      <c r="H238" s="229"/>
    </row>
    <row r="239" spans="1:8" x14ac:dyDescent="0.25">
      <c r="A239" s="132" t="s">
        <v>59</v>
      </c>
      <c r="B239" s="132"/>
      <c r="C239" s="132"/>
      <c r="D239" s="132"/>
      <c r="E239" s="132"/>
      <c r="F239" s="132"/>
      <c r="G239" s="132"/>
      <c r="H239" s="132"/>
    </row>
    <row r="240" spans="1:8" x14ac:dyDescent="0.25">
      <c r="A240" s="114" t="s">
        <v>60</v>
      </c>
      <c r="B240" s="114"/>
      <c r="C240" s="114"/>
      <c r="D240" s="114"/>
      <c r="E240" s="114"/>
      <c r="F240" s="114"/>
      <c r="G240" s="114"/>
      <c r="H240" s="114"/>
    </row>
    <row r="241" spans="1:8" x14ac:dyDescent="0.25">
      <c r="A241" s="177" t="s">
        <v>61</v>
      </c>
      <c r="B241" s="177"/>
      <c r="C241" s="177"/>
      <c r="D241" s="177"/>
      <c r="E241" s="177"/>
      <c r="F241" s="177"/>
      <c r="G241" s="177"/>
      <c r="H241" s="177"/>
    </row>
    <row r="242" spans="1:8" x14ac:dyDescent="0.25">
      <c r="A242" s="114" t="s">
        <v>62</v>
      </c>
      <c r="B242" s="114"/>
      <c r="C242" s="114"/>
      <c r="D242" s="114"/>
      <c r="E242" s="114"/>
      <c r="F242" s="114"/>
      <c r="G242" s="114"/>
      <c r="H242" s="114"/>
    </row>
    <row r="243" spans="1:8" x14ac:dyDescent="0.25">
      <c r="A243" s="114" t="s">
        <v>63</v>
      </c>
      <c r="B243" s="114"/>
      <c r="C243" s="114"/>
      <c r="D243" s="114"/>
      <c r="E243" s="114"/>
      <c r="F243" s="114"/>
      <c r="G243" s="114"/>
      <c r="H243" s="114"/>
    </row>
    <row r="244" spans="1:8" ht="13.9" hidden="1" customHeight="1" x14ac:dyDescent="0.25">
      <c r="A244" s="114" t="s">
        <v>123</v>
      </c>
      <c r="B244" s="114"/>
      <c r="C244" s="114"/>
      <c r="D244" s="114"/>
      <c r="E244" s="114"/>
      <c r="F244" s="114"/>
      <c r="G244" s="114"/>
      <c r="H244" s="114"/>
    </row>
    <row r="245" spans="1:8" hidden="1" x14ac:dyDescent="0.25">
      <c r="A245" s="119" t="s">
        <v>124</v>
      </c>
      <c r="B245" s="119"/>
      <c r="C245" s="119"/>
      <c r="D245" s="119"/>
      <c r="E245" s="119"/>
      <c r="F245" s="119"/>
      <c r="G245" s="119"/>
      <c r="H245" s="119"/>
    </row>
    <row r="246" spans="1:8" x14ac:dyDescent="0.25">
      <c r="A246" s="174" t="s">
        <v>75</v>
      </c>
      <c r="B246" s="174"/>
      <c r="C246" s="174" t="s">
        <v>304</v>
      </c>
      <c r="D246" s="174"/>
      <c r="E246" s="174" t="s">
        <v>104</v>
      </c>
      <c r="F246" s="174"/>
      <c r="G246" s="174" t="s">
        <v>305</v>
      </c>
      <c r="H246" s="174"/>
    </row>
    <row r="247" spans="1:8" x14ac:dyDescent="0.25">
      <c r="A247" s="173" t="s">
        <v>77</v>
      </c>
      <c r="B247" s="173"/>
      <c r="C247" s="173"/>
      <c r="D247" s="173"/>
      <c r="E247" s="173"/>
      <c r="F247" s="173"/>
      <c r="G247" s="173"/>
      <c r="H247" s="173"/>
    </row>
    <row r="248" spans="1:8" x14ac:dyDescent="0.25">
      <c r="A248" s="173"/>
      <c r="B248" s="173"/>
      <c r="C248" s="173"/>
      <c r="D248" s="173"/>
      <c r="E248" s="173"/>
      <c r="F248" s="173"/>
      <c r="G248" s="173"/>
      <c r="H248" s="173"/>
    </row>
    <row r="249" spans="1:8" x14ac:dyDescent="0.25">
      <c r="A249" s="173"/>
      <c r="B249" s="173"/>
      <c r="C249" s="173"/>
      <c r="D249" s="173"/>
      <c r="E249" s="173"/>
      <c r="F249" s="173"/>
      <c r="G249" s="173"/>
      <c r="H249" s="173"/>
    </row>
    <row r="250" spans="1:8" x14ac:dyDescent="0.25">
      <c r="A250" s="173"/>
      <c r="B250" s="173"/>
      <c r="C250" s="173"/>
      <c r="D250" s="173"/>
      <c r="E250" s="173"/>
      <c r="F250" s="173"/>
      <c r="G250" s="173"/>
      <c r="H250" s="173"/>
    </row>
    <row r="251" spans="1:8" x14ac:dyDescent="0.25">
      <c r="A251" s="38" t="s">
        <v>64</v>
      </c>
      <c r="B251" s="39"/>
      <c r="C251" s="39"/>
      <c r="D251" s="38" t="str">
        <f>E8</f>
        <v>Mid­Town</v>
      </c>
      <c r="F251" s="39"/>
      <c r="G251" s="39"/>
      <c r="H251" s="39"/>
    </row>
    <row r="252" spans="1:8" x14ac:dyDescent="0.25">
      <c r="A252" s="39"/>
      <c r="B252" s="39"/>
      <c r="C252" s="39"/>
      <c r="D252" s="39"/>
      <c r="E252" s="39"/>
      <c r="F252" s="39"/>
      <c r="G252" s="39"/>
      <c r="H252" s="39"/>
    </row>
    <row r="253" spans="1:8" x14ac:dyDescent="0.25">
      <c r="A253" s="39"/>
      <c r="B253" s="39"/>
      <c r="C253" s="39"/>
      <c r="D253" s="39"/>
      <c r="E253" s="39"/>
      <c r="F253" s="39"/>
      <c r="G253" s="39"/>
      <c r="H253" s="39"/>
    </row>
    <row r="295" spans="1:1" x14ac:dyDescent="0.25">
      <c r="A295" s="41" t="s">
        <v>159</v>
      </c>
    </row>
    <row r="339" spans="1:1" x14ac:dyDescent="0.25">
      <c r="A339" s="41" t="s">
        <v>260</v>
      </c>
    </row>
    <row r="383" spans="1:1" x14ac:dyDescent="0.25">
      <c r="A383" s="41" t="s">
        <v>65</v>
      </c>
    </row>
  </sheetData>
  <mergeCells count="410">
    <mergeCell ref="B238:H238"/>
    <mergeCell ref="A181:B181"/>
    <mergeCell ref="D167:D168"/>
    <mergeCell ref="A165:B165"/>
    <mergeCell ref="G149:H165"/>
    <mergeCell ref="A178:H178"/>
    <mergeCell ref="G179:H185"/>
    <mergeCell ref="G187:H193"/>
    <mergeCell ref="A166:H166"/>
    <mergeCell ref="A170:H170"/>
    <mergeCell ref="B237:H237"/>
    <mergeCell ref="C203:F203"/>
    <mergeCell ref="A210:H210"/>
    <mergeCell ref="A211:B211"/>
    <mergeCell ref="G211:H217"/>
    <mergeCell ref="A212:B212"/>
    <mergeCell ref="A213:B213"/>
    <mergeCell ref="A214:B214"/>
    <mergeCell ref="A215:B215"/>
    <mergeCell ref="A216:B216"/>
    <mergeCell ref="A217:B217"/>
    <mergeCell ref="B231:H231"/>
    <mergeCell ref="B227:H227"/>
    <mergeCell ref="A223:H223"/>
    <mergeCell ref="G221:H222"/>
    <mergeCell ref="A222:B222"/>
    <mergeCell ref="A221:B221"/>
    <mergeCell ref="A235:A236"/>
    <mergeCell ref="B232:H232"/>
    <mergeCell ref="B229:H229"/>
    <mergeCell ref="G89:H98"/>
    <mergeCell ref="A90:B90"/>
    <mergeCell ref="A91:B91"/>
    <mergeCell ref="A92:B92"/>
    <mergeCell ref="F101:H101"/>
    <mergeCell ref="A101:E101"/>
    <mergeCell ref="D126:D127"/>
    <mergeCell ref="A103:E103"/>
    <mergeCell ref="A171:B171"/>
    <mergeCell ref="A172:B172"/>
    <mergeCell ref="A173:B173"/>
    <mergeCell ref="A218:H218"/>
    <mergeCell ref="B228:H228"/>
    <mergeCell ref="C120:D120"/>
    <mergeCell ref="E120:F120"/>
    <mergeCell ref="G120:H120"/>
    <mergeCell ref="F106:H106"/>
    <mergeCell ref="A100:E100"/>
    <mergeCell ref="A182:B182"/>
    <mergeCell ref="A154:B154"/>
    <mergeCell ref="A155:B155"/>
    <mergeCell ref="A88:B88"/>
    <mergeCell ref="A45:D45"/>
    <mergeCell ref="A82:B82"/>
    <mergeCell ref="A46:D46"/>
    <mergeCell ref="A47:H47"/>
    <mergeCell ref="D66:H66"/>
    <mergeCell ref="C73:H73"/>
    <mergeCell ref="A76:B76"/>
    <mergeCell ref="A78:B78"/>
    <mergeCell ref="E74:F74"/>
    <mergeCell ref="A67:C67"/>
    <mergeCell ref="D67:H67"/>
    <mergeCell ref="A70:C70"/>
    <mergeCell ref="D70:H70"/>
    <mergeCell ref="A68:C68"/>
    <mergeCell ref="E75:F84"/>
    <mergeCell ref="G75:H84"/>
    <mergeCell ref="A83:B83"/>
    <mergeCell ref="A84:B84"/>
    <mergeCell ref="A81:B81"/>
    <mergeCell ref="A74:B74"/>
    <mergeCell ref="A202:H202"/>
    <mergeCell ref="G203:H209"/>
    <mergeCell ref="A204:B204"/>
    <mergeCell ref="A205:B205"/>
    <mergeCell ref="A206:B206"/>
    <mergeCell ref="A207:B207"/>
    <mergeCell ref="A208:B208"/>
    <mergeCell ref="A209:B209"/>
    <mergeCell ref="A87:B87"/>
    <mergeCell ref="C87:H87"/>
    <mergeCell ref="E88:F88"/>
    <mergeCell ref="G88:H88"/>
    <mergeCell ref="A105:E105"/>
    <mergeCell ref="F105:H105"/>
    <mergeCell ref="A106:E106"/>
    <mergeCell ref="A108:E108"/>
    <mergeCell ref="F102:H102"/>
    <mergeCell ref="A107:E107"/>
    <mergeCell ref="E89:F98"/>
    <mergeCell ref="A94:B94"/>
    <mergeCell ref="A95:B95"/>
    <mergeCell ref="F100:H100"/>
    <mergeCell ref="G115:H115"/>
    <mergeCell ref="F107:H107"/>
    <mergeCell ref="A43:D43"/>
    <mergeCell ref="E43:H43"/>
    <mergeCell ref="E44:H44"/>
    <mergeCell ref="E45:H45"/>
    <mergeCell ref="E46:H46"/>
    <mergeCell ref="A61:C61"/>
    <mergeCell ref="G51:H51"/>
    <mergeCell ref="A53:B54"/>
    <mergeCell ref="A48:B48"/>
    <mergeCell ref="C48:H48"/>
    <mergeCell ref="A44:D44"/>
    <mergeCell ref="C51:E51"/>
    <mergeCell ref="D61:H61"/>
    <mergeCell ref="E42:H42"/>
    <mergeCell ref="A42:D42"/>
    <mergeCell ref="E26:H26"/>
    <mergeCell ref="A28:D28"/>
    <mergeCell ref="E28:H28"/>
    <mergeCell ref="A33:B33"/>
    <mergeCell ref="A32:B32"/>
    <mergeCell ref="C33:E33"/>
    <mergeCell ref="A35:B35"/>
    <mergeCell ref="C35:E35"/>
    <mergeCell ref="A30:D30"/>
    <mergeCell ref="E30:H30"/>
    <mergeCell ref="A41:D41"/>
    <mergeCell ref="E41:H41"/>
    <mergeCell ref="A40:H40"/>
    <mergeCell ref="F36:H36"/>
    <mergeCell ref="A39:B39"/>
    <mergeCell ref="C39:H39"/>
    <mergeCell ref="A24:D24"/>
    <mergeCell ref="E24:H24"/>
    <mergeCell ref="A37:H37"/>
    <mergeCell ref="A36:B36"/>
    <mergeCell ref="C36:E36"/>
    <mergeCell ref="A38:B38"/>
    <mergeCell ref="C38:H38"/>
    <mergeCell ref="A34:B34"/>
    <mergeCell ref="C34:E34"/>
    <mergeCell ref="F34:H34"/>
    <mergeCell ref="A25:D25"/>
    <mergeCell ref="E25:H25"/>
    <mergeCell ref="A29:D29"/>
    <mergeCell ref="E29:H29"/>
    <mergeCell ref="A26:D26"/>
    <mergeCell ref="A31:D31"/>
    <mergeCell ref="E31:H31"/>
    <mergeCell ref="A27:D27"/>
    <mergeCell ref="E27:H27"/>
    <mergeCell ref="C32:E32"/>
    <mergeCell ref="F35:H35"/>
    <mergeCell ref="F32:H32"/>
    <mergeCell ref="F33:H33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77:B77"/>
    <mergeCell ref="A73:B73"/>
    <mergeCell ref="A71:B71"/>
    <mergeCell ref="C71:H71"/>
    <mergeCell ref="A79:B79"/>
    <mergeCell ref="A66:C66"/>
    <mergeCell ref="D63:H63"/>
    <mergeCell ref="A64:C64"/>
    <mergeCell ref="A65:C65"/>
    <mergeCell ref="D64:H64"/>
    <mergeCell ref="D65:H65"/>
    <mergeCell ref="A247:H250"/>
    <mergeCell ref="A246:B246"/>
    <mergeCell ref="E246:F246"/>
    <mergeCell ref="C246:D246"/>
    <mergeCell ref="G246:H246"/>
    <mergeCell ref="A113:H113"/>
    <mergeCell ref="A111:E111"/>
    <mergeCell ref="F111:H111"/>
    <mergeCell ref="A112:E112"/>
    <mergeCell ref="F112:H112"/>
    <mergeCell ref="A120:B120"/>
    <mergeCell ref="A242:H242"/>
    <mergeCell ref="A118:H118"/>
    <mergeCell ref="A245:H245"/>
    <mergeCell ref="A243:H243"/>
    <mergeCell ref="A239:H239"/>
    <mergeCell ref="G119:H119"/>
    <mergeCell ref="A187:B187"/>
    <mergeCell ref="C126:C127"/>
    <mergeCell ref="B167:B168"/>
    <mergeCell ref="A175:B175"/>
    <mergeCell ref="A244:H244"/>
    <mergeCell ref="A241:H241"/>
    <mergeCell ref="A133:B133"/>
    <mergeCell ref="A89:B89"/>
    <mergeCell ref="A240:H240"/>
    <mergeCell ref="E119:F119"/>
    <mergeCell ref="B234:H234"/>
    <mergeCell ref="B230:H230"/>
    <mergeCell ref="B226:H226"/>
    <mergeCell ref="A203:B203"/>
    <mergeCell ref="A124:H124"/>
    <mergeCell ref="B224:H224"/>
    <mergeCell ref="B225:H225"/>
    <mergeCell ref="A189:B189"/>
    <mergeCell ref="A167:A168"/>
    <mergeCell ref="B126:B127"/>
    <mergeCell ref="A126:A127"/>
    <mergeCell ref="C167:C168"/>
    <mergeCell ref="A134:B134"/>
    <mergeCell ref="A121:B121"/>
    <mergeCell ref="C121:D121"/>
    <mergeCell ref="E121:F121"/>
    <mergeCell ref="G121:H121"/>
    <mergeCell ref="A174:B174"/>
    <mergeCell ref="A169:H169"/>
    <mergeCell ref="A93:B93"/>
    <mergeCell ref="A98:B98"/>
    <mergeCell ref="A96:B96"/>
    <mergeCell ref="A97:B97"/>
    <mergeCell ref="A102:E102"/>
    <mergeCell ref="A99:E99"/>
    <mergeCell ref="F103:H103"/>
    <mergeCell ref="A123:B123"/>
    <mergeCell ref="C123:D123"/>
    <mergeCell ref="E123:F123"/>
    <mergeCell ref="G123:H123"/>
    <mergeCell ref="F99:H99"/>
    <mergeCell ref="F104:H104"/>
    <mergeCell ref="G122:H122"/>
    <mergeCell ref="C116:D116"/>
    <mergeCell ref="E116:F116"/>
    <mergeCell ref="A104:E104"/>
    <mergeCell ref="A122:B122"/>
    <mergeCell ref="E122:F122"/>
    <mergeCell ref="A115:A116"/>
    <mergeCell ref="E115:F115"/>
    <mergeCell ref="A110:E110"/>
    <mergeCell ref="A119:B119"/>
    <mergeCell ref="G131:H147"/>
    <mergeCell ref="A135:B135"/>
    <mergeCell ref="A136:B136"/>
    <mergeCell ref="A137:B137"/>
    <mergeCell ref="A138:B138"/>
    <mergeCell ref="A139:B139"/>
    <mergeCell ref="C114:D114"/>
    <mergeCell ref="C122:D122"/>
    <mergeCell ref="A141:B141"/>
    <mergeCell ref="A142:B142"/>
    <mergeCell ref="A85:B85"/>
    <mergeCell ref="C85:H85"/>
    <mergeCell ref="A80:B80"/>
    <mergeCell ref="A49:B49"/>
    <mergeCell ref="C49:E49"/>
    <mergeCell ref="G49:H49"/>
    <mergeCell ref="G53:H53"/>
    <mergeCell ref="A51:B51"/>
    <mergeCell ref="A58:H58"/>
    <mergeCell ref="A59:C59"/>
    <mergeCell ref="A60:C60"/>
    <mergeCell ref="D60:H60"/>
    <mergeCell ref="G57:H57"/>
    <mergeCell ref="D69:H69"/>
    <mergeCell ref="A75:B75"/>
    <mergeCell ref="G74:H74"/>
    <mergeCell ref="C53:E53"/>
    <mergeCell ref="A62:C63"/>
    <mergeCell ref="D62:H62"/>
    <mergeCell ref="A50:B50"/>
    <mergeCell ref="C50:E50"/>
    <mergeCell ref="G50:H50"/>
    <mergeCell ref="A52:B52"/>
    <mergeCell ref="C52:E52"/>
    <mergeCell ref="I14:P14"/>
    <mergeCell ref="F110:H110"/>
    <mergeCell ref="F108:H108"/>
    <mergeCell ref="A185:B185"/>
    <mergeCell ref="A125:H125"/>
    <mergeCell ref="G114:H114"/>
    <mergeCell ref="A109:E109"/>
    <mergeCell ref="A57:B57"/>
    <mergeCell ref="C57:E57"/>
    <mergeCell ref="D59:H59"/>
    <mergeCell ref="F109:H109"/>
    <mergeCell ref="E114:F114"/>
    <mergeCell ref="A114:B114"/>
    <mergeCell ref="C119:D119"/>
    <mergeCell ref="D68:H68"/>
    <mergeCell ref="A69:C69"/>
    <mergeCell ref="C54:H54"/>
    <mergeCell ref="A128:H128"/>
    <mergeCell ref="A130:H130"/>
    <mergeCell ref="A131:B131"/>
    <mergeCell ref="A132:B132"/>
    <mergeCell ref="L175:M175"/>
    <mergeCell ref="A177:B177"/>
    <mergeCell ref="L176:M176"/>
    <mergeCell ref="A199:B199"/>
    <mergeCell ref="A200:B200"/>
    <mergeCell ref="A201:B201"/>
    <mergeCell ref="A195:B195"/>
    <mergeCell ref="G195:H201"/>
    <mergeCell ref="C195:F195"/>
    <mergeCell ref="A162:B162"/>
    <mergeCell ref="A163:B163"/>
    <mergeCell ref="A164:B164"/>
    <mergeCell ref="A179:B179"/>
    <mergeCell ref="A180:B180"/>
    <mergeCell ref="G171:H177"/>
    <mergeCell ref="A194:H194"/>
    <mergeCell ref="A196:B196"/>
    <mergeCell ref="A197:B197"/>
    <mergeCell ref="A198:B198"/>
    <mergeCell ref="E167:E168"/>
    <mergeCell ref="G167:H168"/>
    <mergeCell ref="A184:B184"/>
    <mergeCell ref="A183:B183"/>
    <mergeCell ref="A192:B192"/>
    <mergeCell ref="A193:B193"/>
    <mergeCell ref="A190:B190"/>
    <mergeCell ref="A191:B191"/>
    <mergeCell ref="L138:M138"/>
    <mergeCell ref="A140:B140"/>
    <mergeCell ref="L139:M139"/>
    <mergeCell ref="A148:H148"/>
    <mergeCell ref="A149:B149"/>
    <mergeCell ref="A150:B150"/>
    <mergeCell ref="A151:B151"/>
    <mergeCell ref="A152:B152"/>
    <mergeCell ref="A186:H186"/>
    <mergeCell ref="L177:M177"/>
    <mergeCell ref="L174:M174"/>
    <mergeCell ref="A176:B176"/>
    <mergeCell ref="A143:B143"/>
    <mergeCell ref="A144:B144"/>
    <mergeCell ref="A145:B145"/>
    <mergeCell ref="A146:B146"/>
    <mergeCell ref="A147:B147"/>
    <mergeCell ref="A153:B153"/>
    <mergeCell ref="A157:B157"/>
    <mergeCell ref="A158:B158"/>
    <mergeCell ref="A159:B159"/>
    <mergeCell ref="A160:B160"/>
    <mergeCell ref="A161:B161"/>
    <mergeCell ref="A156:B156"/>
    <mergeCell ref="B235:C235"/>
    <mergeCell ref="B236:C236"/>
    <mergeCell ref="D235:E235"/>
    <mergeCell ref="D236:E236"/>
    <mergeCell ref="F235:H235"/>
    <mergeCell ref="F236:H236"/>
    <mergeCell ref="G52:H52"/>
    <mergeCell ref="A55:B56"/>
    <mergeCell ref="C55:E55"/>
    <mergeCell ref="G55:H55"/>
    <mergeCell ref="C56:H56"/>
    <mergeCell ref="B233:H233"/>
    <mergeCell ref="G116:H116"/>
    <mergeCell ref="A117:B117"/>
    <mergeCell ref="C117:D117"/>
    <mergeCell ref="E117:F117"/>
    <mergeCell ref="G117:H117"/>
    <mergeCell ref="C115:D115"/>
    <mergeCell ref="A188:B188"/>
    <mergeCell ref="A219:H219"/>
    <mergeCell ref="A220:H220"/>
    <mergeCell ref="A129:H129"/>
    <mergeCell ref="E126:E127"/>
    <mergeCell ref="G126:H127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126:E127">
      <formula1>"Attached Loft area,Attached Terrace area,Attached Mezzanine area &amp; Arch. Proj."</formula1>
    </dataValidation>
    <dataValidation type="list" allowBlank="1" showInputMessage="1" showErrorMessage="1" sqref="F127 F168">
      <formula1>"45%,50%,55%,60%"</formula1>
    </dataValidation>
    <dataValidation type="list" allowBlank="1" showInputMessage="1" showErrorMessage="1" sqref="G246:H246">
      <formula1>"Kunal Kadam,Pranita Mhatre,Shruti Fule,Pooja Kawale,Mansee Mohite,Anjali Kamble, Hitakshi Mhatre, Sachin Sawant"</formula1>
    </dataValidation>
    <dataValidation type="list" allowBlank="1" showInputMessage="1" showErrorMessage="1" sqref="F99:H99">
      <formula1>"On Saleable Area,On Builtup Area,On Carpet Area,On Plot Area"</formula1>
    </dataValidation>
    <dataValidation type="list" allowBlank="1" showInputMessage="1" showErrorMessage="1" sqref="F111:H111">
      <formula1>"100000,150000,200000,250000,300000,350000,400000,500000,600000,700000,800000,900000,1000000,1200000,1400000,1500000"</formula1>
    </dataValidation>
    <dataValidation type="list" allowBlank="1" showInputMessage="1" showErrorMessage="1" sqref="F126 F167">
      <formula1>"Saleable area Loading :,Builder Saleable area"</formula1>
    </dataValidation>
    <dataValidation type="list" allowBlank="1" showInputMessage="1" showErrorMessage="1" sqref="B126:B127">
      <formula1>"Shop No. (Sale Plan),Sale / Rehab,Sale / Mhada"</formula1>
    </dataValidation>
    <dataValidation type="list" allowBlank="1" showInputMessage="1" showErrorMessage="1" sqref="B167:B168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93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70" max="7" man="1"/>
    <brk id="250" max="7" man="1"/>
    <brk id="294" max="7" man="1"/>
    <brk id="338" max="7" man="1"/>
    <brk id="382" max="7" man="1"/>
  </rowBreaks>
  <ignoredErrors>
    <ignoredError sqref="F152 F151 B148:H148 A152:C152 A150:C151 A132:C140 A149:C149 F140 F149:G149 F132 F133 F134 F135 F136 F137 F138 F139 F150" unlockedFormula="1"/>
  </ignoredError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28515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1" t="s">
        <v>105</v>
      </c>
      <c r="C3" s="231"/>
      <c r="D3" s="231"/>
      <c r="E3" s="231"/>
      <c r="F3" s="231"/>
      <c r="G3" s="231"/>
      <c r="H3" s="231"/>
    </row>
    <row r="4" spans="1:9" x14ac:dyDescent="0.25">
      <c r="A4" s="2"/>
      <c r="B4" s="3" t="s">
        <v>106</v>
      </c>
      <c r="C4" s="3" t="s">
        <v>107</v>
      </c>
      <c r="D4" s="3" t="s">
        <v>67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2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5" x14ac:dyDescent="0.25"/>
  <cols>
    <col min="4" max="4" width="11" bestFit="1" customWidth="1"/>
    <col min="5" max="5" width="10.42578125" bestFit="1" customWidth="1"/>
    <col min="8" max="8" width="10.5703125" bestFit="1" customWidth="1"/>
  </cols>
  <sheetData>
    <row r="3" spans="2:11" x14ac:dyDescent="0.25">
      <c r="J3">
        <v>1</v>
      </c>
      <c r="K3">
        <v>2</v>
      </c>
    </row>
    <row r="4" spans="2:11" x14ac:dyDescent="0.25">
      <c r="B4" s="55"/>
      <c r="C4" s="55" t="s">
        <v>12</v>
      </c>
      <c r="D4" s="56" t="s">
        <v>173</v>
      </c>
      <c r="E4" s="56" t="s">
        <v>183</v>
      </c>
      <c r="F4" s="56" t="s">
        <v>167</v>
      </c>
      <c r="G4" s="56" t="s">
        <v>188</v>
      </c>
      <c r="H4" s="56" t="s">
        <v>206</v>
      </c>
      <c r="J4" t="s">
        <v>188</v>
      </c>
      <c r="K4" t="s">
        <v>204</v>
      </c>
    </row>
    <row r="5" spans="2:11" x14ac:dyDescent="0.25">
      <c r="B5" s="55"/>
      <c r="C5" s="55"/>
      <c r="D5" s="56" t="s">
        <v>174</v>
      </c>
      <c r="E5" s="56" t="s">
        <v>181</v>
      </c>
      <c r="F5" s="56" t="s">
        <v>203</v>
      </c>
      <c r="G5" s="56" t="s">
        <v>189</v>
      </c>
      <c r="H5" s="56" t="s">
        <v>207</v>
      </c>
    </row>
    <row r="6" spans="2:11" x14ac:dyDescent="0.25">
      <c r="B6" s="55"/>
      <c r="C6" s="55"/>
      <c r="D6" s="56" t="s">
        <v>175</v>
      </c>
      <c r="E6" s="56" t="s">
        <v>182</v>
      </c>
      <c r="F6" s="56" t="s">
        <v>204</v>
      </c>
      <c r="G6" s="56" t="s">
        <v>190</v>
      </c>
      <c r="H6" s="56" t="s">
        <v>220</v>
      </c>
    </row>
    <row r="7" spans="2:11" x14ac:dyDescent="0.25">
      <c r="B7" s="55"/>
      <c r="C7" s="55"/>
      <c r="D7" s="56" t="s">
        <v>176</v>
      </c>
      <c r="E7" s="56" t="s">
        <v>184</v>
      </c>
      <c r="F7" s="56" t="s">
        <v>205</v>
      </c>
      <c r="G7" s="56" t="s">
        <v>191</v>
      </c>
      <c r="H7" s="56" t="s">
        <v>208</v>
      </c>
    </row>
    <row r="8" spans="2:11" x14ac:dyDescent="0.25">
      <c r="B8" s="55"/>
      <c r="C8" s="55"/>
      <c r="D8" s="56" t="s">
        <v>177</v>
      </c>
      <c r="E8" s="56" t="s">
        <v>185</v>
      </c>
      <c r="F8" s="56"/>
      <c r="G8" s="56" t="s">
        <v>192</v>
      </c>
      <c r="H8" s="56" t="s">
        <v>209</v>
      </c>
    </row>
    <row r="9" spans="2:11" x14ac:dyDescent="0.25">
      <c r="B9" s="55"/>
      <c r="C9" s="55"/>
      <c r="D9" s="56" t="s">
        <v>178</v>
      </c>
      <c r="E9" s="56" t="s">
        <v>183</v>
      </c>
      <c r="F9" s="56"/>
      <c r="G9" s="56" t="s">
        <v>193</v>
      </c>
      <c r="H9" s="56" t="s">
        <v>210</v>
      </c>
    </row>
    <row r="10" spans="2:11" x14ac:dyDescent="0.25">
      <c r="B10" s="55"/>
      <c r="C10" s="55"/>
      <c r="D10" s="56" t="s">
        <v>179</v>
      </c>
      <c r="E10" s="56" t="s">
        <v>186</v>
      </c>
      <c r="F10" s="56"/>
      <c r="G10" s="56" t="s">
        <v>194</v>
      </c>
      <c r="H10" s="56" t="s">
        <v>211</v>
      </c>
    </row>
    <row r="11" spans="2:11" x14ac:dyDescent="0.25">
      <c r="B11" s="55"/>
      <c r="C11" s="55"/>
      <c r="D11" s="56" t="s">
        <v>180</v>
      </c>
      <c r="E11" s="56" t="s">
        <v>187</v>
      </c>
      <c r="F11" s="56"/>
      <c r="G11" s="56" t="s">
        <v>195</v>
      </c>
      <c r="H11" s="56" t="s">
        <v>212</v>
      </c>
    </row>
    <row r="12" spans="2:11" x14ac:dyDescent="0.25">
      <c r="B12" s="55"/>
      <c r="C12" s="55"/>
      <c r="D12" s="56"/>
      <c r="E12" s="56"/>
      <c r="F12" s="56"/>
      <c r="G12" s="56" t="s">
        <v>196</v>
      </c>
      <c r="H12" s="56" t="s">
        <v>213</v>
      </c>
    </row>
    <row r="13" spans="2:11" x14ac:dyDescent="0.25">
      <c r="B13" s="55"/>
      <c r="C13" s="55"/>
      <c r="D13" s="56"/>
      <c r="E13" s="56"/>
      <c r="F13" s="56"/>
      <c r="G13" s="56" t="s">
        <v>197</v>
      </c>
      <c r="H13" s="56" t="s">
        <v>214</v>
      </c>
    </row>
    <row r="14" spans="2:11" x14ac:dyDescent="0.25">
      <c r="B14" s="55"/>
      <c r="C14" s="55"/>
      <c r="D14" s="56"/>
      <c r="E14" s="56"/>
      <c r="F14" s="56"/>
      <c r="G14" s="56" t="s">
        <v>198</v>
      </c>
      <c r="H14" s="56" t="s">
        <v>215</v>
      </c>
    </row>
    <row r="15" spans="2:11" x14ac:dyDescent="0.25">
      <c r="B15" s="55"/>
      <c r="C15" s="55"/>
      <c r="D15" s="56"/>
      <c r="E15" s="56"/>
      <c r="F15" s="56"/>
      <c r="G15" s="56" t="s">
        <v>199</v>
      </c>
      <c r="H15" s="56" t="s">
        <v>216</v>
      </c>
    </row>
    <row r="16" spans="2:11" x14ac:dyDescent="0.25">
      <c r="B16" s="55"/>
      <c r="C16" s="55"/>
      <c r="D16" s="56"/>
      <c r="E16" s="56"/>
      <c r="F16" s="56"/>
      <c r="G16" s="56" t="s">
        <v>200</v>
      </c>
      <c r="H16" s="56" t="s">
        <v>217</v>
      </c>
    </row>
    <row r="17" spans="2:8" x14ac:dyDescent="0.25">
      <c r="B17" s="55"/>
      <c r="C17" s="55"/>
      <c r="D17" s="56"/>
      <c r="E17" s="56"/>
      <c r="F17" s="56"/>
      <c r="G17" s="56" t="s">
        <v>201</v>
      </c>
      <c r="H17" s="56" t="s">
        <v>218</v>
      </c>
    </row>
    <row r="18" spans="2:8" x14ac:dyDescent="0.25">
      <c r="B18" s="55"/>
      <c r="C18" s="55"/>
      <c r="D18" s="56"/>
      <c r="E18" s="56"/>
      <c r="F18" s="56"/>
      <c r="G18" s="56" t="s">
        <v>202</v>
      </c>
      <c r="H18" s="56" t="s">
        <v>219</v>
      </c>
    </row>
    <row r="24" spans="2:8" x14ac:dyDescent="0.25">
      <c r="C24" t="s">
        <v>165</v>
      </c>
    </row>
    <row r="25" spans="2:8" x14ac:dyDescent="0.25">
      <c r="C25" t="s">
        <v>221</v>
      </c>
    </row>
    <row r="26" spans="2:8" x14ac:dyDescent="0.25">
      <c r="C26" t="s">
        <v>222</v>
      </c>
    </row>
    <row r="27" spans="2:8" x14ac:dyDescent="0.25">
      <c r="C27" t="s">
        <v>223</v>
      </c>
    </row>
    <row r="28" spans="2:8" x14ac:dyDescent="0.25">
      <c r="C28" t="s">
        <v>224</v>
      </c>
    </row>
    <row r="29" spans="2:8" x14ac:dyDescent="0.25">
      <c r="C29" t="s">
        <v>225</v>
      </c>
    </row>
    <row r="30" spans="2:8" x14ac:dyDescent="0.25">
      <c r="C30" t="s">
        <v>165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VSJC-06</cp:lastModifiedBy>
  <cp:lastPrinted>2025-08-12T12:41:04Z</cp:lastPrinted>
  <dcterms:created xsi:type="dcterms:W3CDTF">2019-07-16T09:29:46Z</dcterms:created>
  <dcterms:modified xsi:type="dcterms:W3CDTF">2025-08-12T12:54:11Z</dcterms:modified>
</cp:coreProperties>
</file>