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dump August Miraroad\"/>
    </mc:Choice>
  </mc:AlternateContent>
  <xr:revisionPtr revIDLastSave="0" documentId="13_ncr:1_{5E5BA0A8-B94E-4EED-97CC-E03B1EB7BFF5}"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6" i="1" l="1"/>
  <c r="D66" i="1" l="1"/>
  <c r="C72" i="1"/>
  <c r="D152" i="1" l="1"/>
  <c r="D180" i="1"/>
  <c r="D210" i="1"/>
  <c r="F210" i="1" s="1"/>
  <c r="H210" i="1" s="1"/>
  <c r="D209" i="1"/>
  <c r="F209" i="1" s="1"/>
  <c r="H209" i="1" s="1"/>
  <c r="D206" i="1"/>
  <c r="F206" i="1" s="1"/>
  <c r="H206" i="1" s="1"/>
  <c r="D205" i="1"/>
  <c r="F205" i="1" s="1"/>
  <c r="H205" i="1" s="1"/>
  <c r="D204" i="1"/>
  <c r="F204" i="1" s="1"/>
  <c r="H204" i="1" s="1"/>
  <c r="D202" i="1"/>
  <c r="F202" i="1" s="1"/>
  <c r="H202" i="1" s="1"/>
  <c r="D201" i="1"/>
  <c r="F201" i="1" s="1"/>
  <c r="H201" i="1" s="1"/>
  <c r="D200" i="1"/>
  <c r="F200" i="1" s="1"/>
  <c r="H200" i="1" s="1"/>
  <c r="D199" i="1"/>
  <c r="F199" i="1" s="1"/>
  <c r="H199" i="1" s="1"/>
  <c r="D196" i="1"/>
  <c r="F196" i="1" s="1"/>
  <c r="H196" i="1" s="1"/>
  <c r="D195" i="1"/>
  <c r="F195" i="1" s="1"/>
  <c r="H195" i="1" s="1"/>
  <c r="D194" i="1"/>
  <c r="F194" i="1" s="1"/>
  <c r="H194" i="1" s="1"/>
  <c r="D192" i="1"/>
  <c r="F192" i="1" s="1"/>
  <c r="H192" i="1" s="1"/>
  <c r="D191" i="1"/>
  <c r="F191" i="1" s="1"/>
  <c r="H191" i="1" s="1"/>
  <c r="D190" i="1"/>
  <c r="F190" i="1" s="1"/>
  <c r="H190" i="1" s="1"/>
  <c r="D189" i="1"/>
  <c r="F189" i="1" s="1"/>
  <c r="H189" i="1" s="1"/>
  <c r="D187" i="1"/>
  <c r="F187" i="1" s="1"/>
  <c r="H187" i="1" s="1"/>
  <c r="D186" i="1"/>
  <c r="F186" i="1" s="1"/>
  <c r="H186" i="1" s="1"/>
  <c r="D185" i="1"/>
  <c r="F185" i="1" s="1"/>
  <c r="H185" i="1" s="1"/>
  <c r="D184" i="1"/>
  <c r="F184" i="1" s="1"/>
  <c r="H184" i="1" s="1"/>
  <c r="D182" i="1"/>
  <c r="F182" i="1" s="1"/>
  <c r="H182" i="1" s="1"/>
  <c r="D181" i="1"/>
  <c r="F181" i="1" s="1"/>
  <c r="H181" i="1" s="1"/>
  <c r="D174" i="1"/>
  <c r="F174" i="1" s="1"/>
  <c r="H174" i="1" s="1"/>
  <c r="D173" i="1"/>
  <c r="F173" i="1" s="1"/>
  <c r="H173" i="1" s="1"/>
  <c r="D170" i="1"/>
  <c r="F170" i="1" s="1"/>
  <c r="H170" i="1" s="1"/>
  <c r="D169" i="1"/>
  <c r="F169" i="1" s="1"/>
  <c r="H169" i="1" s="1"/>
  <c r="D168" i="1"/>
  <c r="F168" i="1" s="1"/>
  <c r="H168" i="1" s="1"/>
  <c r="D166" i="1"/>
  <c r="F166" i="1" s="1"/>
  <c r="H166" i="1" s="1"/>
  <c r="D165" i="1"/>
  <c r="F165" i="1" s="1"/>
  <c r="H165" i="1" s="1"/>
  <c r="D162" i="1"/>
  <c r="F162" i="1" s="1"/>
  <c r="H162" i="1" s="1"/>
  <c r="D161" i="1"/>
  <c r="F161" i="1" s="1"/>
  <c r="H161" i="1" s="1"/>
  <c r="D160" i="1"/>
  <c r="F160" i="1" s="1"/>
  <c r="H160" i="1" s="1"/>
  <c r="D158" i="1"/>
  <c r="F158" i="1" s="1"/>
  <c r="H158" i="1" s="1"/>
  <c r="D157" i="1"/>
  <c r="F157" i="1" s="1"/>
  <c r="H157" i="1" s="1"/>
  <c r="D156" i="1"/>
  <c r="F156" i="1" s="1"/>
  <c r="H156" i="1" s="1"/>
  <c r="D154" i="1"/>
  <c r="D153" i="1"/>
  <c r="I198" i="1"/>
  <c r="I192" i="1"/>
  <c r="A210" i="1"/>
  <c r="A211" i="1" s="1"/>
  <c r="A212" i="1" s="1"/>
  <c r="A205" i="1"/>
  <c r="A206" i="1" s="1"/>
  <c r="A207" i="1" s="1"/>
  <c r="A195" i="1"/>
  <c r="A196" i="1" s="1"/>
  <c r="A197" i="1" s="1"/>
  <c r="J177" i="1"/>
  <c r="I177" i="1"/>
  <c r="I176" i="1"/>
  <c r="I165" i="1"/>
  <c r="A166" i="1"/>
  <c r="J153" i="1"/>
  <c r="I153" i="1"/>
  <c r="A173" i="1"/>
  <c r="A174" i="1" s="1"/>
  <c r="A169" i="1"/>
  <c r="A170" i="1" s="1"/>
  <c r="A161" i="1"/>
  <c r="A162" i="1" s="1"/>
  <c r="A157" i="1"/>
  <c r="A158" i="1" s="1"/>
  <c r="A185" i="1"/>
  <c r="A186" i="1" s="1"/>
  <c r="A187" i="1" s="1"/>
  <c r="I174" i="1"/>
  <c r="A200" i="1"/>
  <c r="A201" i="1" s="1"/>
  <c r="A202" i="1" s="1"/>
  <c r="A190" i="1"/>
  <c r="A191" i="1" s="1"/>
  <c r="A192" i="1" s="1"/>
  <c r="J145" i="1"/>
  <c r="I145" i="1"/>
  <c r="J146" i="1"/>
  <c r="I146" i="1"/>
  <c r="A180" i="1"/>
  <c r="A181" i="1" s="1"/>
  <c r="A182" i="1" s="1"/>
  <c r="C135" i="1" l="1"/>
  <c r="C134" i="1"/>
  <c r="F180" i="1"/>
  <c r="F142" i="1"/>
  <c r="F152" i="1"/>
  <c r="C136" i="1" l="1"/>
  <c r="H152" i="1"/>
  <c r="H180" i="1"/>
  <c r="G135" i="1" s="1"/>
  <c r="E135"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L42" i="7"/>
  <c r="K42" i="7" s="1"/>
  <c r="I42" i="7"/>
  <c r="H42" i="7" s="1"/>
  <c r="D42" i="7"/>
  <c r="E44" i="7" l="1"/>
  <c r="D44" i="7"/>
  <c r="E31" i="1"/>
  <c r="B215" i="1" l="1"/>
  <c r="F143" i="1" l="1"/>
  <c r="H143" i="1" s="1"/>
  <c r="F144" i="1"/>
  <c r="H144" i="1" s="1"/>
  <c r="F145" i="1"/>
  <c r="H145" i="1" s="1"/>
  <c r="H142" i="1"/>
  <c r="S33" i="1" l="1"/>
  <c r="F11" i="5" l="1"/>
  <c r="G11" i="5" s="1"/>
  <c r="F10" i="5"/>
  <c r="G10" i="5" s="1"/>
  <c r="F9" i="5"/>
  <c r="G9" i="5" s="1"/>
  <c r="F8" i="5"/>
  <c r="G8" i="5" s="1"/>
  <c r="F7" i="5"/>
  <c r="G7" i="5" s="1"/>
  <c r="F6" i="5"/>
  <c r="G6" i="5" s="1"/>
  <c r="F5" i="5"/>
  <c r="G5" i="5" s="1"/>
  <c r="G12" i="5" s="1"/>
  <c r="D238" i="1"/>
  <c r="B216" i="1"/>
  <c r="F154" i="1"/>
  <c r="H154" i="1" s="1"/>
  <c r="F153" i="1"/>
  <c r="A153" i="1"/>
  <c r="A154" i="1" s="1"/>
  <c r="A143" i="1"/>
  <c r="A144" i="1" s="1"/>
  <c r="A145" i="1" s="1"/>
  <c r="F126" i="1"/>
  <c r="C100" i="1"/>
  <c r="D60" i="1"/>
  <c r="C51" i="1"/>
  <c r="E44" i="1"/>
  <c r="E45" i="1" s="1"/>
  <c r="E28" i="1"/>
  <c r="E26" i="1"/>
  <c r="C16" i="1"/>
  <c r="I15" i="1"/>
  <c r="Z13" i="1"/>
  <c r="E8" i="1"/>
  <c r="E3" i="1"/>
  <c r="H101" i="1"/>
  <c r="H73" i="1"/>
  <c r="H153" i="1" l="1"/>
  <c r="G134" i="1" s="1"/>
  <c r="G136" i="1" s="1"/>
  <c r="E134" i="1"/>
  <c r="E136" i="1" s="1"/>
  <c r="J72" i="1"/>
  <c r="J74" i="1" s="1"/>
  <c r="J75" i="1"/>
  <c r="J76" i="1"/>
  <c r="J77" i="1"/>
  <c r="C76" i="1" s="1"/>
  <c r="D80" i="1"/>
  <c r="D82" i="1"/>
  <c r="D81" i="1"/>
  <c r="D85" i="1"/>
  <c r="D79" i="1"/>
  <c r="D84" i="1"/>
  <c r="D78" i="1"/>
  <c r="D83" i="1"/>
  <c r="C106" i="1"/>
  <c r="D109" i="1"/>
  <c r="D111" i="1"/>
  <c r="C104" i="1"/>
  <c r="D104" i="1" s="1"/>
  <c r="D110" i="1"/>
  <c r="D108" i="1"/>
  <c r="D107" i="1"/>
  <c r="D113" i="1"/>
  <c r="D112" i="1"/>
  <c r="B101" i="1"/>
  <c r="B73" i="1"/>
  <c r="J78" i="1" s="1"/>
  <c r="D76" i="1" l="1"/>
  <c r="D106" i="1"/>
  <c r="J103" i="1"/>
  <c r="J100" i="1"/>
  <c r="J102" i="1"/>
  <c r="J101" i="1"/>
  <c r="J104" i="1"/>
  <c r="J105" i="1" s="1"/>
  <c r="C105" i="1" s="1"/>
  <c r="E104" i="1" s="1"/>
  <c r="J82" i="1"/>
  <c r="J80" i="1"/>
  <c r="J81" i="1"/>
  <c r="J79" i="1"/>
  <c r="J84" i="1" s="1"/>
  <c r="J85" i="1" s="1"/>
  <c r="C77" i="1" s="1"/>
  <c r="J83" i="1"/>
  <c r="J73" i="1" l="1"/>
  <c r="D105" i="1"/>
  <c r="G104" i="1"/>
  <c r="E76" i="1"/>
  <c r="D77" i="1"/>
  <c r="G76" i="1"/>
  <c r="D70" i="1" s="1"/>
  <c r="I73" i="1" l="1"/>
  <c r="I74" i="1" s="1"/>
  <c r="I72" i="1" s="1"/>
  <c r="C74" i="1" s="1"/>
  <c r="F71" i="1"/>
  <c r="D71" i="1"/>
  <c r="C102" i="1"/>
  <c r="B87" i="1" l="1"/>
  <c r="H87" i="1"/>
  <c r="D99" i="1" l="1"/>
  <c r="D95" i="1"/>
  <c r="D98" i="1"/>
  <c r="D94" i="1"/>
  <c r="J90" i="1"/>
  <c r="D97" i="1"/>
  <c r="D93" i="1"/>
  <c r="D96" i="1"/>
  <c r="D92" i="1"/>
  <c r="J91" i="1"/>
  <c r="C90" i="1" s="1"/>
  <c r="J89" i="1"/>
  <c r="J86" i="1"/>
  <c r="J88" i="1" s="1"/>
  <c r="J94" i="1"/>
  <c r="J97" i="1"/>
  <c r="J96" i="1"/>
  <c r="J92" i="1"/>
  <c r="J93" i="1" s="1"/>
  <c r="J98" i="1" s="1"/>
  <c r="J99" i="1" s="1"/>
  <c r="C91" i="1" s="1"/>
  <c r="J95" i="1"/>
  <c r="E90" i="1" l="1"/>
  <c r="D91" i="1"/>
  <c r="G90" i="1"/>
  <c r="D90" i="1"/>
  <c r="I87" i="1" s="1"/>
  <c r="I88" i="1" s="1"/>
  <c r="J87" i="1" l="1"/>
  <c r="I86" i="1" s="1"/>
  <c r="C8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D60"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19"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8"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<sst xmlns="http://schemas.openxmlformats.org/spreadsheetml/2006/main" count="695" uniqueCount="398">
  <si>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</si>
  <si>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</si>
  <si>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</si>
  <si>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</si>
  <si>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</si>
  <si>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</si>
  <si>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</si>
  <si>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</si>
  <si>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</si>
  <si>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</si>
  <si>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</si>
  <si>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</si>
  <si>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</si>
  <si>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</si>
  <si>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</si>
  <si>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</si>
  <si>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</si>
  <si>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</si>
  <si>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</si>
  <si>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</si>
  <si>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</si>
  <si>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</si>
  <si>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</si>
  <si>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</si>
  <si>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</si>
  <si>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</si>
  <si>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</si>
  <si>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</si>
  <si>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</si>
  <si>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</si>
  <si>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</si>
  <si>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</si>
  <si>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</si>
  <si>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</si>
  <si>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</si>
  <si>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</si>
  <si>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</si>
  <si>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</si>
  <si>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</si>
  <si>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</si>
  <si>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</si>
  <si>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</si>
  <si>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</si>
  <si>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</si>
  <si>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</si>
  <si>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</si>
  <si>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</si>
  <si>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</si>
  <si>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</si>
  <si>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</si>
  <si>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</si>
  <si>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</si>
  <si>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</si>
  <si>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</si>
  <si>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</si>
  <si>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</si>
  <si>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</si>
  <si>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</si>
  <si>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</si>
  <si>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</si>
  <si>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</si>
  <si>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</si>
  <si>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</si>
  <si>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</si>
  <si>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</si>
  <si>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</si>
  <si>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</si>
  <si>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</si>
  <si>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</si>
  <si>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</si>
  <si>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</si>
  <si>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</si>
  <si>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</si>
  <si>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</si>
  <si>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</si>
  <si>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</si>
  <si>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</si>
  <si>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</si>
  <si>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</si>
  <si>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</si>
  <si>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</si>
  <si>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</si>
  <si>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</si>
  <si>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</si>
  <si>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</si>
  <si>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</si>
  <si>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</si>
  <si>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</si>
  <si>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</si>
  <si>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</si>
  <si>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</si>
  <si>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</si>
  <si>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</si>
  <si>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</si>
  <si>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</si>
  <si>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</si>
  <si>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</si>
  <si>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</si>
  <si>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</si>
  <si>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</si>
  <si>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</si>
  <si>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</si>
  <si>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</si>
  <si>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</si>
  <si>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</si>
  <si>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</si>
  <si>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</si>
  <si>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</si>
  <si>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</si>
  <si>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</si>
  <si>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</si>
  <si>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</si>
  <si>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</si>
  <si>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</si>
  <si>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</si>
  <si>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</si>
  <si>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</si>
  <si>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</si>
  <si>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</si>
  <si>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</si>
  <si>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</si>
  <si>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</si>
  <si>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</si>
  <si>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</si>
  <si>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</si>
  <si>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</si>
  <si>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</si>
  <si>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</si>
  <si>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</si>
  <si>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</si>
  <si>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</si>
  <si>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</si>
  <si>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</si>
  <si>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</si>
  <si>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</si>
  <si>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</si>
  <si>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</si>
  <si>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</si>
  <si>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</si>
  <si>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</si>
  <si>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</si>
  <si>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</si>
  <si>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</si>
  <si>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</si>
  <si>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</si>
  <si>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</si>
  <si>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</si>
  <si>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</si>
  <si>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</si>
  <si>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</si>
  <si>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</si>
  <si>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</si>
  <si>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</si>
  <si>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</si>
  <si>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</si>
  <si>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</si>
  <si>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</si>
  <si>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</si>
  <si>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</si>
  <si>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</si>
  <si>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</si>
  <si>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</si>
  <si>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</si>
  <si>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</si>
  <si>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</si>
  <si>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</si>
  <si>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</si>
  <si>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</si>
  <si>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</si>
  <si>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</si>
  <si>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</si>
  <si>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</si>
  <si>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</si>
  <si>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</si>
  <si>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</si>
  <si>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</si>
  <si>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</si>
  <si>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</si>
  <si>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</si>
  <si>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</si>
  <si>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</si>
  <si>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</si>
  <si>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</si>
  <si>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</si>
  <si>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</si>
  <si>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</si>
  <si>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</si>
  <si>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</si>
  <si>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</si>
  <si>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</si>
  <si>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</si>
  <si>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</si>
  <si>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</si>
  <si>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</si>
  <si>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</si>
  <si>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</si>
  <si>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</si>
  <si>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</si>
  <si>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</si>
  <si>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</si>
  <si>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</si>
  <si>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</si>
  <si>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</si>
  <si>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</si>
  <si>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</si>
  <si>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</si>
  <si>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</si>
  <si>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</si>
  <si>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</si>
  <si>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</si>
  <si>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</si>
  <si>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</si>
  <si>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</si>
  <si>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</si>
  <si>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</si>
  <si>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</si>
  <si>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</si>
  <si>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</si>
  <si>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</si>
  <si>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</si>
  <si>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</si>
  <si>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</si>
  <si>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</si>
  <si>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</si>
  <si>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</si>
  <si>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</si>
  <si>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</si>
  <si>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</si>
  <si>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</si>
  <si>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</si>
  <si>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</si>
  <si>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</si>
  <si>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</si>
  <si>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</si>
  <si>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</si>
  <si>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</si>
  <si>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</si>
  <si>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</si>
  <si>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</si>
  <si>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</si>
  <si>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</si>
  <si>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</si>
  <si>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</si>
  <si>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</si>
  <si>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</si>
  <si>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</si>
  <si>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</si>
  <si>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</si>
  <si>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</si>
  <si>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</si>
  <si>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</si>
  <si>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</si>
  <si>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</si>
  <si>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</si>
  <si>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</si>
  <si>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</si>
  <si>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</si>
  <si>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</si>
  <si>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</si>
  <si>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</si>
  <si>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</si>
  <si>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</si>
  <si>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</si>
  <si>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</si>
  <si>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</si>
  <si>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</si>
  <si>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</si>
  <si>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</si>
  <si>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</si>
  <si>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</si>
  <si>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</si>
  <si>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</si>
  <si>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</si>
  <si>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</si>
  <si>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</si>
  <si>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</si>
  <si>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</si>
  <si>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</si>
  <si>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</si>
  <si>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</si>
  <si>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</si>
  <si>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</si>
  <si>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</si>
  <si>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</si>
  <si>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</si>
  <si>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</si>
  <si>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</si>
  <si>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</si>
  <si>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</si>
  <si>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</si>
  <si>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</si>
  <si>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</si>
  <si>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</si>
  <si>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</si>
  <si>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</si>
  <si>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</si>
  <si>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</si>
  <si>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</si>
  <si>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</si>
  <si>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</si>
  <si>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</si>
  <si>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</si>
  <si>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</si>
  <si>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</si>
  <si>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</si>
  <si>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</si>
  <si>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</si>
  <si>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</si>
  <si>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</si>
  <si>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</si>
  <si>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</si>
  <si>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</si>
  <si>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</si>
  <si>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</si>
  <si>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</si>
  <si>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</si>
  <si>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</si>
  <si>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</si>
  <si>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</si>
  <si>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</si>
  <si>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</si>
  <si>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</si>
  <si>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</si>
  <si>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</si>
  <si>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</si>
  <si>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</si>
  <si>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</si>
  <si>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</si>
  <si>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</si>
  <si>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Modirealty Acacia</t>
  </si>
  <si>
    <t xml:space="preserve">Modirealty Developers Pvt Ltd </t>
  </si>
  <si>
    <t>91-2262364422</t>
  </si>
  <si>
    <t>P51800056150</t>
  </si>
  <si>
    <t>Gulmarg Tarang CHS. LTD</t>
  </si>
  <si>
    <t>Dahisar</t>
  </si>
  <si>
    <t>Shailendra Nagar</t>
  </si>
  <si>
    <t>Mhada-87/1508/2024</t>
  </si>
  <si>
    <t>As per RERA - 31/03/2028</t>
  </si>
  <si>
    <t>Ground Floor For Entrance Lobby, Meter Room &amp; Parking</t>
  </si>
  <si>
    <t>2BHK</t>
  </si>
  <si>
    <t>RERA Carpet area</t>
  </si>
  <si>
    <t>Wing A</t>
  </si>
  <si>
    <t>Fitness Centre</t>
  </si>
  <si>
    <t>1st Floor For Residential &amp; Fitness Centre</t>
  </si>
  <si>
    <t>1st Floor For Residential</t>
  </si>
  <si>
    <t>Wing B</t>
  </si>
  <si>
    <t>3rd to 7th, 9th to 11th Floor</t>
  </si>
  <si>
    <t>12th to 14th, 16th &amp; 17th Floor</t>
  </si>
  <si>
    <t>-</t>
  </si>
  <si>
    <t>15th Floor(Part Refuge)</t>
  </si>
  <si>
    <t>Refuge Area</t>
  </si>
  <si>
    <t>3BHK</t>
  </si>
  <si>
    <t>18th Floor For Common Terrace</t>
  </si>
  <si>
    <t>1BHK</t>
  </si>
  <si>
    <t>Refuge Area + Society Office</t>
  </si>
  <si>
    <t>8th Floor For (Part Refuge)</t>
  </si>
  <si>
    <t>Flats - 116</t>
  </si>
  <si>
    <t>Dahisar East</t>
  </si>
  <si>
    <t>19.245416,72.862718</t>
  </si>
  <si>
    <t>https://maps.app.goo.gl/DKvgT3FBEPWD481t7</t>
  </si>
  <si>
    <t>Internal Road</t>
  </si>
  <si>
    <t>Vrindavan Road</t>
  </si>
  <si>
    <t>Shiv Temple</t>
  </si>
  <si>
    <t>Other Plot</t>
  </si>
  <si>
    <t>9.15 M Wide Existing Road</t>
  </si>
  <si>
    <t>18.30 M Wide Existing Road</t>
  </si>
  <si>
    <t>We considered Gross carpet area = Net carpet.</t>
  </si>
  <si>
    <t>Roof top Gym, Roof top Swimming pool, Roof top Gazebo etc</t>
  </si>
  <si>
    <t>as per builder website</t>
  </si>
  <si>
    <t>https://modirealty.com/modirealtyacacia/</t>
  </si>
  <si>
    <t>Wing A &amp; B</t>
  </si>
  <si>
    <t>850Mtr from Dahisar Railway Station</t>
  </si>
  <si>
    <t>U/C Shiv Shakti Complex</t>
  </si>
  <si>
    <t>Open Plot</t>
  </si>
  <si>
    <t>Wing A  = Gr. + 1st to 17th Floor
Wing B = Gr. + 1st to 18th (Pt) Floor</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</si>
  <si>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</si>
  <si>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</si>
  <si>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</si>
  <si>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8th Floor for (Part Refuge Area &amp; Society Office)</t>
  </si>
  <si>
    <t>15th Floor (Part Refuge Area)</t>
  </si>
  <si>
    <t>Terrace Area</t>
  </si>
  <si>
    <t>18th Floor (Part Terrace Area)</t>
  </si>
  <si>
    <t>1665A (Pt.), Redevelopement of "Gulmarg Tarang CHS Building No.9 "</t>
  </si>
  <si>
    <t>MH/EE/(BP)/GM/MHADA-87/1508/2024/FCC/1/New</t>
  </si>
  <si>
    <t>Mr. Satish 7700974719</t>
  </si>
  <si>
    <t>Pranita Mhatre</t>
  </si>
  <si>
    <t>Roshan Kudalkar</t>
  </si>
  <si>
    <t>Construction work is in process at the time of Visit. (Internal photo was not allowed)</t>
  </si>
  <si>
    <t>MH/EE/(BP)/GM/MHADA-87/1508/2025/FCC/1/Amend</t>
  </si>
  <si>
    <t>We have updated latest CC from Mhada site (On 18/11/2024 &amp; 15/08/2025).</t>
  </si>
  <si>
    <r>
      <t xml:space="preserve">This C.C. is Now Further extended for </t>
    </r>
    <r>
      <rPr>
        <b/>
        <sz val="12"/>
        <color rgb="FF000000"/>
        <rFont val="Times New Roman"/>
        <family val="1"/>
      </rPr>
      <t>Wing ‘A’ &amp; ‘B</t>
    </r>
    <r>
      <rPr>
        <sz val="12"/>
        <color indexed="8"/>
        <rFont val="Times New Roman"/>
        <family val="1"/>
      </rPr>
      <t>’ 16th floor to 20th upper Residential Floor with total building ht.63.53mt. including OHT from AGL upto terrace level as per last IOA plans issued by MHADA on dtd-23.05.2025 vide u/no. MH/EE/B.P.Cell/GM/MHADA-87/1508/2025.</t>
    </r>
  </si>
  <si>
    <r>
      <t xml:space="preserve">This C.C. is Now Further extended for </t>
    </r>
    <r>
      <rPr>
        <b/>
        <sz val="12"/>
        <color rgb="FF000000"/>
        <rFont val="Times New Roman"/>
        <family val="1"/>
      </rPr>
      <t>Wing A</t>
    </r>
    <r>
      <rPr>
        <sz val="12"/>
        <color indexed="8"/>
        <rFont val="Times New Roman"/>
        <family val="1"/>
      </rPr>
      <t xml:space="preserve"> from 1st to 15th upper floor for residential user i.e. height 47.03 mt. AGL and </t>
    </r>
    <r>
      <rPr>
        <b/>
        <sz val="12"/>
        <color rgb="FF000000"/>
        <rFont val="Times New Roman"/>
        <family val="1"/>
      </rPr>
      <t>Wing B</t>
    </r>
    <r>
      <rPr>
        <sz val="12"/>
        <color indexed="8"/>
        <rFont val="Times New Roman"/>
        <family val="1"/>
      </rPr>
      <t xml:space="preserve"> from 1st to 15th upper floor for residential user i.e.height 47.03 mt. AGL, along with parking tower as per approved plan u/no. MH/EE/BP Cell/GM/MHADA -87/1508/2024 dated: 30.01.2024.</t>
    </r>
  </si>
  <si>
    <t>Provide revised approved plans dtd. 23/05/2025</t>
  </si>
  <si>
    <t>O. Certificate No.:
Approved Upto</t>
  </si>
  <si>
    <t>Wing A  = Gr. + 1st to 20th Floor</t>
  </si>
  <si>
    <t>Wing B = Gr. + 1st to 20th Floor</t>
  </si>
  <si>
    <t xml:space="preserve">Details of Residential in Building   </t>
  </si>
  <si>
    <t>02 Wings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</si>
</sst>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b/>
      <sz val="12"/>
      <color rgb="FF00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6" fontId="4" fillId="0" borderId="0" applyFont="0" applyFill="0" applyBorder="0" applyAlignment="0" applyProtection="0"/>
    <xf numFmtId="0" fontId="20" fillId="0" borderId="0"/>
    <xf numFmtId="9" fontId="21" fillId="0" borderId="0" applyFont="0" applyFill="0" applyBorder="0" applyAlignment="0" applyProtection="0"/>
    <xf numFmtId="164" fontId="21" fillId="0" borderId="0" applyFont="0" applyFill="0" applyBorder="0" applyAlignment="0" applyProtection="0"/>
    <xf numFmtId="0" fontId="24" fillId="0" borderId="0" applyNumberFormat="0" applyFill="0" applyBorder="0" applyAlignment="0" applyProtection="0"/>
  </cellStyleXfs>
  <cellXfs count="23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0" fontId="6" fillId="0" borderId="0" xfId="1" applyFont="1" applyProtection="1">
      <protection hidden="1"/>
    </xf>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24" fillId="0" borderId="0" xfId="10"/>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168"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7" fillId="0" borderId="9"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5" fontId="5" fillId="0" borderId="1" xfId="1" applyNumberFormat="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1" fontId="11" fillId="0" borderId="2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11" fillId="0" borderId="1" xfId="1" applyNumberFormat="1" applyFont="1" applyBorder="1" applyAlignment="1" applyProtection="1">
      <alignment horizontal="left" vertical="top" wrapText="1"/>
      <protection locked="0"/>
    </xf>
    <xf numFmtId="165"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11" fillId="0" borderId="18" xfId="1" applyFont="1" applyBorder="1" applyAlignment="1" applyProtection="1">
      <alignment horizontal="left" vertical="top" wrapText="1"/>
      <protection locked="0"/>
    </xf>
    <xf numFmtId="0" fontId="24"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 xfId="0"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24" xfId="1" applyFont="1" applyBorder="1" applyAlignment="1" applyProtection="1">
      <alignment horizontal="left" vertical="top" wrapText="1"/>
      <protection locked="0"/>
    </xf>
    <xf numFmtId="0" fontId="7" fillId="0" borderId="1" xfId="1" applyFont="1" applyBorder="1" applyAlignment="1" applyProtection="1">
      <alignment vertical="top" wrapText="1"/>
      <protection locked="0"/>
    </xf>
    <xf numFmtId="14" fontId="7" fillId="0" borderId="8" xfId="1" applyNumberFormat="1" applyFont="1" applyBorder="1" applyAlignment="1" applyProtection="1">
      <alignment horizontal="left" vertical="top" wrapText="1"/>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0</xdr:col>
      <xdr:colOff>352424</xdr:colOff>
      <xdr:row>323</xdr:row>
      <xdr:rowOff>66674</xdr:rowOff>
    </xdr:from>
    <xdr:to>
      <xdr:col>7</xdr:col>
      <xdr:colOff>152400</xdr:colOff>
      <xdr:row>340</xdr:row>
      <xdr:rowOff>70332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52424" y="62331599"/>
          <a:ext cx="5381626" cy="3404083"/>
        </a:xfrm>
        <a:prstGeom prst="rect">
          <a:avLst/>
        </a:prstGeom>
        <a:ln>
          <a:solidFill>
            <a:schemeClr val="tx1"/>
          </a:solidFill>
        </a:ln>
      </xdr:spPr>
    </xdr:pic>
    <xdr:clientData/>
  </xdr:twoCellAnchor>
  <xdr:twoCellAnchor>
    <xdr:from>
      <xdr:col>0</xdr:col>
      <xdr:colOff>285750</xdr:colOff>
      <xdr:row>341</xdr:row>
      <xdr:rowOff>85606</xdr:rowOff>
    </xdr:from>
    <xdr:to>
      <xdr:col>7</xdr:col>
      <xdr:colOff>437243</xdr:colOff>
      <xdr:row>357</xdr:row>
      <xdr:rowOff>171450</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285750" y="64771786"/>
          <a:ext cx="5881733" cy="3255764"/>
          <a:chOff x="856342" y="4756666"/>
          <a:chExt cx="5733143" cy="3033486"/>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56342" y="4756666"/>
            <a:ext cx="5733143" cy="3033486"/>
          </a:xfrm>
          <a:prstGeom prst="rect">
            <a:avLst/>
          </a:prstGeom>
          <a:ln>
            <a:solidFill>
              <a:schemeClr val="tx1"/>
            </a:solidFill>
          </a:ln>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rot="1796161">
            <a:off x="2392822" y="5849186"/>
            <a:ext cx="420156" cy="8620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161925</xdr:colOff>
      <xdr:row>43</xdr:row>
      <xdr:rowOff>190500</xdr:rowOff>
    </xdr:from>
    <xdr:to>
      <xdr:col>11</xdr:col>
      <xdr:colOff>885406</xdr:colOff>
      <xdr:row>50</xdr:row>
      <xdr:rowOff>56963</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6477000" y="9829800"/>
          <a:ext cx="3352381" cy="1495238"/>
        </a:xfrm>
        <a:prstGeom prst="rect">
          <a:avLst/>
        </a:prstGeom>
        <a:ln>
          <a:solidFill>
            <a:schemeClr val="tx1"/>
          </a:solidFill>
        </a:ln>
      </xdr:spPr>
    </xdr:pic>
    <xdr:clientData/>
  </xdr:twoCellAnchor>
  <xdr:twoCellAnchor editAs="oneCell">
    <xdr:from>
      <xdr:col>8</xdr:col>
      <xdr:colOff>304800</xdr:colOff>
      <xdr:row>15</xdr:row>
      <xdr:rowOff>66675</xdr:rowOff>
    </xdr:from>
    <xdr:to>
      <xdr:col>13</xdr:col>
      <xdr:colOff>770924</xdr:colOff>
      <xdr:row>15</xdr:row>
      <xdr:rowOff>609532</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stretch>
          <a:fillRect/>
        </a:stretch>
      </xdr:blipFill>
      <xdr:spPr>
        <a:xfrm>
          <a:off x="6619875" y="3476625"/>
          <a:ext cx="4809524" cy="542857"/>
        </a:xfrm>
        <a:prstGeom prst="rect">
          <a:avLst/>
        </a:prstGeom>
        <a:ln>
          <a:solidFill>
            <a:schemeClr val="tx1"/>
          </a:solidFill>
        </a:ln>
      </xdr:spPr>
    </xdr:pic>
    <xdr:clientData/>
  </xdr:twoCellAnchor>
  <xdr:twoCellAnchor editAs="oneCell">
    <xdr:from>
      <xdr:col>8</xdr:col>
      <xdr:colOff>209550</xdr:colOff>
      <xdr:row>50</xdr:row>
      <xdr:rowOff>190500</xdr:rowOff>
    </xdr:from>
    <xdr:to>
      <xdr:col>14</xdr:col>
      <xdr:colOff>427950</xdr:colOff>
      <xdr:row>52</xdr:row>
      <xdr:rowOff>185123</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6524625" y="11458575"/>
          <a:ext cx="5400000" cy="391872"/>
        </a:xfrm>
        <a:prstGeom prst="rect">
          <a:avLst/>
        </a:prstGeom>
        <a:ln>
          <a:solidFill>
            <a:schemeClr val="tx1"/>
          </a:solidFill>
        </a:ln>
      </xdr:spPr>
    </xdr:pic>
    <xdr:clientData/>
  </xdr:twoCellAnchor>
  <xdr:twoCellAnchor editAs="oneCell">
    <xdr:from>
      <xdr:col>8</xdr:col>
      <xdr:colOff>220756</xdr:colOff>
      <xdr:row>128</xdr:row>
      <xdr:rowOff>5603</xdr:rowOff>
    </xdr:from>
    <xdr:to>
      <xdr:col>12</xdr:col>
      <xdr:colOff>267931</xdr:colOff>
      <xdr:row>146</xdr:row>
      <xdr:rowOff>417817</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6711203" y="23313838"/>
          <a:ext cx="3704775" cy="1797485"/>
        </a:xfrm>
        <a:prstGeom prst="rect">
          <a:avLst/>
        </a:prstGeom>
        <a:ln>
          <a:solidFill>
            <a:schemeClr val="tx1"/>
          </a:solidFill>
        </a:ln>
      </xdr:spPr>
    </xdr:pic>
    <xdr:clientData/>
  </xdr:twoCellAnchor>
  <xdr:twoCellAnchor editAs="oneCell">
    <xdr:from>
      <xdr:col>12</xdr:col>
      <xdr:colOff>171450</xdr:colOff>
      <xdr:row>126</xdr:row>
      <xdr:rowOff>152400</xdr:rowOff>
    </xdr:from>
    <xdr:to>
      <xdr:col>16</xdr:col>
      <xdr:colOff>352000</xdr:colOff>
      <xdr:row>146</xdr:row>
      <xdr:rowOff>365427</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a:stretch>
          <a:fillRect/>
        </a:stretch>
      </xdr:blipFill>
      <xdr:spPr>
        <a:xfrm>
          <a:off x="10039350" y="22059900"/>
          <a:ext cx="3400000" cy="1771429"/>
        </a:xfrm>
        <a:prstGeom prst="rect">
          <a:avLst/>
        </a:prstGeom>
        <a:ln>
          <a:solidFill>
            <a:schemeClr val="tx1"/>
          </a:solidFill>
        </a:ln>
      </xdr:spPr>
    </xdr:pic>
    <xdr:clientData/>
  </xdr:twoCellAnchor>
  <xdr:twoCellAnchor editAs="oneCell">
    <xdr:from>
      <xdr:col>10</xdr:col>
      <xdr:colOff>619125</xdr:colOff>
      <xdr:row>147</xdr:row>
      <xdr:rowOff>190500</xdr:rowOff>
    </xdr:from>
    <xdr:to>
      <xdr:col>15</xdr:col>
      <xdr:colOff>9093</xdr:colOff>
      <xdr:row>156</xdr:row>
      <xdr:rowOff>95038</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8"/>
        <a:stretch>
          <a:fillRect/>
        </a:stretch>
      </xdr:blipFill>
      <xdr:spPr>
        <a:xfrm>
          <a:off x="8858250" y="25517475"/>
          <a:ext cx="3457143" cy="1704762"/>
        </a:xfrm>
        <a:prstGeom prst="rect">
          <a:avLst/>
        </a:prstGeom>
        <a:ln>
          <a:solidFill>
            <a:schemeClr val="tx1"/>
          </a:solidFill>
        </a:ln>
      </xdr:spPr>
    </xdr:pic>
    <xdr:clientData/>
  </xdr:twoCellAnchor>
  <xdr:twoCellAnchor editAs="oneCell">
    <xdr:from>
      <xdr:col>10</xdr:col>
      <xdr:colOff>685800</xdr:colOff>
      <xdr:row>139</xdr:row>
      <xdr:rowOff>180975</xdr:rowOff>
    </xdr:from>
    <xdr:to>
      <xdr:col>14</xdr:col>
      <xdr:colOff>308250</xdr:colOff>
      <xdr:row>151</xdr:row>
      <xdr:rowOff>148835</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8924925" y="23907750"/>
          <a:ext cx="2880000" cy="1551812"/>
        </a:xfrm>
        <a:prstGeom prst="rect">
          <a:avLst/>
        </a:prstGeom>
        <a:ln>
          <a:solidFill>
            <a:schemeClr val="tx1"/>
          </a:solidFill>
        </a:ln>
      </xdr:spPr>
    </xdr:pic>
    <xdr:clientData/>
  </xdr:twoCellAnchor>
  <xdr:twoCellAnchor editAs="oneCell">
    <xdr:from>
      <xdr:col>8</xdr:col>
      <xdr:colOff>847725</xdr:colOff>
      <xdr:row>165</xdr:row>
      <xdr:rowOff>47626</xdr:rowOff>
    </xdr:from>
    <xdr:to>
      <xdr:col>12</xdr:col>
      <xdr:colOff>534900</xdr:colOff>
      <xdr:row>173</xdr:row>
      <xdr:rowOff>31604</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a:stretch>
          <a:fillRect/>
        </a:stretch>
      </xdr:blipFill>
      <xdr:spPr>
        <a:xfrm>
          <a:off x="7162800" y="28975051"/>
          <a:ext cx="3240000" cy="1384153"/>
        </a:xfrm>
        <a:prstGeom prst="rect">
          <a:avLst/>
        </a:prstGeom>
        <a:ln>
          <a:solidFill>
            <a:schemeClr val="tx1"/>
          </a:solidFill>
        </a:ln>
      </xdr:spPr>
    </xdr:pic>
    <xdr:clientData/>
  </xdr:twoCellAnchor>
  <xdr:twoCellAnchor editAs="oneCell">
    <xdr:from>
      <xdr:col>12</xdr:col>
      <xdr:colOff>590550</xdr:colOff>
      <xdr:row>164</xdr:row>
      <xdr:rowOff>76200</xdr:rowOff>
    </xdr:from>
    <xdr:to>
      <xdr:col>16</xdr:col>
      <xdr:colOff>251100</xdr:colOff>
      <xdr:row>172</xdr:row>
      <xdr:rowOff>196191</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0458450" y="28803600"/>
          <a:ext cx="2880000" cy="1520165"/>
        </a:xfrm>
        <a:prstGeom prst="rect">
          <a:avLst/>
        </a:prstGeom>
        <a:ln>
          <a:solidFill>
            <a:schemeClr val="tx1"/>
          </a:solidFill>
        </a:ln>
      </xdr:spPr>
    </xdr:pic>
    <xdr:clientData/>
  </xdr:twoCellAnchor>
  <xdr:twoCellAnchor editAs="oneCell">
    <xdr:from>
      <xdr:col>10</xdr:col>
      <xdr:colOff>114300</xdr:colOff>
      <xdr:row>181</xdr:row>
      <xdr:rowOff>171450</xdr:rowOff>
    </xdr:from>
    <xdr:to>
      <xdr:col>14</xdr:col>
      <xdr:colOff>96750</xdr:colOff>
      <xdr:row>189</xdr:row>
      <xdr:rowOff>183786</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2"/>
        <a:stretch>
          <a:fillRect/>
        </a:stretch>
      </xdr:blipFill>
      <xdr:spPr>
        <a:xfrm>
          <a:off x="8353425" y="35099625"/>
          <a:ext cx="3240000" cy="1612535"/>
        </a:xfrm>
        <a:prstGeom prst="rect">
          <a:avLst/>
        </a:prstGeom>
        <a:ln>
          <a:solidFill>
            <a:schemeClr val="tx1"/>
          </a:solidFill>
        </a:ln>
      </xdr:spPr>
    </xdr:pic>
    <xdr:clientData/>
  </xdr:twoCellAnchor>
  <xdr:twoCellAnchor editAs="oneCell">
    <xdr:from>
      <xdr:col>9</xdr:col>
      <xdr:colOff>447675</xdr:colOff>
      <xdr:row>200</xdr:row>
      <xdr:rowOff>114301</xdr:rowOff>
    </xdr:from>
    <xdr:to>
      <xdr:col>13</xdr:col>
      <xdr:colOff>506325</xdr:colOff>
      <xdr:row>208</xdr:row>
      <xdr:rowOff>175641</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7924800" y="36042601"/>
          <a:ext cx="3240000" cy="1661539"/>
        </a:xfrm>
        <a:prstGeom prst="rect">
          <a:avLst/>
        </a:prstGeom>
        <a:ln>
          <a:solidFill>
            <a:schemeClr val="tx1"/>
          </a:solidFill>
        </a:ln>
      </xdr:spPr>
    </xdr:pic>
    <xdr:clientData/>
  </xdr:twoCellAnchor>
  <xdr:twoCellAnchor editAs="oneCell">
    <xdr:from>
      <xdr:col>9</xdr:col>
      <xdr:colOff>600075</xdr:colOff>
      <xdr:row>173</xdr:row>
      <xdr:rowOff>57150</xdr:rowOff>
    </xdr:from>
    <xdr:to>
      <xdr:col>13</xdr:col>
      <xdr:colOff>298725</xdr:colOff>
      <xdr:row>181</xdr:row>
      <xdr:rowOff>118488</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8077200" y="33385125"/>
          <a:ext cx="2880000" cy="1661538"/>
        </a:xfrm>
        <a:prstGeom prst="rect">
          <a:avLst/>
        </a:prstGeom>
        <a:ln>
          <a:solidFill>
            <a:sysClr val="windowText" lastClr="000000"/>
          </a:solidFill>
        </a:ln>
      </xdr:spPr>
    </xdr:pic>
    <xdr:clientData/>
  </xdr:twoCellAnchor>
  <xdr:twoCellAnchor editAs="oneCell">
    <xdr:from>
      <xdr:col>13</xdr:col>
      <xdr:colOff>390525</xdr:colOff>
      <xdr:row>173</xdr:row>
      <xdr:rowOff>38100</xdr:rowOff>
    </xdr:from>
    <xdr:to>
      <xdr:col>17</xdr:col>
      <xdr:colOff>232050</xdr:colOff>
      <xdr:row>180</xdr:row>
      <xdr:rowOff>53636</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5"/>
        <a:stretch>
          <a:fillRect/>
        </a:stretch>
      </xdr:blipFill>
      <xdr:spPr>
        <a:xfrm>
          <a:off x="11049000" y="30565725"/>
          <a:ext cx="2880000" cy="1415711"/>
        </a:xfrm>
        <a:prstGeom prst="rect">
          <a:avLst/>
        </a:prstGeom>
        <a:ln>
          <a:solidFill>
            <a:schemeClr val="tx1"/>
          </a:solidFill>
        </a:ln>
      </xdr:spPr>
    </xdr:pic>
    <xdr:clientData/>
  </xdr:twoCellAnchor>
  <xdr:twoCellAnchor editAs="oneCell">
    <xdr:from>
      <xdr:col>8</xdr:col>
      <xdr:colOff>838200</xdr:colOff>
      <xdr:row>157</xdr:row>
      <xdr:rowOff>9525</xdr:rowOff>
    </xdr:from>
    <xdr:to>
      <xdr:col>11</xdr:col>
      <xdr:colOff>729300</xdr:colOff>
      <xdr:row>164</xdr:row>
      <xdr:rowOff>159673</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7153275" y="27336750"/>
          <a:ext cx="2520000" cy="1550323"/>
        </a:xfrm>
        <a:prstGeom prst="rect">
          <a:avLst/>
        </a:prstGeom>
        <a:ln>
          <a:solidFill>
            <a:schemeClr val="tx1"/>
          </a:solidFill>
        </a:ln>
      </xdr:spPr>
    </xdr:pic>
    <xdr:clientData/>
  </xdr:twoCellAnchor>
  <xdr:twoCellAnchor editAs="oneCell">
    <xdr:from>
      <xdr:col>9</xdr:col>
      <xdr:colOff>114300</xdr:colOff>
      <xdr:row>190</xdr:row>
      <xdr:rowOff>28575</xdr:rowOff>
    </xdr:from>
    <xdr:to>
      <xdr:col>12</xdr:col>
      <xdr:colOff>603525</xdr:colOff>
      <xdr:row>199</xdr:row>
      <xdr:rowOff>10044</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7"/>
        <a:stretch>
          <a:fillRect/>
        </a:stretch>
      </xdr:blipFill>
      <xdr:spPr>
        <a:xfrm>
          <a:off x="7591425" y="33956625"/>
          <a:ext cx="2880000" cy="1781694"/>
        </a:xfrm>
        <a:prstGeom prst="rect">
          <a:avLst/>
        </a:prstGeom>
        <a:ln>
          <a:solidFill>
            <a:sysClr val="windowText" lastClr="000000"/>
          </a:solidFill>
        </a:ln>
      </xdr:spPr>
    </xdr:pic>
    <xdr:clientData/>
  </xdr:twoCellAnchor>
  <xdr:twoCellAnchor>
    <xdr:from>
      <xdr:col>1</xdr:col>
      <xdr:colOff>57840</xdr:colOff>
      <xdr:row>280</xdr:row>
      <xdr:rowOff>171450</xdr:rowOff>
    </xdr:from>
    <xdr:to>
      <xdr:col>6</xdr:col>
      <xdr:colOff>371475</xdr:colOff>
      <xdr:row>299</xdr:row>
      <xdr:rowOff>47625</xdr:rowOff>
    </xdr:to>
    <xdr:grpSp>
      <xdr:nvGrpSpPr>
        <xdr:cNvPr id="27" name="Group 26">
          <a:extLst>
            <a:ext uri="{FF2B5EF4-FFF2-40B4-BE49-F238E27FC236}">
              <a16:creationId xmlns:a16="http://schemas.microsoft.com/office/drawing/2014/main" id="{00000000-0008-0000-0000-00001B000000}"/>
            </a:ext>
          </a:extLst>
        </xdr:cNvPr>
        <xdr:cNvGrpSpPr/>
      </xdr:nvGrpSpPr>
      <xdr:grpSpPr>
        <a:xfrm>
          <a:off x="842700" y="52772310"/>
          <a:ext cx="4504635" cy="3640455"/>
          <a:chOff x="2012950" y="2117615"/>
          <a:chExt cx="2857500" cy="2686050"/>
        </a:xfrm>
      </xdr:grpSpPr>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8"/>
          <a:stretch>
            <a:fillRect/>
          </a:stretch>
        </xdr:blipFill>
        <xdr:spPr>
          <a:xfrm>
            <a:off x="2012950" y="2117615"/>
            <a:ext cx="2857500" cy="2686050"/>
          </a:xfrm>
          <a:prstGeom prst="rect">
            <a:avLst/>
          </a:prstGeom>
          <a:ln>
            <a:solidFill>
              <a:schemeClr val="tx1"/>
            </a:solidFill>
          </a:ln>
        </xdr:spPr>
      </xdr:pic>
      <xdr:sp macro="" textlink="">
        <xdr:nvSpPr>
          <xdr:cNvPr id="30" name="Rectangle 29">
            <a:extLst>
              <a:ext uri="{FF2B5EF4-FFF2-40B4-BE49-F238E27FC236}">
                <a16:creationId xmlns:a16="http://schemas.microsoft.com/office/drawing/2014/main" id="{00000000-0008-0000-0000-00001E000000}"/>
              </a:ext>
            </a:extLst>
          </xdr:cNvPr>
          <xdr:cNvSpPr/>
        </xdr:nvSpPr>
        <xdr:spPr>
          <a:xfrm>
            <a:off x="3443288" y="3481388"/>
            <a:ext cx="142875" cy="2762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245578</xdr:colOff>
      <xdr:row>300</xdr:row>
      <xdr:rowOff>45593</xdr:rowOff>
    </xdr:from>
    <xdr:to>
      <xdr:col>7</xdr:col>
      <xdr:colOff>438149</xdr:colOff>
      <xdr:row>315</xdr:row>
      <xdr:rowOff>76200</xdr:rowOff>
    </xdr:to>
    <xdr:grpSp>
      <xdr:nvGrpSpPr>
        <xdr:cNvPr id="36" name="Group 35">
          <a:extLst>
            <a:ext uri="{FF2B5EF4-FFF2-40B4-BE49-F238E27FC236}">
              <a16:creationId xmlns:a16="http://schemas.microsoft.com/office/drawing/2014/main" id="{00000000-0008-0000-0000-000024000000}"/>
            </a:ext>
          </a:extLst>
        </xdr:cNvPr>
        <xdr:cNvGrpSpPr/>
      </xdr:nvGrpSpPr>
      <xdr:grpSpPr>
        <a:xfrm>
          <a:off x="245578" y="56608853"/>
          <a:ext cx="5922811" cy="3002407"/>
          <a:chOff x="626579" y="57125191"/>
          <a:chExt cx="5400828" cy="2652879"/>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626579" y="57125191"/>
            <a:ext cx="5400828" cy="2652879"/>
          </a:xfrm>
          <a:prstGeom prst="rect">
            <a:avLst/>
          </a:prstGeom>
          <a:ln>
            <a:solidFill>
              <a:schemeClr val="tx1"/>
            </a:solidFill>
          </a:ln>
        </xdr:spPr>
      </xdr:pic>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1784488" y="58338235"/>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effectLst/>
                <a:latin typeface="+mn-lt"/>
                <a:ea typeface="+mn-ea"/>
                <a:cs typeface="+mn-cs"/>
              </a:rPr>
              <a:t>Wing</a:t>
            </a:r>
            <a:r>
              <a:rPr lang="en-IN" sz="1100" b="1" baseline="0">
                <a:solidFill>
                  <a:srgbClr val="FF0000"/>
                </a:solidFill>
                <a:effectLst/>
                <a:latin typeface="+mn-lt"/>
                <a:ea typeface="+mn-ea"/>
                <a:cs typeface="+mn-cs"/>
              </a:rPr>
              <a:t> A</a:t>
            </a:r>
            <a:endParaRPr lang="en-IN">
              <a:solidFill>
                <a:srgbClr val="FF0000"/>
              </a:solidFill>
              <a:effectLst/>
            </a:endParaRPr>
          </a:p>
        </xdr:txBody>
      </xdr:sp>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3941811" y="58264129"/>
            <a:ext cx="6006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Wing B</a:t>
            </a:r>
          </a:p>
        </xdr:txBody>
      </xdr:sp>
      <xdr:sp macro="" textlink="">
        <xdr:nvSpPr>
          <xdr:cNvPr id="34" name="Rectangle 33">
            <a:extLst>
              <a:ext uri="{FF2B5EF4-FFF2-40B4-BE49-F238E27FC236}">
                <a16:creationId xmlns:a16="http://schemas.microsoft.com/office/drawing/2014/main" id="{00000000-0008-0000-0000-000022000000}"/>
              </a:ext>
            </a:extLst>
          </xdr:cNvPr>
          <xdr:cNvSpPr/>
        </xdr:nvSpPr>
        <xdr:spPr>
          <a:xfrm>
            <a:off x="1143000" y="57547565"/>
            <a:ext cx="2070652" cy="172278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5" name="Rectangle 34">
            <a:extLst>
              <a:ext uri="{FF2B5EF4-FFF2-40B4-BE49-F238E27FC236}">
                <a16:creationId xmlns:a16="http://schemas.microsoft.com/office/drawing/2014/main" id="{00000000-0008-0000-0000-000023000000}"/>
              </a:ext>
            </a:extLst>
          </xdr:cNvPr>
          <xdr:cNvSpPr/>
        </xdr:nvSpPr>
        <xdr:spPr>
          <a:xfrm>
            <a:off x="3192117" y="57559161"/>
            <a:ext cx="2070652" cy="172278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8</xdr:col>
      <xdr:colOff>863862</xdr:colOff>
      <xdr:row>229</xdr:row>
      <xdr:rowOff>161419</xdr:rowOff>
    </xdr:from>
    <xdr:to>
      <xdr:col>16</xdr:col>
      <xdr:colOff>177739</xdr:colOff>
      <xdr:row>257</xdr:row>
      <xdr:rowOff>116504</xdr:rowOff>
    </xdr:to>
    <xdr:grpSp>
      <xdr:nvGrpSpPr>
        <xdr:cNvPr id="32" name="Group 31">
          <a:extLst>
            <a:ext uri="{FF2B5EF4-FFF2-40B4-BE49-F238E27FC236}">
              <a16:creationId xmlns:a16="http://schemas.microsoft.com/office/drawing/2014/main" id="{00000000-0008-0000-0000-000020000000}"/>
            </a:ext>
          </a:extLst>
        </xdr:cNvPr>
        <xdr:cNvGrpSpPr/>
      </xdr:nvGrpSpPr>
      <xdr:grpSpPr>
        <a:xfrm>
          <a:off x="7348482" y="42665779"/>
          <a:ext cx="6278557" cy="5494825"/>
          <a:chOff x="79002" y="44921299"/>
          <a:chExt cx="6128846" cy="5591644"/>
        </a:xfrm>
      </xdr:grpSpPr>
      <xdr:grpSp>
        <xdr:nvGrpSpPr>
          <xdr:cNvPr id="7" name="Group 6">
            <a:extLst>
              <a:ext uri="{FF2B5EF4-FFF2-40B4-BE49-F238E27FC236}">
                <a16:creationId xmlns:a16="http://schemas.microsoft.com/office/drawing/2014/main" id="{00000000-0008-0000-0000-000007000000}"/>
              </a:ext>
            </a:extLst>
          </xdr:cNvPr>
          <xdr:cNvGrpSpPr/>
        </xdr:nvGrpSpPr>
        <xdr:grpSpPr>
          <a:xfrm>
            <a:off x="112059" y="44991618"/>
            <a:ext cx="6095789" cy="5521325"/>
            <a:chOff x="112059" y="44991618"/>
            <a:chExt cx="6095789" cy="5521325"/>
          </a:xfrm>
        </xdr:grpSpPr>
        <xdr:pic>
          <xdr:nvPicPr>
            <xdr:cNvPr id="56" name="Picture 55" descr="insp-233826-1525.jpg (959×1280)">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4285044" y="47992943"/>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insp-233826-843.jpg (959×1280)">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4050098" y="44991618"/>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insp-233826-845.jpg (1079×810)">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112059" y="44991618"/>
              <a:ext cx="3836443"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insp-233826-847.jpg (959×1280)">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229590" y="47992943"/>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insp-233826-931.jpg (959×1280)">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2257317" y="47992943"/>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79002" y="45448825"/>
            <a:ext cx="799897" cy="3453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600" b="1">
                <a:solidFill>
                  <a:srgbClr val="FF0000"/>
                </a:solidFill>
              </a:rPr>
              <a:t>Wing A</a:t>
            </a:r>
          </a:p>
        </xdr:txBody>
      </xdr:sp>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894411" y="45003323"/>
            <a:ext cx="790590" cy="3453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600" b="1">
                <a:solidFill>
                  <a:srgbClr val="FF0000"/>
                </a:solidFill>
              </a:rPr>
              <a:t>Wing B</a:t>
            </a:r>
          </a:p>
        </xdr:txBody>
      </xdr:sp>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4052608" y="45444343"/>
            <a:ext cx="799897" cy="3453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600" b="1">
                <a:solidFill>
                  <a:srgbClr val="FF0000"/>
                </a:solidFill>
              </a:rPr>
              <a:t>Wing A</a:t>
            </a:r>
          </a:p>
        </xdr:txBody>
      </xdr:sp>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4987030" y="44921299"/>
            <a:ext cx="790590" cy="3453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600" b="1">
                <a:solidFill>
                  <a:srgbClr val="FF0000"/>
                </a:solidFill>
              </a:rPr>
              <a:t>Wing B</a:t>
            </a:r>
          </a:p>
        </xdr:txBody>
      </xdr:sp>
    </xdr:grpSp>
    <xdr:clientData/>
  </xdr:twoCellAnchor>
  <xdr:twoCellAnchor>
    <xdr:from>
      <xdr:col>0</xdr:col>
      <xdr:colOff>281941</xdr:colOff>
      <xdr:row>238</xdr:row>
      <xdr:rowOff>92821</xdr:rowOff>
    </xdr:from>
    <xdr:to>
      <xdr:col>7</xdr:col>
      <xdr:colOff>228601</xdr:colOff>
      <xdr:row>277</xdr:row>
      <xdr:rowOff>95308</xdr:rowOff>
    </xdr:to>
    <xdr:grpSp>
      <xdr:nvGrpSpPr>
        <xdr:cNvPr id="65" name="Group 64">
          <a:extLst>
            <a:ext uri="{FF2B5EF4-FFF2-40B4-BE49-F238E27FC236}">
              <a16:creationId xmlns:a16="http://schemas.microsoft.com/office/drawing/2014/main" id="{3C490621-53A1-66BB-C0CD-9A6D86C80C95}"/>
            </a:ext>
          </a:extLst>
        </xdr:cNvPr>
        <xdr:cNvGrpSpPr/>
      </xdr:nvGrpSpPr>
      <xdr:grpSpPr>
        <a:xfrm>
          <a:off x="281941" y="44372641"/>
          <a:ext cx="5676900" cy="7729167"/>
          <a:chOff x="403860" y="44402209"/>
          <a:chExt cx="5898425" cy="8850219"/>
        </a:xfrm>
      </xdr:grpSpPr>
      <xdr:grpSp>
        <xdr:nvGrpSpPr>
          <xdr:cNvPr id="3" name="Group 2">
            <a:extLst>
              <a:ext uri="{FF2B5EF4-FFF2-40B4-BE49-F238E27FC236}">
                <a16:creationId xmlns:a16="http://schemas.microsoft.com/office/drawing/2014/main" id="{559C5E4B-7566-0B08-B1E2-3BFBA1FE84EB}"/>
              </a:ext>
            </a:extLst>
          </xdr:cNvPr>
          <xdr:cNvGrpSpPr/>
        </xdr:nvGrpSpPr>
        <xdr:grpSpPr>
          <a:xfrm>
            <a:off x="403860" y="44402209"/>
            <a:ext cx="5898425" cy="8850219"/>
            <a:chOff x="83444" y="-314834"/>
            <a:chExt cx="5898425" cy="8850219"/>
          </a:xfrm>
        </xdr:grpSpPr>
        <xdr:pic>
          <xdr:nvPicPr>
            <xdr:cNvPr id="37" name="Picture 36">
              <a:extLst>
                <a:ext uri="{FF2B5EF4-FFF2-40B4-BE49-F238E27FC236}">
                  <a16:creationId xmlns:a16="http://schemas.microsoft.com/office/drawing/2014/main" id="{73CAF8D4-AC06-C14D-AF03-87AC661365C2}"/>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116482" y="6375385"/>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a:extLst>
                <a:ext uri="{FF2B5EF4-FFF2-40B4-BE49-F238E27FC236}">
                  <a16:creationId xmlns:a16="http://schemas.microsoft.com/office/drawing/2014/main" id="{48B5D78B-842A-1004-1F47-686CBA15F24A}"/>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839372" y="3463954"/>
              <a:ext cx="2082853" cy="27694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a:extLst>
                <a:ext uri="{FF2B5EF4-FFF2-40B4-BE49-F238E27FC236}">
                  <a16:creationId xmlns:a16="http://schemas.microsoft.com/office/drawing/2014/main" id="{4494D023-43B7-69EE-63E3-B1830F0ABE53}"/>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64610" y="-314834"/>
              <a:ext cx="2729808" cy="36296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a:extLst>
                <a:ext uri="{FF2B5EF4-FFF2-40B4-BE49-F238E27FC236}">
                  <a16:creationId xmlns:a16="http://schemas.microsoft.com/office/drawing/2014/main" id="{FED697DB-F44E-9E1F-FCF8-F1B65E844EF8}"/>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3067881" y="3463954"/>
              <a:ext cx="2082853" cy="27694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a:extLst>
                <a:ext uri="{FF2B5EF4-FFF2-40B4-BE49-F238E27FC236}">
                  <a16:creationId xmlns:a16="http://schemas.microsoft.com/office/drawing/2014/main" id="{95E2C698-CBD0-B285-6CCB-882CDD189542}"/>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3067881" y="-307683"/>
              <a:ext cx="2729808" cy="36296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a:extLst>
                <a:ext uri="{FF2B5EF4-FFF2-40B4-BE49-F238E27FC236}">
                  <a16:creationId xmlns:a16="http://schemas.microsoft.com/office/drawing/2014/main" id="{4CD14692-E2AA-2347-2D11-014572EDAF5D}"/>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83444" y="6375385"/>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47" name="TextBox 46">
            <a:extLst>
              <a:ext uri="{FF2B5EF4-FFF2-40B4-BE49-F238E27FC236}">
                <a16:creationId xmlns:a16="http://schemas.microsoft.com/office/drawing/2014/main" id="{2C2428C0-A7EB-4BC7-9813-FA8BB26F815E}"/>
              </a:ext>
            </a:extLst>
          </xdr:cNvPr>
          <xdr:cNvSpPr txBox="1"/>
        </xdr:nvSpPr>
        <xdr:spPr>
          <a:xfrm>
            <a:off x="5273040" y="44561760"/>
            <a:ext cx="809902" cy="33940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600" b="1">
                <a:solidFill>
                  <a:srgbClr val="FF0000"/>
                </a:solidFill>
              </a:rPr>
              <a:t>Wing B</a:t>
            </a:r>
          </a:p>
        </xdr:txBody>
      </xdr:sp>
      <xdr:sp macro="" textlink="">
        <xdr:nvSpPr>
          <xdr:cNvPr id="48" name="TextBox 47">
            <a:extLst>
              <a:ext uri="{FF2B5EF4-FFF2-40B4-BE49-F238E27FC236}">
                <a16:creationId xmlns:a16="http://schemas.microsoft.com/office/drawing/2014/main" id="{5B84E159-B8FB-C090-D9DC-899F7794DE23}"/>
              </a:ext>
            </a:extLst>
          </xdr:cNvPr>
          <xdr:cNvSpPr txBox="1"/>
        </xdr:nvSpPr>
        <xdr:spPr>
          <a:xfrm>
            <a:off x="1491771" y="44682390"/>
            <a:ext cx="809902" cy="33940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600" b="1">
                <a:solidFill>
                  <a:srgbClr val="FF0000"/>
                </a:solidFill>
              </a:rPr>
              <a:t>Wing 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odirealty.com/modirealtyacacia/" TargetMode="External"/><Relationship Id="rId1" Type="http://schemas.openxmlformats.org/officeDocument/2006/relationships/hyperlink" Target="https://maps.app.goo.gl/DKvgT3FBEPWD481t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22"/>
  <sheetViews>
    <sheetView tabSelected="1" view="pageBreakPreview" topLeftCell="A349" zoomScaleNormal="100" zoomScaleSheetLayoutView="100" zoomScalePageLayoutView="85" workbookViewId="0">
      <selection activeCell="J358" sqref="J358"/>
    </sheetView>
  </sheetViews>
  <sheetFormatPr defaultColWidth="9.109375" defaultRowHeight="15.6" x14ac:dyDescent="0.3"/>
  <cols>
    <col min="1" max="1" width="11.44140625" style="38" customWidth="1"/>
    <col min="2" max="2" width="12" style="38" customWidth="1"/>
    <col min="3" max="3" width="12.6640625" style="38" customWidth="1"/>
    <col min="4" max="4" width="13.6640625" style="38" customWidth="1"/>
    <col min="5" max="5" width="11.6640625" style="38" customWidth="1"/>
    <col min="6" max="6" width="11.109375" style="38" customWidth="1"/>
    <col min="7" max="8" width="11" style="38" customWidth="1"/>
    <col min="9" max="9" width="17.44140625" style="21" customWidth="1"/>
    <col min="10" max="10" width="11.44140625" style="21" customWidth="1"/>
    <col min="11" max="11" width="10.554687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171" t="s">
        <v>161</v>
      </c>
      <c r="B1" s="171"/>
      <c r="C1" s="171"/>
      <c r="D1" s="171"/>
      <c r="E1" s="171"/>
      <c r="F1" s="171"/>
      <c r="G1" s="171"/>
      <c r="H1" s="171"/>
    </row>
    <row r="2" spans="1:26" ht="16.5" customHeight="1" x14ac:dyDescent="0.3">
      <c r="A2" s="172" t="s">
        <v>0</v>
      </c>
      <c r="B2" s="172"/>
      <c r="C2" s="172"/>
      <c r="D2" s="172"/>
      <c r="E2" s="172"/>
      <c r="F2" s="172"/>
      <c r="G2" s="172"/>
      <c r="H2" s="172"/>
    </row>
    <row r="3" spans="1:26" x14ac:dyDescent="0.3">
      <c r="A3" s="104" t="s">
        <v>1</v>
      </c>
      <c r="B3" s="104"/>
      <c r="C3" s="104"/>
      <c r="D3" s="104"/>
      <c r="E3" s="104" t="str">
        <f ca="1">TEXT(TODAY(),"DD/MM/YYYY")</f>
        <v>15/08/2025</v>
      </c>
      <c r="F3" s="104"/>
      <c r="G3" s="104"/>
      <c r="H3" s="104"/>
      <c r="K3" s="51" t="s">
        <v>234</v>
      </c>
      <c r="L3" s="50" t="s">
        <v>232</v>
      </c>
      <c r="M3" s="50" t="s">
        <v>237</v>
      </c>
      <c r="N3" s="50" t="s">
        <v>235</v>
      </c>
      <c r="O3" s="50" t="s">
        <v>236</v>
      </c>
      <c r="P3" s="50" t="s">
        <v>238</v>
      </c>
    </row>
    <row r="4" spans="1:26" ht="15" customHeight="1" x14ac:dyDescent="0.3">
      <c r="A4" s="104" t="s">
        <v>231</v>
      </c>
      <c r="B4" s="104"/>
      <c r="C4" s="104"/>
      <c r="D4" s="104"/>
      <c r="E4" s="104" t="s">
        <v>232</v>
      </c>
      <c r="F4" s="104"/>
      <c r="G4" s="104"/>
      <c r="H4" s="104"/>
      <c r="K4" s="49" t="s">
        <v>233</v>
      </c>
      <c r="L4" s="50" t="s">
        <v>166</v>
      </c>
      <c r="M4" s="50" t="s">
        <v>242</v>
      </c>
      <c r="N4" s="50" t="s">
        <v>244</v>
      </c>
      <c r="O4" s="50" t="s">
        <v>246</v>
      </c>
      <c r="P4" s="50"/>
    </row>
    <row r="5" spans="1:26" ht="15" customHeight="1" x14ac:dyDescent="0.3">
      <c r="A5" s="104" t="s">
        <v>2</v>
      </c>
      <c r="B5" s="104"/>
      <c r="C5" s="104"/>
      <c r="D5" s="104"/>
      <c r="E5" s="104" t="s">
        <v>166</v>
      </c>
      <c r="F5" s="104"/>
      <c r="G5" s="104"/>
      <c r="H5" s="104"/>
      <c r="K5" s="49"/>
      <c r="L5" s="50" t="s">
        <v>239</v>
      </c>
      <c r="M5" s="50" t="s">
        <v>243</v>
      </c>
      <c r="N5" s="50" t="s">
        <v>245</v>
      </c>
      <c r="O5" s="50" t="s">
        <v>247</v>
      </c>
      <c r="P5" s="50"/>
    </row>
    <row r="6" spans="1:26" x14ac:dyDescent="0.3">
      <c r="A6" s="104" t="s">
        <v>3</v>
      </c>
      <c r="B6" s="104"/>
      <c r="C6" s="104"/>
      <c r="D6" s="104"/>
      <c r="E6" s="173">
        <v>45883</v>
      </c>
      <c r="F6" s="104"/>
      <c r="G6" s="104"/>
      <c r="H6" s="104"/>
      <c r="K6" s="49"/>
      <c r="L6" s="50" t="s">
        <v>240</v>
      </c>
      <c r="M6" s="50"/>
      <c r="N6" s="50"/>
      <c r="O6" s="50" t="s">
        <v>248</v>
      </c>
      <c r="P6" s="50"/>
    </row>
    <row r="7" spans="1:26" ht="16.5" customHeight="1" x14ac:dyDescent="0.3">
      <c r="A7" s="104" t="s">
        <v>4</v>
      </c>
      <c r="B7" s="104"/>
      <c r="C7" s="104"/>
      <c r="D7" s="104"/>
      <c r="E7" s="104" t="s">
        <v>330</v>
      </c>
      <c r="F7" s="104"/>
      <c r="G7" s="104"/>
      <c r="H7" s="104"/>
      <c r="K7" s="49"/>
      <c r="L7" s="50" t="s">
        <v>241</v>
      </c>
      <c r="M7" s="50"/>
      <c r="N7" s="50"/>
      <c r="O7" s="50" t="s">
        <v>248</v>
      </c>
      <c r="P7" s="50"/>
    </row>
    <row r="8" spans="1:26" ht="15" customHeight="1" x14ac:dyDescent="0.3">
      <c r="A8" s="104" t="s">
        <v>5</v>
      </c>
      <c r="B8" s="104"/>
      <c r="C8" s="104"/>
      <c r="D8" s="104"/>
      <c r="E8" s="104" t="str">
        <f>E7</f>
        <v xml:space="preserve">Modirealty Developers Pvt Ltd </v>
      </c>
      <c r="F8" s="104"/>
      <c r="G8" s="104"/>
      <c r="H8" s="104"/>
      <c r="K8" s="49"/>
      <c r="L8" s="50"/>
      <c r="M8" s="50"/>
      <c r="N8" s="50"/>
      <c r="O8" s="50" t="s">
        <v>249</v>
      </c>
      <c r="P8" s="50"/>
    </row>
    <row r="9" spans="1:26" x14ac:dyDescent="0.3">
      <c r="A9" s="104" t="s">
        <v>6</v>
      </c>
      <c r="B9" s="104"/>
      <c r="C9" s="104"/>
      <c r="D9" s="104"/>
      <c r="E9" s="166" t="s">
        <v>329</v>
      </c>
      <c r="F9" s="166"/>
      <c r="G9" s="166"/>
      <c r="H9" s="166"/>
      <c r="K9" s="49"/>
      <c r="L9" s="50"/>
      <c r="M9" s="50"/>
      <c r="N9" s="50"/>
      <c r="O9" s="50" t="s">
        <v>250</v>
      </c>
      <c r="P9" s="50"/>
    </row>
    <row r="10" spans="1:26" x14ac:dyDescent="0.3">
      <c r="A10" s="104" t="s">
        <v>163</v>
      </c>
      <c r="B10" s="104"/>
      <c r="C10" s="104"/>
      <c r="D10" s="104"/>
      <c r="E10" s="104" t="s">
        <v>331</v>
      </c>
      <c r="F10" s="104"/>
      <c r="G10" s="104"/>
      <c r="H10" s="104"/>
      <c r="K10" s="49"/>
      <c r="L10" s="50"/>
      <c r="M10" s="50"/>
      <c r="N10" s="50"/>
      <c r="O10" s="50"/>
      <c r="P10" s="50"/>
    </row>
    <row r="11" spans="1:26" x14ac:dyDescent="0.3">
      <c r="A11" s="104" t="s">
        <v>164</v>
      </c>
      <c r="B11" s="104"/>
      <c r="C11" s="104"/>
      <c r="D11" s="104"/>
      <c r="E11" s="174" t="s">
        <v>384</v>
      </c>
      <c r="F11" s="174"/>
      <c r="G11" s="174"/>
      <c r="H11" s="174"/>
    </row>
    <row r="12" spans="1:26" x14ac:dyDescent="0.3">
      <c r="A12" s="104" t="s">
        <v>7</v>
      </c>
      <c r="B12" s="104"/>
      <c r="C12" s="104"/>
      <c r="D12" s="104"/>
      <c r="E12" s="104" t="s">
        <v>370</v>
      </c>
      <c r="F12" s="104"/>
      <c r="G12" s="104"/>
      <c r="H12" s="104"/>
    </row>
    <row r="13" spans="1:26" x14ac:dyDescent="0.3">
      <c r="A13" s="104" t="s">
        <v>167</v>
      </c>
      <c r="B13" s="104"/>
      <c r="C13" s="104"/>
      <c r="D13" s="104"/>
      <c r="E13" s="104" t="s">
        <v>333</v>
      </c>
      <c r="F13" s="104"/>
      <c r="G13" s="104"/>
      <c r="H13" s="104"/>
      <c r="S13" s="50" t="s">
        <v>176</v>
      </c>
      <c r="T13" s="50" t="s">
        <v>185</v>
      </c>
      <c r="U13" s="50" t="s">
        <v>168</v>
      </c>
      <c r="V13" s="50" t="s">
        <v>190</v>
      </c>
      <c r="W13" s="50" t="s">
        <v>208</v>
      </c>
      <c r="X13"/>
      <c r="Y13" t="s">
        <v>190</v>
      </c>
      <c r="Z13" t="e">
        <f ca="1">OFFSET($S$13,1,MATCH($G20,$S$13:$W$13,0)-1,15,1)</f>
        <v>#VALUE!</v>
      </c>
    </row>
    <row r="14" spans="1:26" x14ac:dyDescent="0.3">
      <c r="A14" s="92" t="s">
        <v>277</v>
      </c>
      <c r="B14" s="92"/>
      <c r="C14" s="92"/>
      <c r="D14" s="92"/>
      <c r="E14" s="99" t="s">
        <v>223</v>
      </c>
      <c r="F14" s="99"/>
      <c r="G14" s="99"/>
      <c r="H14" s="99"/>
      <c r="S14" s="50" t="s">
        <v>176</v>
      </c>
      <c r="T14" s="50" t="s">
        <v>183</v>
      </c>
      <c r="U14" s="50" t="s">
        <v>205</v>
      </c>
      <c r="V14" s="50" t="s">
        <v>191</v>
      </c>
      <c r="W14" s="50" t="s">
        <v>209</v>
      </c>
      <c r="X14"/>
      <c r="Y14"/>
      <c r="Z14"/>
    </row>
    <row r="15" spans="1:26" x14ac:dyDescent="0.3">
      <c r="A15" s="92" t="s">
        <v>8</v>
      </c>
      <c r="B15" s="92"/>
      <c r="C15" s="92"/>
      <c r="D15" s="92"/>
      <c r="E15" s="99" t="s">
        <v>332</v>
      </c>
      <c r="F15" s="104"/>
      <c r="G15" s="104"/>
      <c r="H15" s="104"/>
      <c r="I15" s="87" t="e">
        <f ca="1">OFFSET($D$5,1,MATCH($J13,$D$5:$H$5,0)-1,15,1)</f>
        <v>#N/A</v>
      </c>
      <c r="J15" s="88"/>
      <c r="K15" s="88"/>
      <c r="L15" s="88"/>
      <c r="M15" s="88"/>
      <c r="N15" s="88"/>
      <c r="O15" s="88"/>
      <c r="P15" s="88"/>
      <c r="S15" s="50" t="s">
        <v>177</v>
      </c>
      <c r="T15" s="50" t="s">
        <v>184</v>
      </c>
      <c r="U15" s="50" t="s">
        <v>206</v>
      </c>
      <c r="V15" s="50" t="s">
        <v>192</v>
      </c>
      <c r="W15" s="50" t="s">
        <v>222</v>
      </c>
      <c r="X15"/>
      <c r="Y15"/>
      <c r="Z15"/>
    </row>
    <row r="16" spans="1:26" ht="48.75" customHeight="1" x14ac:dyDescent="0.3">
      <c r="A16" s="99" t="s">
        <v>9</v>
      </c>
      <c r="B16" s="99"/>
      <c r="C16" s="99" t="str">
        <f>CONCATENATE((IF(OR(E9="",E9="NA"),"",E9)),", ",(IF(OR(A17="",A17="NA"),"",A17)),".",(IF(OR(C17="",C17="NA"),"",C17)),", near ",(IF(OR(C22="",C22="NA"),"",C22)),", ",(IF(OR(C19="",C19="NA"),"",C19)),", ",(IF(OR(C18="",C18="NA"),"",C18)),", ",(IF(OR(G19="",G19="NA"),"",G19)),", ",(IF(OR(C20="",C20="NA"),"",C20)),", ",(IF(OR(C21="",C21="NA"),"",C21)),", ",(IF(OR(G20="",G20="NA"),"",G20))," - ",(IF(OR(G21="",G21="NA"),"",G21)),".")</f>
        <v>Modirealty Acacia, CTS No.1665A (Pt.), Redevelopement of "Gulmarg Tarang CHS Building No.9 ", near Shiv Temple, Vrindavan Road, Shailendra Nagar, Dahisar, Dahisar East, Borivali, Mumbai - 400068.</v>
      </c>
      <c r="D16" s="99"/>
      <c r="E16" s="99"/>
      <c r="F16" s="99"/>
      <c r="G16" s="99"/>
      <c r="H16" s="99"/>
      <c r="S16" s="50" t="s">
        <v>178</v>
      </c>
      <c r="T16" s="50" t="s">
        <v>186</v>
      </c>
      <c r="U16" s="50" t="s">
        <v>207</v>
      </c>
      <c r="V16" s="50" t="s">
        <v>193</v>
      </c>
      <c r="W16" s="50" t="s">
        <v>210</v>
      </c>
      <c r="X16"/>
      <c r="Y16"/>
      <c r="Z16"/>
    </row>
    <row r="17" spans="1:26" x14ac:dyDescent="0.3">
      <c r="A17" s="99" t="s">
        <v>171</v>
      </c>
      <c r="B17" s="99"/>
      <c r="C17" s="99" t="s">
        <v>382</v>
      </c>
      <c r="D17" s="99"/>
      <c r="E17" s="99"/>
      <c r="F17" s="99"/>
      <c r="G17" s="99"/>
      <c r="H17" s="99"/>
      <c r="S17" s="50" t="s">
        <v>179</v>
      </c>
      <c r="T17" s="50" t="s">
        <v>187</v>
      </c>
      <c r="U17" s="50" t="s">
        <v>168</v>
      </c>
      <c r="V17" s="50" t="s">
        <v>194</v>
      </c>
      <c r="W17" s="50" t="s">
        <v>211</v>
      </c>
      <c r="X17"/>
      <c r="Y17"/>
      <c r="Z17"/>
    </row>
    <row r="18" spans="1:26" ht="15.75" customHeight="1" x14ac:dyDescent="0.3">
      <c r="A18" s="99" t="s">
        <v>159</v>
      </c>
      <c r="B18" s="99"/>
      <c r="C18" s="99" t="s">
        <v>335</v>
      </c>
      <c r="D18" s="99"/>
      <c r="E18" s="99"/>
      <c r="F18" s="99"/>
      <c r="G18" s="99"/>
      <c r="H18" s="99"/>
      <c r="S18" s="50" t="s">
        <v>180</v>
      </c>
      <c r="T18" s="50" t="s">
        <v>185</v>
      </c>
      <c r="U18" s="50"/>
      <c r="V18" s="50" t="s">
        <v>195</v>
      </c>
      <c r="W18" s="50" t="s">
        <v>212</v>
      </c>
      <c r="X18"/>
      <c r="Y18"/>
      <c r="Z18"/>
    </row>
    <row r="19" spans="1:26" ht="15.75" customHeight="1" x14ac:dyDescent="0.3">
      <c r="A19" s="99" t="s">
        <v>10</v>
      </c>
      <c r="B19" s="99"/>
      <c r="C19" s="104" t="s">
        <v>361</v>
      </c>
      <c r="D19" s="104"/>
      <c r="E19" s="99" t="s">
        <v>69</v>
      </c>
      <c r="F19" s="99"/>
      <c r="G19" s="99" t="s">
        <v>334</v>
      </c>
      <c r="H19" s="99"/>
      <c r="S19" s="50" t="s">
        <v>181</v>
      </c>
      <c r="T19" s="50" t="s">
        <v>188</v>
      </c>
      <c r="U19" s="50"/>
      <c r="V19" s="50" t="s">
        <v>196</v>
      </c>
      <c r="W19" s="50" t="s">
        <v>213</v>
      </c>
      <c r="X19"/>
      <c r="Y19"/>
      <c r="Z19"/>
    </row>
    <row r="20" spans="1:26" x14ac:dyDescent="0.3">
      <c r="A20" s="104" t="s">
        <v>12</v>
      </c>
      <c r="B20" s="104"/>
      <c r="C20" s="99" t="s">
        <v>357</v>
      </c>
      <c r="D20" s="99"/>
      <c r="E20" s="99" t="s">
        <v>11</v>
      </c>
      <c r="F20" s="99"/>
      <c r="G20" s="178" t="s">
        <v>168</v>
      </c>
      <c r="H20" s="178"/>
      <c r="S20" s="50" t="s">
        <v>182</v>
      </c>
      <c r="T20" s="50" t="s">
        <v>189</v>
      </c>
      <c r="U20" s="50"/>
      <c r="V20" s="50" t="s">
        <v>197</v>
      </c>
      <c r="W20" s="50" t="s">
        <v>214</v>
      </c>
      <c r="X20"/>
      <c r="Y20"/>
      <c r="Z20"/>
    </row>
    <row r="21" spans="1:26" x14ac:dyDescent="0.3">
      <c r="A21" s="104" t="s">
        <v>70</v>
      </c>
      <c r="B21" s="104"/>
      <c r="C21" s="99" t="s">
        <v>206</v>
      </c>
      <c r="D21" s="99"/>
      <c r="E21" s="99" t="s">
        <v>13</v>
      </c>
      <c r="F21" s="99"/>
      <c r="G21" s="99">
        <v>400068</v>
      </c>
      <c r="H21" s="99"/>
      <c r="S21" s="50"/>
      <c r="T21" s="50"/>
      <c r="U21" s="50"/>
      <c r="V21" s="50" t="s">
        <v>198</v>
      </c>
      <c r="W21" s="50" t="s">
        <v>215</v>
      </c>
      <c r="X21"/>
      <c r="Y21"/>
      <c r="Z21"/>
    </row>
    <row r="22" spans="1:26" ht="32.25" customHeight="1" x14ac:dyDescent="0.3">
      <c r="A22" s="104" t="s">
        <v>118</v>
      </c>
      <c r="B22" s="104"/>
      <c r="C22" s="99" t="s">
        <v>362</v>
      </c>
      <c r="D22" s="99"/>
      <c r="E22" s="99" t="s">
        <v>14</v>
      </c>
      <c r="F22" s="99"/>
      <c r="G22" s="99" t="s">
        <v>371</v>
      </c>
      <c r="H22" s="99"/>
      <c r="S22" s="50"/>
      <c r="T22" s="50"/>
      <c r="U22" s="50"/>
      <c r="V22" s="50" t="s">
        <v>199</v>
      </c>
      <c r="W22" s="50" t="s">
        <v>216</v>
      </c>
      <c r="X22"/>
      <c r="Y22"/>
      <c r="Z22"/>
    </row>
    <row r="23" spans="1:26" ht="15" customHeight="1" x14ac:dyDescent="0.3">
      <c r="A23" s="110" t="s">
        <v>72</v>
      </c>
      <c r="B23" s="110"/>
      <c r="C23" s="110"/>
      <c r="D23" s="110"/>
      <c r="E23" s="104" t="s">
        <v>15</v>
      </c>
      <c r="F23" s="104"/>
      <c r="G23" s="104"/>
      <c r="H23" s="104"/>
      <c r="S23" s="50"/>
      <c r="T23" s="50"/>
      <c r="U23" s="50"/>
      <c r="V23" s="50" t="s">
        <v>200</v>
      </c>
      <c r="W23" s="50" t="s">
        <v>217</v>
      </c>
      <c r="X23"/>
      <c r="Y23"/>
      <c r="Z23"/>
    </row>
    <row r="24" spans="1:26" ht="18.75" customHeight="1" x14ac:dyDescent="0.3">
      <c r="A24" s="110"/>
      <c r="B24" s="110"/>
      <c r="C24" s="110"/>
      <c r="D24" s="110"/>
      <c r="E24" s="104"/>
      <c r="F24" s="104"/>
      <c r="G24" s="104"/>
      <c r="H24" s="104"/>
      <c r="S24" s="50"/>
      <c r="T24" s="50"/>
      <c r="U24" s="50"/>
      <c r="V24" s="50" t="s">
        <v>201</v>
      </c>
      <c r="W24" s="50" t="s">
        <v>218</v>
      </c>
      <c r="X24"/>
      <c r="Y24"/>
      <c r="Z24"/>
    </row>
    <row r="25" spans="1:26" ht="15" customHeight="1" x14ac:dyDescent="0.3">
      <c r="A25" s="110" t="s">
        <v>16</v>
      </c>
      <c r="B25" s="110"/>
      <c r="C25" s="110"/>
      <c r="D25" s="110"/>
      <c r="E25" s="99" t="s">
        <v>17</v>
      </c>
      <c r="F25" s="99"/>
      <c r="G25" s="99"/>
      <c r="H25" s="99"/>
      <c r="S25" s="50"/>
      <c r="T25" s="50"/>
      <c r="U25" s="50"/>
      <c r="V25" s="50" t="s">
        <v>202</v>
      </c>
      <c r="W25" s="50" t="s">
        <v>219</v>
      </c>
      <c r="X25"/>
      <c r="Y25"/>
      <c r="Z25"/>
    </row>
    <row r="26" spans="1:26" ht="15" customHeight="1" x14ac:dyDescent="0.3">
      <c r="A26" s="92" t="s">
        <v>18</v>
      </c>
      <c r="B26" s="92"/>
      <c r="C26" s="92"/>
      <c r="D26" s="92"/>
      <c r="E26" s="99" t="str">
        <f>IF(AND(G20="Mumbai"),"Upper Class","Middle Class")</f>
        <v>Upper Class</v>
      </c>
      <c r="F26" s="99"/>
      <c r="G26" s="99"/>
      <c r="H26" s="99"/>
      <c r="S26" s="50"/>
      <c r="T26" s="50"/>
      <c r="U26" s="50"/>
      <c r="V26" s="50" t="s">
        <v>203</v>
      </c>
      <c r="W26" s="50" t="s">
        <v>220</v>
      </c>
      <c r="X26"/>
      <c r="Y26"/>
      <c r="Z26"/>
    </row>
    <row r="27" spans="1:26" x14ac:dyDescent="0.3">
      <c r="A27" s="92" t="s">
        <v>19</v>
      </c>
      <c r="B27" s="92"/>
      <c r="C27" s="92"/>
      <c r="D27" s="92"/>
      <c r="E27" s="99" t="s">
        <v>20</v>
      </c>
      <c r="F27" s="99"/>
      <c r="G27" s="99"/>
      <c r="H27" s="99"/>
      <c r="S27" s="50"/>
      <c r="T27" s="50"/>
      <c r="U27" s="50"/>
      <c r="V27" s="50" t="s">
        <v>204</v>
      </c>
      <c r="W27" s="50" t="s">
        <v>221</v>
      </c>
      <c r="X27"/>
      <c r="Y27"/>
      <c r="Z27"/>
    </row>
    <row r="28" spans="1:26" ht="15.75" customHeight="1" x14ac:dyDescent="0.3">
      <c r="A28" s="92" t="s">
        <v>21</v>
      </c>
      <c r="B28" s="92"/>
      <c r="C28" s="92"/>
      <c r="D28" s="92"/>
      <c r="E28" s="99" t="str">
        <f>IF(AND(G20="Mumbai"),"Developed","Developing")</f>
        <v>Developed</v>
      </c>
      <c r="F28" s="99"/>
      <c r="G28" s="99"/>
      <c r="H28" s="99"/>
    </row>
    <row r="29" spans="1:26" x14ac:dyDescent="0.3">
      <c r="A29" s="92" t="s">
        <v>22</v>
      </c>
      <c r="B29" s="92"/>
      <c r="C29" s="92"/>
      <c r="D29" s="92"/>
      <c r="E29" s="99" t="s">
        <v>23</v>
      </c>
      <c r="F29" s="99"/>
      <c r="G29" s="99"/>
      <c r="H29" s="99"/>
    </row>
    <row r="30" spans="1:26" ht="15.75" customHeight="1" x14ac:dyDescent="0.3">
      <c r="A30" s="92" t="s">
        <v>77</v>
      </c>
      <c r="B30" s="92"/>
      <c r="C30" s="92"/>
      <c r="D30" s="92"/>
      <c r="E30" s="99" t="s">
        <v>78</v>
      </c>
      <c r="F30" s="99"/>
      <c r="G30" s="99"/>
      <c r="H30" s="99"/>
    </row>
    <row r="31" spans="1:26" ht="15" customHeight="1" x14ac:dyDescent="0.3">
      <c r="A31" s="92" t="s">
        <v>30</v>
      </c>
      <c r="B31" s="92"/>
      <c r="C31" s="92"/>
      <c r="D31" s="92"/>
      <c r="E31" s="99" t="str">
        <f>IF(AND(ISNUMBER(SEARCH("Flat",D61)),ISNUMBER(SEARCH("Shop",D61)),ISNUMBER(SEARCH("Office",D61))),"Residential + Commercial",IF(AND(ISNUMBER(SEARCH("Flat",D61)),ISNUMBER(SEARCH("Shop",D61))),"Residential + Commercial",IF(AND(ISNUMBER(SEARCH("Flat",D61)),ISNUMBER(SEARCH("Office",D61))),"Residential + Commercial",IF(AND(ISNUMBER(SEARCH("Shop",D61)),ISNUMBER(SEARCH("Office",D61))),"Commercial",IF(ISNUMBER(SEARCH("Shop",D61)),"Commercial",IF(ISNUMBER(SEARCH("Office",D61)),"Commercial",IF(ISNUMBER(SEARCH("Flat",D61)),"Residential")))))))</f>
        <v>Residential</v>
      </c>
      <c r="F31" s="99"/>
      <c r="G31" s="99"/>
      <c r="H31" s="99"/>
    </row>
    <row r="32" spans="1:26" ht="15.75" customHeight="1" x14ac:dyDescent="0.3">
      <c r="A32" s="92" t="s">
        <v>89</v>
      </c>
      <c r="B32" s="92"/>
      <c r="C32" s="92"/>
      <c r="D32" s="92"/>
      <c r="E32" s="99" t="s">
        <v>31</v>
      </c>
      <c r="F32" s="99"/>
      <c r="G32" s="99"/>
      <c r="H32" s="99"/>
    </row>
    <row r="33" spans="1:19" s="22" customFormat="1" x14ac:dyDescent="0.3">
      <c r="A33" s="183" t="s">
        <v>90</v>
      </c>
      <c r="B33" s="183"/>
      <c r="C33" s="180" t="s">
        <v>169</v>
      </c>
      <c r="D33" s="181"/>
      <c r="E33" s="182"/>
      <c r="F33" s="180" t="s">
        <v>29</v>
      </c>
      <c r="G33" s="181"/>
      <c r="H33" s="182"/>
      <c r="S33" s="22" t="e">
        <f ca="1">OFFSET($S$13,1,MATCH($G20,$S$13:$W$13,0)-1,15,1)</f>
        <v>#VALUE!</v>
      </c>
    </row>
    <row r="34" spans="1:19" s="22" customFormat="1" x14ac:dyDescent="0.3">
      <c r="A34" s="179" t="s">
        <v>24</v>
      </c>
      <c r="B34" s="179" t="s">
        <v>28</v>
      </c>
      <c r="C34" s="175" t="s">
        <v>363</v>
      </c>
      <c r="D34" s="176"/>
      <c r="E34" s="177"/>
      <c r="F34" s="175" t="s">
        <v>373</v>
      </c>
      <c r="G34" s="176"/>
      <c r="H34" s="177"/>
    </row>
    <row r="35" spans="1:19" x14ac:dyDescent="0.3">
      <c r="A35" s="179" t="s">
        <v>25</v>
      </c>
      <c r="B35" s="179" t="s">
        <v>28</v>
      </c>
      <c r="C35" s="175" t="s">
        <v>364</v>
      </c>
      <c r="D35" s="176"/>
      <c r="E35" s="177"/>
      <c r="F35" s="175" t="s">
        <v>360</v>
      </c>
      <c r="G35" s="176"/>
      <c r="H35" s="177"/>
    </row>
    <row r="36" spans="1:19" s="22" customFormat="1" x14ac:dyDescent="0.3">
      <c r="A36" s="179" t="s">
        <v>27</v>
      </c>
      <c r="B36" s="179" t="s">
        <v>28</v>
      </c>
      <c r="C36" s="175" t="s">
        <v>363</v>
      </c>
      <c r="D36" s="176"/>
      <c r="E36" s="177"/>
      <c r="F36" s="175" t="s">
        <v>372</v>
      </c>
      <c r="G36" s="176"/>
      <c r="H36" s="177"/>
    </row>
    <row r="37" spans="1:19" x14ac:dyDescent="0.3">
      <c r="A37" s="179" t="s">
        <v>26</v>
      </c>
      <c r="B37" s="179" t="s">
        <v>28</v>
      </c>
      <c r="C37" s="175" t="s">
        <v>365</v>
      </c>
      <c r="D37" s="176"/>
      <c r="E37" s="177"/>
      <c r="F37" s="175" t="s">
        <v>361</v>
      </c>
      <c r="G37" s="176"/>
      <c r="H37" s="177"/>
    </row>
    <row r="38" spans="1:19" x14ac:dyDescent="0.3">
      <c r="A38" s="92" t="s">
        <v>278</v>
      </c>
      <c r="B38" s="92"/>
      <c r="C38" s="92"/>
      <c r="D38" s="92"/>
      <c r="E38" s="92"/>
      <c r="F38" s="92"/>
      <c r="G38" s="92"/>
      <c r="H38" s="92"/>
    </row>
    <row r="39" spans="1:19" ht="15.75" customHeight="1" x14ac:dyDescent="0.3">
      <c r="A39" s="92" t="s">
        <v>162</v>
      </c>
      <c r="B39" s="92"/>
      <c r="C39" s="164" t="s">
        <v>358</v>
      </c>
      <c r="D39" s="164"/>
      <c r="E39" s="164"/>
      <c r="F39" s="164"/>
      <c r="G39" s="164"/>
      <c r="H39" s="164"/>
    </row>
    <row r="40" spans="1:19" x14ac:dyDescent="0.3">
      <c r="A40" s="92" t="s">
        <v>158</v>
      </c>
      <c r="B40" s="92"/>
      <c r="C40" s="206" t="s">
        <v>359</v>
      </c>
      <c r="D40" s="99"/>
      <c r="E40" s="99"/>
      <c r="F40" s="99"/>
      <c r="G40" s="99"/>
      <c r="H40" s="99"/>
    </row>
    <row r="41" spans="1:19" x14ac:dyDescent="0.3">
      <c r="A41" s="164" t="s">
        <v>32</v>
      </c>
      <c r="B41" s="164"/>
      <c r="C41" s="164"/>
      <c r="D41" s="164"/>
      <c r="E41" s="164"/>
      <c r="F41" s="164"/>
      <c r="G41" s="164"/>
      <c r="H41" s="164"/>
    </row>
    <row r="42" spans="1:19" x14ac:dyDescent="0.3">
      <c r="A42" s="92" t="s">
        <v>33</v>
      </c>
      <c r="B42" s="92"/>
      <c r="C42" s="92"/>
      <c r="D42" s="92"/>
      <c r="E42" s="187">
        <v>1033.21</v>
      </c>
      <c r="F42" s="187"/>
      <c r="G42" s="187"/>
      <c r="H42" s="187"/>
    </row>
    <row r="43" spans="1:19" x14ac:dyDescent="0.3">
      <c r="A43" s="92" t="s">
        <v>34</v>
      </c>
      <c r="B43" s="92"/>
      <c r="C43" s="92"/>
      <c r="D43" s="92"/>
      <c r="E43" s="101">
        <v>3</v>
      </c>
      <c r="F43" s="101"/>
      <c r="G43" s="101"/>
      <c r="H43" s="101"/>
    </row>
    <row r="44" spans="1:19" x14ac:dyDescent="0.3">
      <c r="A44" s="92" t="s">
        <v>35</v>
      </c>
      <c r="B44" s="92"/>
      <c r="C44" s="92"/>
      <c r="D44" s="92"/>
      <c r="E44" s="101">
        <f>E46/E42-E43</f>
        <v>4.2769330532999099</v>
      </c>
      <c r="F44" s="101"/>
      <c r="G44" s="101"/>
      <c r="H44" s="101"/>
    </row>
    <row r="45" spans="1:19" x14ac:dyDescent="0.3">
      <c r="A45" s="104" t="s">
        <v>36</v>
      </c>
      <c r="B45" s="104"/>
      <c r="C45" s="104"/>
      <c r="D45" s="104"/>
      <c r="E45" s="192">
        <f>E43+E44</f>
        <v>7.2769330532999099</v>
      </c>
      <c r="F45" s="192"/>
      <c r="G45" s="192"/>
      <c r="H45" s="192"/>
    </row>
    <row r="46" spans="1:19" x14ac:dyDescent="0.3">
      <c r="A46" s="104" t="s">
        <v>88</v>
      </c>
      <c r="B46" s="104"/>
      <c r="C46" s="104"/>
      <c r="D46" s="104"/>
      <c r="E46" s="193">
        <v>7518.6</v>
      </c>
      <c r="F46" s="193"/>
      <c r="G46" s="193"/>
      <c r="H46" s="193"/>
    </row>
    <row r="47" spans="1:19" x14ac:dyDescent="0.3">
      <c r="A47" s="104" t="s">
        <v>37</v>
      </c>
      <c r="B47" s="104"/>
      <c r="C47" s="104"/>
      <c r="D47" s="104"/>
      <c r="E47" s="104" t="s">
        <v>397</v>
      </c>
      <c r="F47" s="104"/>
      <c r="G47" s="104"/>
      <c r="H47" s="104"/>
    </row>
    <row r="48" spans="1:19" x14ac:dyDescent="0.3">
      <c r="A48" s="166" t="s">
        <v>38</v>
      </c>
      <c r="B48" s="166"/>
      <c r="C48" s="166"/>
      <c r="D48" s="166"/>
      <c r="E48" s="166"/>
      <c r="F48" s="166"/>
      <c r="G48" s="166"/>
      <c r="H48" s="166"/>
    </row>
    <row r="49" spans="1:22" ht="33.75" customHeight="1" x14ac:dyDescent="0.3">
      <c r="A49" s="209" t="s">
        <v>147</v>
      </c>
      <c r="B49" s="210"/>
      <c r="C49" s="211" t="s">
        <v>254</v>
      </c>
      <c r="D49" s="212"/>
      <c r="E49" s="212"/>
      <c r="F49" s="212"/>
      <c r="G49" s="212"/>
      <c r="H49" s="213"/>
      <c r="R49" t="s">
        <v>251</v>
      </c>
      <c r="S49" t="s">
        <v>168</v>
      </c>
      <c r="T49" t="s">
        <v>175</v>
      </c>
      <c r="U49" t="s">
        <v>190</v>
      </c>
      <c r="V49" t="s">
        <v>185</v>
      </c>
    </row>
    <row r="50" spans="1:22" ht="15.75" customHeight="1" x14ac:dyDescent="0.3">
      <c r="A50" s="105" t="s">
        <v>39</v>
      </c>
      <c r="B50" s="106"/>
      <c r="C50" s="105" t="s">
        <v>336</v>
      </c>
      <c r="D50" s="107"/>
      <c r="E50" s="106"/>
      <c r="F50" s="18" t="s">
        <v>40</v>
      </c>
      <c r="G50" s="108">
        <v>45321</v>
      </c>
      <c r="H50" s="106"/>
      <c r="R50"/>
      <c r="S50" t="s">
        <v>252</v>
      </c>
      <c r="T50" t="s">
        <v>257</v>
      </c>
      <c r="U50" t="s">
        <v>268</v>
      </c>
      <c r="V50" t="s">
        <v>273</v>
      </c>
    </row>
    <row r="51" spans="1:22" x14ac:dyDescent="0.3">
      <c r="A51" s="105" t="s">
        <v>41</v>
      </c>
      <c r="B51" s="106"/>
      <c r="C51" s="105" t="str">
        <f>C50</f>
        <v>Mhada-87/1508/2024</v>
      </c>
      <c r="D51" s="107"/>
      <c r="E51" s="106"/>
      <c r="F51" s="18" t="s">
        <v>40</v>
      </c>
      <c r="G51" s="108">
        <v>45321</v>
      </c>
      <c r="H51" s="106"/>
      <c r="R51"/>
      <c r="S51" t="s">
        <v>253</v>
      </c>
      <c r="T51" t="s">
        <v>258</v>
      </c>
      <c r="U51" t="s">
        <v>266</v>
      </c>
      <c r="V51" t="s">
        <v>274</v>
      </c>
    </row>
    <row r="52" spans="1:22" s="23" customFormat="1" x14ac:dyDescent="0.3">
      <c r="A52" s="140" t="s">
        <v>151</v>
      </c>
      <c r="B52" s="141"/>
      <c r="C52" s="140" t="s">
        <v>388</v>
      </c>
      <c r="D52" s="227"/>
      <c r="E52" s="141"/>
      <c r="F52" s="18" t="s">
        <v>40</v>
      </c>
      <c r="G52" s="108">
        <v>45826</v>
      </c>
      <c r="H52" s="106"/>
      <c r="R52"/>
      <c r="S52" t="s">
        <v>254</v>
      </c>
      <c r="T52" t="s">
        <v>259</v>
      </c>
      <c r="U52" t="s">
        <v>256</v>
      </c>
      <c r="V52" t="s">
        <v>275</v>
      </c>
    </row>
    <row r="53" spans="1:22" s="23" customFormat="1" ht="31.2" x14ac:dyDescent="0.3">
      <c r="A53" s="225"/>
      <c r="B53" s="226"/>
      <c r="C53" s="142"/>
      <c r="D53" s="228"/>
      <c r="E53" s="143"/>
      <c r="F53" s="18" t="s">
        <v>117</v>
      </c>
      <c r="G53" s="108">
        <v>46080</v>
      </c>
      <c r="H53" s="106"/>
      <c r="R53"/>
      <c r="S53" t="s">
        <v>255</v>
      </c>
      <c r="T53" t="s">
        <v>262</v>
      </c>
      <c r="U53" t="s">
        <v>269</v>
      </c>
    </row>
    <row r="54" spans="1:22" ht="70.2" customHeight="1" x14ac:dyDescent="0.3">
      <c r="A54" s="142"/>
      <c r="B54" s="143"/>
      <c r="C54" s="105" t="s">
        <v>390</v>
      </c>
      <c r="D54" s="107"/>
      <c r="E54" s="107"/>
      <c r="F54" s="107"/>
      <c r="G54" s="107"/>
      <c r="H54" s="106"/>
      <c r="R54"/>
      <c r="T54"/>
    </row>
    <row r="55" spans="1:22" ht="15.6" customHeight="1" x14ac:dyDescent="0.3">
      <c r="A55" s="140" t="s">
        <v>151</v>
      </c>
      <c r="B55" s="141"/>
      <c r="C55" s="140" t="s">
        <v>383</v>
      </c>
      <c r="D55" s="227"/>
      <c r="E55" s="141"/>
      <c r="F55" s="18" t="s">
        <v>40</v>
      </c>
      <c r="G55" s="108">
        <v>45532</v>
      </c>
      <c r="H55" s="106"/>
      <c r="T55" t="s">
        <v>276</v>
      </c>
    </row>
    <row r="56" spans="1:22" ht="31.2" x14ac:dyDescent="0.3">
      <c r="A56" s="225"/>
      <c r="B56" s="226"/>
      <c r="C56" s="142"/>
      <c r="D56" s="228"/>
      <c r="E56" s="143"/>
      <c r="F56" s="18" t="s">
        <v>117</v>
      </c>
      <c r="G56" s="108">
        <v>45715</v>
      </c>
      <c r="H56" s="106"/>
      <c r="R56"/>
    </row>
    <row r="57" spans="1:22" ht="84.6" customHeight="1" x14ac:dyDescent="0.3">
      <c r="A57" s="142"/>
      <c r="B57" s="143"/>
      <c r="C57" s="105" t="s">
        <v>391</v>
      </c>
      <c r="D57" s="107"/>
      <c r="E57" s="107"/>
      <c r="F57" s="107"/>
      <c r="G57" s="107"/>
      <c r="H57" s="106"/>
      <c r="I57" s="24"/>
      <c r="R57"/>
    </row>
    <row r="58" spans="1:22" ht="15.75" customHeight="1" x14ac:dyDescent="0.3">
      <c r="A58" s="229" t="s">
        <v>393</v>
      </c>
      <c r="B58" s="230"/>
      <c r="C58" s="229" t="s">
        <v>28</v>
      </c>
      <c r="D58" s="231"/>
      <c r="E58" s="230"/>
      <c r="F58" s="232" t="s">
        <v>40</v>
      </c>
      <c r="G58" s="233" t="s">
        <v>28</v>
      </c>
      <c r="H58" s="95"/>
      <c r="R58"/>
    </row>
    <row r="59" spans="1:22" ht="15.75" customHeight="1" x14ac:dyDescent="0.3">
      <c r="A59" s="109" t="s">
        <v>43</v>
      </c>
      <c r="B59" s="109"/>
      <c r="C59" s="109"/>
      <c r="D59" s="109"/>
      <c r="E59" s="109"/>
      <c r="F59" s="109"/>
      <c r="G59" s="109"/>
      <c r="H59" s="109"/>
      <c r="N59" s="24"/>
      <c r="S59"/>
    </row>
    <row r="60" spans="1:22" ht="15.75" customHeight="1" x14ac:dyDescent="0.3">
      <c r="A60" s="110" t="s">
        <v>87</v>
      </c>
      <c r="B60" s="110"/>
      <c r="C60" s="110"/>
      <c r="D60" s="92">
        <f>E46</f>
        <v>7518.6</v>
      </c>
      <c r="E60" s="92"/>
      <c r="F60" s="92"/>
      <c r="G60" s="92"/>
      <c r="H60" s="92"/>
      <c r="J60" s="25"/>
      <c r="K60" s="25"/>
      <c r="S60"/>
    </row>
    <row r="61" spans="1:22" x14ac:dyDescent="0.3">
      <c r="A61" s="99" t="s">
        <v>44</v>
      </c>
      <c r="B61" s="104"/>
      <c r="C61" s="104"/>
      <c r="D61" s="104" t="s">
        <v>356</v>
      </c>
      <c r="E61" s="104"/>
      <c r="F61" s="104"/>
      <c r="G61" s="104"/>
      <c r="H61" s="104"/>
      <c r="I61" s="21" t="s">
        <v>368</v>
      </c>
      <c r="K61" s="67" t="s">
        <v>369</v>
      </c>
      <c r="S61"/>
    </row>
    <row r="62" spans="1:22" ht="31.2" customHeight="1" x14ac:dyDescent="0.3">
      <c r="A62" s="129" t="s">
        <v>45</v>
      </c>
      <c r="B62" s="130"/>
      <c r="C62" s="205"/>
      <c r="D62" s="129" t="s">
        <v>374</v>
      </c>
      <c r="E62" s="134"/>
      <c r="F62" s="134"/>
      <c r="G62" s="134"/>
      <c r="H62" s="135"/>
      <c r="J62" s="25"/>
      <c r="S62"/>
    </row>
    <row r="63" spans="1:22" x14ac:dyDescent="0.3">
      <c r="A63" s="129" t="s">
        <v>85</v>
      </c>
      <c r="B63" s="130"/>
      <c r="C63" s="130"/>
      <c r="D63" s="133" t="s">
        <v>394</v>
      </c>
      <c r="E63" s="134"/>
      <c r="F63" s="134"/>
      <c r="G63" s="134"/>
      <c r="H63" s="135"/>
      <c r="S63"/>
    </row>
    <row r="64" spans="1:22" ht="15.75" customHeight="1" x14ac:dyDescent="0.3">
      <c r="A64" s="131"/>
      <c r="B64" s="132"/>
      <c r="C64" s="132"/>
      <c r="D64" s="126" t="s">
        <v>395</v>
      </c>
      <c r="E64" s="127"/>
      <c r="F64" s="127"/>
      <c r="G64" s="127"/>
      <c r="H64" s="128"/>
      <c r="S64"/>
    </row>
    <row r="65" spans="1:19" x14ac:dyDescent="0.3">
      <c r="A65" s="92" t="s">
        <v>42</v>
      </c>
      <c r="B65" s="92"/>
      <c r="C65" s="92"/>
      <c r="D65" s="188" t="s">
        <v>337</v>
      </c>
      <c r="E65" s="188"/>
      <c r="F65" s="188"/>
      <c r="G65" s="188"/>
      <c r="H65" s="188"/>
      <c r="S65"/>
    </row>
    <row r="66" spans="1:19" x14ac:dyDescent="0.3">
      <c r="A66" s="104" t="s">
        <v>83</v>
      </c>
      <c r="B66" s="104"/>
      <c r="C66" s="104"/>
      <c r="D66" s="191" t="str">
        <f>(IF(G58="NA","60 Years After Completion",IF(#REF!&lt;&gt;"NA",""&amp;60-ROUNDDOWN((E3-G58)/360,0)&amp;" Years"," ")))</f>
        <v>60 Years After Completion</v>
      </c>
      <c r="E66" s="191"/>
      <c r="F66" s="191"/>
      <c r="G66" s="191"/>
      <c r="H66" s="191"/>
      <c r="S66"/>
    </row>
    <row r="67" spans="1:19" ht="15.75" customHeight="1" x14ac:dyDescent="0.3">
      <c r="A67" s="104" t="s">
        <v>84</v>
      </c>
      <c r="B67" s="104"/>
      <c r="C67" s="104"/>
      <c r="D67" s="99" t="s">
        <v>23</v>
      </c>
      <c r="E67" s="99"/>
      <c r="F67" s="99"/>
      <c r="G67" s="99"/>
      <c r="H67" s="99"/>
      <c r="S67"/>
    </row>
    <row r="68" spans="1:19" x14ac:dyDescent="0.3">
      <c r="A68" s="104" t="s">
        <v>375</v>
      </c>
      <c r="B68" s="104"/>
      <c r="C68" s="104"/>
      <c r="D68" s="99" t="s">
        <v>367</v>
      </c>
      <c r="E68" s="99"/>
      <c r="F68" s="99"/>
      <c r="G68" s="99"/>
      <c r="H68" s="99"/>
    </row>
    <row r="69" spans="1:19" x14ac:dyDescent="0.3">
      <c r="A69" s="99" t="s">
        <v>144</v>
      </c>
      <c r="B69" s="99"/>
      <c r="C69" s="99"/>
      <c r="D69" s="99" t="s">
        <v>28</v>
      </c>
      <c r="E69" s="99"/>
      <c r="F69" s="99"/>
      <c r="G69" s="99"/>
      <c r="H69" s="99"/>
      <c r="S69"/>
    </row>
    <row r="70" spans="1:19" ht="15.75" customHeight="1" x14ac:dyDescent="0.3">
      <c r="A70" s="100" t="s">
        <v>82</v>
      </c>
      <c r="B70" s="100"/>
      <c r="C70" s="100"/>
      <c r="D70" s="170" t="str">
        <f ca="1">(IF(G76&gt;95%,"Nothing",IF(G76&gt;0%,"Cement, Aggregate, Steel, etc",IF(G76=0%,"Work not yet Started"))))</f>
        <v>Cement, Aggregate, Steel, etc</v>
      </c>
      <c r="E70" s="170"/>
      <c r="F70" s="170"/>
      <c r="G70" s="170"/>
      <c r="H70" s="170"/>
      <c r="S70"/>
    </row>
    <row r="71" spans="1:19" ht="15.75" customHeight="1" thickBot="1" x14ac:dyDescent="0.35">
      <c r="A71" s="169" t="s">
        <v>114</v>
      </c>
      <c r="B71" s="169"/>
      <c r="C71" s="169"/>
      <c r="D71" s="170" t="str">
        <f ca="1">(IF(D70="Nothing","Yes",IF(D70="Cement, Aggregate, Steel, etc","Under Construction",IF(D70="Work not yet Started","Work not yet Started"))))</f>
        <v>Under Construction</v>
      </c>
      <c r="E71" s="170"/>
      <c r="F71" s="170" t="str">
        <f ca="1">(IF(D70="Nothing","Yes",IF(D70="Cement, Aggregate, Steel, etc","Under Construction",IF(D70="Work not yet Started","Work not yet Started"))))</f>
        <v>Under Construction</v>
      </c>
      <c r="G71" s="170"/>
      <c r="H71" s="170"/>
    </row>
    <row r="72" spans="1:19" ht="15.75" customHeight="1" x14ac:dyDescent="0.3">
      <c r="A72" s="102" t="s">
        <v>136</v>
      </c>
      <c r="B72" s="103"/>
      <c r="C72" s="123" t="str">
        <f>D63</f>
        <v>Wing A  = Gr. + 1st to 20th Floor</v>
      </c>
      <c r="D72" s="124"/>
      <c r="E72" s="124"/>
      <c r="F72" s="124"/>
      <c r="G72" s="124"/>
      <c r="H72" s="125"/>
      <c r="I72" s="45" t="str">
        <f ca="1">IF(D85=100%,"All work Completed. Possession granted to the Building.",IF(D84=100%,"All work Completed, Waiting for OC",I73&amp;""&amp;I74&amp;""&amp;J73&amp;""&amp;J72&amp;" "&amp;J74))</f>
        <v>Excavation, Plinth Completed, RCC upto 16 Slab, Brickwork upto 11 Floor, Internal Plaster upto 4 Floor Completed</v>
      </c>
      <c r="J72" s="46" t="str">
        <f ca="1">(IF(C78=(D73+F73+H73),"",IF(C78&gt;0,", RCC upto "&amp;C78&amp;" Slab","")))&amp;(IF(C79=H73,"",IF(C79&gt;0,", Brickwork upto "&amp;C79&amp;" Floor","")))&amp;(IF(C80=H73,"",IF(C80&gt;0,", Internal Plaster upto "&amp;C80&amp;" Floor","")))&amp;(IF(C81=H73,"",IF(C81&gt;0,", External Plaster upto "&amp;C81&amp;" Floor","")))&amp;(IF(C82=H73,"",IF(C82&gt;0,", Flooring upto "&amp;C82&amp;" Floor","")))&amp;(IF(C83=H73,"",IF(C83&gt;0,", Painting upto "&amp;C83&amp;" Floor","")))&amp;(IF(C84=H73,"",IF(C84&gt;0,", Finishing upto "&amp;C84&amp;" Floor","")))&amp;(IF(C85=H73,"",IF(C85&gt;0,", Possession upto "&amp;C85&amp;" Floor","")))</f>
        <v>, RCC upto 16 Slab, Brickwork upto 11 Floor, Internal Plaster upto 4 Floor</v>
      </c>
    </row>
    <row r="73" spans="1:19" ht="15" customHeight="1" x14ac:dyDescent="0.3">
      <c r="A73" s="16" t="s">
        <v>138</v>
      </c>
      <c r="B73" s="43">
        <f>IF(AND(ISNUMBER(SEARCH("1B",C72))),1,IF(AND(ISNUMBER(SEARCH("2B",C72))),2,IF(AND(ISNUMBER(SEARCH("3B",C72))),3,IF(AND(ISNUMBER(SEARCH("4B",C72))),4,IF(ISNUMBER(SEARCH("5B",C72)),5,0)))))</f>
        <v>0</v>
      </c>
      <c r="C73" s="43" t="s">
        <v>68</v>
      </c>
      <c r="D73" s="43">
        <v>1</v>
      </c>
      <c r="E73" s="43" t="s">
        <v>67</v>
      </c>
      <c r="F73" s="43">
        <v>0</v>
      </c>
      <c r="G73" s="43" t="s">
        <v>76</v>
      </c>
      <c r="H73" s="17">
        <f ca="1">--TRIM(RIGHT(SUBSTITUTE(LEFT(C72,_xlfn.AGGREGATE(16,6,FIND({0,1,2,3,4,5,6,7,8,9},C72,ROW(INDIRECT("1:"&amp;LEN(C72)))),1))," ",REPT(" ",LEN(C72))),LEN(C72)))</f>
        <v>20</v>
      </c>
      <c r="I73" s="47" t="str">
        <f ca="1">IF(D76=100%,"Excavation","")&amp;IF(D77=100%,", Plinth","")&amp;IF(D78=100%,", RCC Slab","")&amp;IF(D79=100%,", Brickwork","")&amp;IF(D80=100%,", Internal Plaster","")&amp;IF(D81=100%,", External Plaster","")&amp;IF(D82=100%,", Flooring","")&amp;IF(D83=100%,", Painting","")&amp;IF(D84=100%,", Building common Amenities","")</f>
        <v>Excavation, Plinth</v>
      </c>
      <c r="J73" s="48" t="str">
        <f ca="1">(IF(C76=0,"Work not yet Started.",IF(D76=25%,"Piling work in process",IF(D76=50%,"Excavation work in process",IF(D76=100%,"","0")))))&amp;(IF(C77=0%,"",IF(C77=J78,", Footing work is process",IF(C77=J79,", Footing work Completed",IF(C77=J80,", 1st Basement Completed",IF(C77=J81,", 1st &amp; 2nd Basement Completed",IF(C77=J82,", 1st to 3rd Basement Completed",IF(C77=J83,", 1st to 4th Basement Completed",IF(C77=J84,", Plinth work is process",IF(C77=J85,"","0"))))))))))</f>
        <v/>
      </c>
    </row>
    <row r="74" spans="1:19" ht="33.6" customHeight="1" x14ac:dyDescent="0.3">
      <c r="A74" s="165" t="s">
        <v>86</v>
      </c>
      <c r="B74" s="166"/>
      <c r="C74" s="167" t="str">
        <f ca="1">I72</f>
        <v>Excavation, Plinth Completed, RCC upto 16 Slab, Brickwork upto 11 Floor, Internal Plaster upto 4 Floor Completed</v>
      </c>
      <c r="D74" s="167"/>
      <c r="E74" s="167"/>
      <c r="F74" s="167"/>
      <c r="G74" s="167"/>
      <c r="H74" s="168"/>
      <c r="I74" s="47" t="str">
        <f ca="1">IF(I73&lt;&gt;""," Completed","")</f>
        <v xml:space="preserve"> Completed</v>
      </c>
      <c r="J74" s="48" t="str">
        <f ca="1">IF(J72&lt;&gt;"","Completed","")</f>
        <v>Completed</v>
      </c>
    </row>
    <row r="75" spans="1:19" ht="15.75" customHeight="1" x14ac:dyDescent="0.3">
      <c r="A75" s="114" t="s">
        <v>46</v>
      </c>
      <c r="B75" s="115"/>
      <c r="C75" s="68" t="s">
        <v>135</v>
      </c>
      <c r="D75" s="68" t="s">
        <v>79</v>
      </c>
      <c r="E75" s="115" t="s">
        <v>81</v>
      </c>
      <c r="F75" s="115"/>
      <c r="G75" s="115" t="s">
        <v>80</v>
      </c>
      <c r="H75" s="145"/>
      <c r="I75" s="13" t="s">
        <v>137</v>
      </c>
      <c r="J75" s="26">
        <f ca="1">H73*25%</f>
        <v>5</v>
      </c>
    </row>
    <row r="76" spans="1:19" ht="15.75" customHeight="1" x14ac:dyDescent="0.3">
      <c r="A76" s="114" t="s">
        <v>124</v>
      </c>
      <c r="B76" s="115"/>
      <c r="C76" s="68">
        <f ca="1">J77</f>
        <v>20</v>
      </c>
      <c r="D76" s="69">
        <f ca="1">((100/H73)*C76)/100</f>
        <v>1</v>
      </c>
      <c r="E76" s="146">
        <f ca="1">(((C77/H73*10)+(40/(D73+F73+H73)*C78)+(7.5/(H73)*C79)+(7.5/(H73)*C80)+(10/H73*C81)+(10/H73*C82)+(5/H73*C83)+(5/H73*C84)+(5/H73*C85))/100)</f>
        <v>0.46101190476190473</v>
      </c>
      <c r="F76" s="147"/>
      <c r="G76" s="146">
        <f ca="1">((((C76/H73)*20)+((C77/H73)*25)+(30/(H73+F73+D73)*C78)+(5/H73*C79)+(5/H73*C80)+(5/H73*C81)+(5/H73*C82)+(0/H73*C83)+(0/H73*C84)+(5/H73*C85))/100)</f>
        <v>0.71607142857142858</v>
      </c>
      <c r="H76" s="158"/>
      <c r="I76" s="13" t="s">
        <v>97</v>
      </c>
      <c r="J76" s="27">
        <f ca="1">H73*50%</f>
        <v>10</v>
      </c>
    </row>
    <row r="77" spans="1:19" x14ac:dyDescent="0.3">
      <c r="A77" s="114" t="s">
        <v>47</v>
      </c>
      <c r="B77" s="115"/>
      <c r="C77" s="70">
        <f ca="1">J85</f>
        <v>20</v>
      </c>
      <c r="D77" s="69">
        <f ca="1">((100/H73)*C77)/100</f>
        <v>1</v>
      </c>
      <c r="E77" s="148"/>
      <c r="F77" s="149"/>
      <c r="G77" s="148"/>
      <c r="H77" s="159"/>
      <c r="I77" s="13" t="s">
        <v>98</v>
      </c>
      <c r="J77" s="27">
        <f ca="1">H73</f>
        <v>20</v>
      </c>
    </row>
    <row r="78" spans="1:19" ht="15.75" customHeight="1" x14ac:dyDescent="0.3">
      <c r="A78" s="114" t="s">
        <v>125</v>
      </c>
      <c r="B78" s="115"/>
      <c r="C78" s="68">
        <v>16</v>
      </c>
      <c r="D78" s="69">
        <f ca="1">((100/(D73+F73+H73))*C78)/100</f>
        <v>0.76190476190476186</v>
      </c>
      <c r="E78" s="148"/>
      <c r="F78" s="149"/>
      <c r="G78" s="148"/>
      <c r="H78" s="159"/>
      <c r="I78" s="13" t="s">
        <v>99</v>
      </c>
      <c r="J78" s="28">
        <f ca="1">(IF(B73&gt;1,(H73/(B73+2)),H73/4))</f>
        <v>5</v>
      </c>
    </row>
    <row r="79" spans="1:19" x14ac:dyDescent="0.3">
      <c r="A79" s="114" t="s">
        <v>132</v>
      </c>
      <c r="B79" s="115" t="s">
        <v>126</v>
      </c>
      <c r="C79" s="68">
        <v>11</v>
      </c>
      <c r="D79" s="69">
        <f ca="1">((100/H73)*C79)/100</f>
        <v>0.55000000000000004</v>
      </c>
      <c r="E79" s="148"/>
      <c r="F79" s="149"/>
      <c r="G79" s="148"/>
      <c r="H79" s="159"/>
      <c r="I79" s="13" t="s">
        <v>100</v>
      </c>
      <c r="J79" s="28">
        <f ca="1">(IF(B73&gt;1,(H73/(B73+2)+J78),H73/4+J78))</f>
        <v>10</v>
      </c>
    </row>
    <row r="80" spans="1:19" x14ac:dyDescent="0.3">
      <c r="A80" s="114" t="s">
        <v>133</v>
      </c>
      <c r="B80" s="115" t="s">
        <v>126</v>
      </c>
      <c r="C80" s="68">
        <v>4</v>
      </c>
      <c r="D80" s="69">
        <f ca="1">((100/H73)*C80)/100</f>
        <v>0.2</v>
      </c>
      <c r="E80" s="148"/>
      <c r="F80" s="149"/>
      <c r="G80" s="148"/>
      <c r="H80" s="159"/>
      <c r="I80" s="13" t="s">
        <v>142</v>
      </c>
      <c r="J80" s="28">
        <f>(IF(B73&gt;1,(H73/(B73+2)+J79),0))</f>
        <v>0</v>
      </c>
    </row>
    <row r="81" spans="1:10" ht="15.75" customHeight="1" x14ac:dyDescent="0.3">
      <c r="A81" s="114" t="s">
        <v>131</v>
      </c>
      <c r="B81" s="115" t="s">
        <v>128</v>
      </c>
      <c r="C81" s="68">
        <v>0</v>
      </c>
      <c r="D81" s="69">
        <f ca="1">((100/(H73))*C81)/100</f>
        <v>0</v>
      </c>
      <c r="E81" s="148"/>
      <c r="F81" s="149"/>
      <c r="G81" s="148"/>
      <c r="H81" s="159"/>
      <c r="I81" s="13" t="s">
        <v>139</v>
      </c>
      <c r="J81" s="28">
        <f>(IF(B73&gt;2,(H73/(B73+2)+J80),0))</f>
        <v>0</v>
      </c>
    </row>
    <row r="82" spans="1:10" x14ac:dyDescent="0.3">
      <c r="A82" s="114" t="s">
        <v>127</v>
      </c>
      <c r="B82" s="115" t="s">
        <v>127</v>
      </c>
      <c r="C82" s="68">
        <v>0</v>
      </c>
      <c r="D82" s="69">
        <f ca="1">((100/H73)*C82)/100</f>
        <v>0</v>
      </c>
      <c r="E82" s="148"/>
      <c r="F82" s="149"/>
      <c r="G82" s="148"/>
      <c r="H82" s="159"/>
      <c r="I82" s="13" t="s">
        <v>140</v>
      </c>
      <c r="J82" s="29">
        <f>(IF(B73&gt;3,(H73/(B73+2)+J81),0))</f>
        <v>0</v>
      </c>
    </row>
    <row r="83" spans="1:10" x14ac:dyDescent="0.3">
      <c r="A83" s="114" t="s">
        <v>134</v>
      </c>
      <c r="B83" s="115"/>
      <c r="C83" s="68">
        <v>0</v>
      </c>
      <c r="D83" s="69">
        <f ca="1">((100/H73)*C83)/100</f>
        <v>0</v>
      </c>
      <c r="E83" s="148"/>
      <c r="F83" s="149"/>
      <c r="G83" s="148"/>
      <c r="H83" s="159"/>
      <c r="I83" s="13" t="s">
        <v>141</v>
      </c>
      <c r="J83" s="28">
        <f>(IF(B73&gt;4,(H73/(B73+2)+J82),0))</f>
        <v>0</v>
      </c>
    </row>
    <row r="84" spans="1:10" ht="15.75" customHeight="1" x14ac:dyDescent="0.3">
      <c r="A84" s="114" t="s">
        <v>129</v>
      </c>
      <c r="B84" s="115" t="s">
        <v>129</v>
      </c>
      <c r="C84" s="68">
        <v>0</v>
      </c>
      <c r="D84" s="69">
        <f ca="1">((100/(H73))*C84)/100</f>
        <v>0</v>
      </c>
      <c r="E84" s="148"/>
      <c r="F84" s="149"/>
      <c r="G84" s="148"/>
      <c r="H84" s="159"/>
      <c r="I84" s="13" t="s">
        <v>143</v>
      </c>
      <c r="J84" s="28">
        <f ca="1">(IF(B73=1,(H73/(B73+3)+J79),IF(B73=0,(H73/4+J79),IF(B73&gt;1,0))))</f>
        <v>15</v>
      </c>
    </row>
    <row r="85" spans="1:10" ht="15.75" customHeight="1" thickBot="1" x14ac:dyDescent="0.35">
      <c r="A85" s="189" t="s">
        <v>130</v>
      </c>
      <c r="B85" s="190"/>
      <c r="C85" s="71">
        <v>0</v>
      </c>
      <c r="D85" s="72">
        <f ca="1">((100/(H73))*C85)/100</f>
        <v>0</v>
      </c>
      <c r="E85" s="150"/>
      <c r="F85" s="151"/>
      <c r="G85" s="150"/>
      <c r="H85" s="160"/>
      <c r="I85" s="15" t="s">
        <v>101</v>
      </c>
      <c r="J85" s="30">
        <f ca="1">(IF(B73&gt;1.5,(H73/(B73+2)+J79+MAX(0,J80-J79)+MAX(0,J81-J80)+MAX(0,J82-J81)+MAX(0,J83-J82)+MAX(0,J84-J83)),IF(B73=1,(H73/(B73+3)+J84),IF(B73=0,H73/4+J84))))</f>
        <v>20</v>
      </c>
    </row>
    <row r="86" spans="1:10" ht="15.75" customHeight="1" x14ac:dyDescent="0.3">
      <c r="A86" s="102" t="s">
        <v>136</v>
      </c>
      <c r="B86" s="103"/>
      <c r="C86" s="123" t="str">
        <f>D64</f>
        <v>Wing B = Gr. + 1st to 20th Floor</v>
      </c>
      <c r="D86" s="124"/>
      <c r="E86" s="124"/>
      <c r="F86" s="124"/>
      <c r="G86" s="124"/>
      <c r="H86" s="125"/>
      <c r="I86" s="45" t="str">
        <f ca="1">IF(D99=100%,"All work Completed. Possession granted to the Building.",IF(D98=100%,"All work Completed, Waiting for OC",I87&amp;""&amp;I88&amp;""&amp;J87&amp;""&amp;J86&amp;" "&amp;J88))</f>
        <v>Excavation, Plinth Completed, RCC upto 16 Slab, Brickwork upto 11 Floor, Internal Plaster upto 4 Floor Completed</v>
      </c>
      <c r="J86" s="46" t="str">
        <f ca="1">(IF(C92=(D87+F87+H87),"",IF(C92&gt;0,", RCC upto "&amp;C92&amp;" Slab","")))&amp;(IF(C93=H87,"",IF(C93&gt;0,", Brickwork upto "&amp;C93&amp;" Floor","")))&amp;(IF(C94=H87,"",IF(C94&gt;0,", Internal Plaster upto "&amp;C94&amp;" Floor","")))&amp;(IF(C95=H87,"",IF(C95&gt;0,", External Plaster upto "&amp;C95&amp;" Floor","")))&amp;(IF(C96=H87,"",IF(C96&gt;0,", Flooring upto "&amp;C96&amp;" Floor","")))&amp;(IF(C97=H87,"",IF(C97&gt;0,", Painting upto "&amp;C97&amp;" Floor","")))&amp;(IF(C98=H87,"",IF(C98&gt;0,", Finishing upto "&amp;C98&amp;" Floor","")))&amp;(IF(C99=H87,"",IF(C99&gt;0,", Possession upto "&amp;C99&amp;" Floor","")))</f>
        <v>, RCC upto 16 Slab, Brickwork upto 11 Floor, Internal Plaster upto 4 Floor</v>
      </c>
    </row>
    <row r="87" spans="1:10" ht="15" customHeight="1" x14ac:dyDescent="0.3">
      <c r="A87" s="16" t="s">
        <v>138</v>
      </c>
      <c r="B87" s="43">
        <f>IF(AND(ISNUMBER(SEARCH("1B",C86))),1,IF(AND(ISNUMBER(SEARCH("2B",C86))),2,IF(AND(ISNUMBER(SEARCH("3B",C86))),3,IF(AND(ISNUMBER(SEARCH("4B",C86))),4,IF(ISNUMBER(SEARCH("5B",C86)),5,0)))))</f>
        <v>0</v>
      </c>
      <c r="C87" s="43" t="s">
        <v>68</v>
      </c>
      <c r="D87" s="43">
        <v>1</v>
      </c>
      <c r="E87" s="43" t="s">
        <v>67</v>
      </c>
      <c r="F87" s="43">
        <v>0</v>
      </c>
      <c r="G87" s="43" t="s">
        <v>76</v>
      </c>
      <c r="H87" s="17">
        <f ca="1">--TRIM(RIGHT(SUBSTITUTE(LEFT(C86,_xlfn.AGGREGATE(16,6,FIND({0,1,2,3,4,5,6,7,8,9},C86,ROW(INDIRECT("1:"&amp;LEN(C86)))),1))," ",REPT(" ",LEN(C86))),LEN(C86)))</f>
        <v>20</v>
      </c>
      <c r="I87" s="47" t="str">
        <f ca="1">IF(D90=100%,"Excavation","")&amp;IF(D91=100%,", Plinth","")&amp;IF(D92=100%,", RCC Slab","")&amp;IF(D93=100%,", Brickwork","")&amp;IF(D94=100%,", Internal Plaster","")&amp;IF(D95=100%,", External Plaster","")&amp;IF(D96=100%,", Flooring","")&amp;IF(D97=100%,", Painting","")&amp;IF(D98=100%,", Building common Amenities","")</f>
        <v>Excavation, Plinth</v>
      </c>
      <c r="J87" s="48" t="str">
        <f ca="1">(IF(C90=0,"Work not yet Started.",IF(D90=25%,"Piling work in process",IF(D90=50%,"Excavation work in process",IF(D90=100%,"","0")))))&amp;(IF(C91=0%,"",IF(C91=J92,", Footing work is process",IF(C91=J93,", Footing work Completed",IF(C91=J94,", 1st Basement Completed",IF(C91=J95,", 1st &amp; 2nd Basement Completed",IF(C91=J96,", 1st to 3rd Basement Completed",IF(C91=J97,", 1st to 4th Basement Completed",IF(C91=J98,", Plinth work is process",IF(C91=J99,"","0"))))))))))</f>
        <v/>
      </c>
    </row>
    <row r="88" spans="1:10" ht="33" customHeight="1" x14ac:dyDescent="0.3">
      <c r="A88" s="165" t="s">
        <v>86</v>
      </c>
      <c r="B88" s="166"/>
      <c r="C88" s="167" t="str">
        <f ca="1">I86</f>
        <v>Excavation, Plinth Completed, RCC upto 16 Slab, Brickwork upto 11 Floor, Internal Plaster upto 4 Floor Completed</v>
      </c>
      <c r="D88" s="167"/>
      <c r="E88" s="167"/>
      <c r="F88" s="167"/>
      <c r="G88" s="167"/>
      <c r="H88" s="168"/>
      <c r="I88" s="47" t="str">
        <f ca="1">IF(I87&lt;&gt;""," Completed","")</f>
        <v xml:space="preserve"> Completed</v>
      </c>
      <c r="J88" s="48" t="str">
        <f ca="1">IF(J86&lt;&gt;"","Completed","")</f>
        <v>Completed</v>
      </c>
    </row>
    <row r="89" spans="1:10" ht="15.75" customHeight="1" x14ac:dyDescent="0.3">
      <c r="A89" s="114" t="s">
        <v>46</v>
      </c>
      <c r="B89" s="115"/>
      <c r="C89" s="68" t="s">
        <v>135</v>
      </c>
      <c r="D89" s="68" t="s">
        <v>79</v>
      </c>
      <c r="E89" s="115" t="s">
        <v>81</v>
      </c>
      <c r="F89" s="115"/>
      <c r="G89" s="115" t="s">
        <v>80</v>
      </c>
      <c r="H89" s="145"/>
      <c r="I89" s="13" t="s">
        <v>137</v>
      </c>
      <c r="J89" s="26">
        <f ca="1">H87*25%</f>
        <v>5</v>
      </c>
    </row>
    <row r="90" spans="1:10" ht="15.75" customHeight="1" x14ac:dyDescent="0.3">
      <c r="A90" s="114" t="s">
        <v>124</v>
      </c>
      <c r="B90" s="115"/>
      <c r="C90" s="68">
        <f ca="1">J91</f>
        <v>20</v>
      </c>
      <c r="D90" s="69">
        <f ca="1">((100/H87)*C90)/100</f>
        <v>1</v>
      </c>
      <c r="E90" s="146">
        <f ca="1">(((C91/H87*10)+(40/(D87+F87+H87)*C92)+(7.5/(H87)*C93)+(7.5/(H87)*C94)+(10/H87*C95)+(10/H87*C96)+(5/H87*C97)+(5/H87*C98)+(5/H87*C99))/100)</f>
        <v>0.46101190476190473</v>
      </c>
      <c r="F90" s="147"/>
      <c r="G90" s="146">
        <f ca="1">((((C90/H87)*20)+((C91/H87)*25)+(30/(H87+F87+D87)*C92)+(5/H87*C93)+(5/H87*C94)+(5/H87*C95)+(5/H87*C96)+(0/H87*C97)+(0/H87*C98)+(5/H87*C99))/100)</f>
        <v>0.71607142857142858</v>
      </c>
      <c r="H90" s="158"/>
      <c r="I90" s="13" t="s">
        <v>97</v>
      </c>
      <c r="J90" s="27">
        <f ca="1">H87*50%</f>
        <v>10</v>
      </c>
    </row>
    <row r="91" spans="1:10" x14ac:dyDescent="0.3">
      <c r="A91" s="114" t="s">
        <v>47</v>
      </c>
      <c r="B91" s="115"/>
      <c r="C91" s="70">
        <f ca="1">J99</f>
        <v>20</v>
      </c>
      <c r="D91" s="69">
        <f ca="1">((100/H87)*C91)/100</f>
        <v>1</v>
      </c>
      <c r="E91" s="148"/>
      <c r="F91" s="149"/>
      <c r="G91" s="148"/>
      <c r="H91" s="159"/>
      <c r="I91" s="13" t="s">
        <v>98</v>
      </c>
      <c r="J91" s="27">
        <f ca="1">H87</f>
        <v>20</v>
      </c>
    </row>
    <row r="92" spans="1:10" ht="15.75" customHeight="1" x14ac:dyDescent="0.3">
      <c r="A92" s="114" t="s">
        <v>125</v>
      </c>
      <c r="B92" s="115"/>
      <c r="C92" s="68">
        <v>16</v>
      </c>
      <c r="D92" s="69">
        <f ca="1">((100/(D87+F87+H87))*C92)/100</f>
        <v>0.76190476190476186</v>
      </c>
      <c r="E92" s="148"/>
      <c r="F92" s="149"/>
      <c r="G92" s="148"/>
      <c r="H92" s="159"/>
      <c r="I92" s="13" t="s">
        <v>99</v>
      </c>
      <c r="J92" s="28">
        <f ca="1">(IF(B87&gt;1,(H87/(B87+2)),H87/4))</f>
        <v>5</v>
      </c>
    </row>
    <row r="93" spans="1:10" ht="15.6" customHeight="1" x14ac:dyDescent="0.3">
      <c r="A93" s="114" t="s">
        <v>132</v>
      </c>
      <c r="B93" s="115" t="s">
        <v>126</v>
      </c>
      <c r="C93" s="68">
        <v>11</v>
      </c>
      <c r="D93" s="69">
        <f ca="1">((100/H87)*C93)/100</f>
        <v>0.55000000000000004</v>
      </c>
      <c r="E93" s="148"/>
      <c r="F93" s="149"/>
      <c r="G93" s="148"/>
      <c r="H93" s="159"/>
      <c r="I93" s="13" t="s">
        <v>100</v>
      </c>
      <c r="J93" s="28">
        <f ca="1">(IF(B87&gt;1,(H87/(B87+2)+J92),H87/4+J92))</f>
        <v>10</v>
      </c>
    </row>
    <row r="94" spans="1:10" ht="15.6" customHeight="1" x14ac:dyDescent="0.3">
      <c r="A94" s="114" t="s">
        <v>133</v>
      </c>
      <c r="B94" s="115" t="s">
        <v>126</v>
      </c>
      <c r="C94" s="68">
        <v>4</v>
      </c>
      <c r="D94" s="69">
        <f ca="1">((100/H87)*C94)/100</f>
        <v>0.2</v>
      </c>
      <c r="E94" s="148"/>
      <c r="F94" s="149"/>
      <c r="G94" s="148"/>
      <c r="H94" s="159"/>
      <c r="I94" s="13" t="s">
        <v>142</v>
      </c>
      <c r="J94" s="28">
        <f>(IF(B87&gt;1,(H87/(B87+2)+J93),0))</f>
        <v>0</v>
      </c>
    </row>
    <row r="95" spans="1:10" ht="15.75" customHeight="1" x14ac:dyDescent="0.3">
      <c r="A95" s="114" t="s">
        <v>131</v>
      </c>
      <c r="B95" s="115" t="s">
        <v>128</v>
      </c>
      <c r="C95" s="68">
        <v>0</v>
      </c>
      <c r="D95" s="69">
        <f ca="1">((100/(H87))*C95)/100</f>
        <v>0</v>
      </c>
      <c r="E95" s="148"/>
      <c r="F95" s="149"/>
      <c r="G95" s="148"/>
      <c r="H95" s="159"/>
      <c r="I95" s="13" t="s">
        <v>139</v>
      </c>
      <c r="J95" s="28">
        <f>(IF(B87&gt;2,(H87/(B87+2)+J94),0))</f>
        <v>0</v>
      </c>
    </row>
    <row r="96" spans="1:10" ht="15.6" customHeight="1" x14ac:dyDescent="0.3">
      <c r="A96" s="114" t="s">
        <v>127</v>
      </c>
      <c r="B96" s="115" t="s">
        <v>127</v>
      </c>
      <c r="C96" s="68">
        <v>0</v>
      </c>
      <c r="D96" s="69">
        <f ca="1">((100/H87)*C96)/100</f>
        <v>0</v>
      </c>
      <c r="E96" s="148"/>
      <c r="F96" s="149"/>
      <c r="G96" s="148"/>
      <c r="H96" s="159"/>
      <c r="I96" s="13" t="s">
        <v>140</v>
      </c>
      <c r="J96" s="29">
        <f>(IF(B87&gt;3,(H87/(B87+2)+J95),0))</f>
        <v>0</v>
      </c>
    </row>
    <row r="97" spans="1:22" ht="15.6" customHeight="1" x14ac:dyDescent="0.3">
      <c r="A97" s="114" t="s">
        <v>134</v>
      </c>
      <c r="B97" s="115"/>
      <c r="C97" s="68">
        <v>0</v>
      </c>
      <c r="D97" s="69">
        <f ca="1">((100/H87)*C97)/100</f>
        <v>0</v>
      </c>
      <c r="E97" s="148"/>
      <c r="F97" s="149"/>
      <c r="G97" s="148"/>
      <c r="H97" s="159"/>
      <c r="I97" s="13" t="s">
        <v>141</v>
      </c>
      <c r="J97" s="28">
        <f>(IF(B87&gt;4,(H87/(B87+2)+J96),0))</f>
        <v>0</v>
      </c>
    </row>
    <row r="98" spans="1:22" ht="15.75" customHeight="1" x14ac:dyDescent="0.3">
      <c r="A98" s="114" t="s">
        <v>129</v>
      </c>
      <c r="B98" s="115" t="s">
        <v>129</v>
      </c>
      <c r="C98" s="68">
        <v>0</v>
      </c>
      <c r="D98" s="69">
        <f ca="1">((100/(H87))*C98)/100</f>
        <v>0</v>
      </c>
      <c r="E98" s="148"/>
      <c r="F98" s="149"/>
      <c r="G98" s="148"/>
      <c r="H98" s="159"/>
      <c r="I98" s="13" t="s">
        <v>143</v>
      </c>
      <c r="J98" s="28">
        <f ca="1">(IF(B87=1,(H87/(B87+3)+J93),IF(B87=0,(H87/4+J93),IF(B87&gt;1,0))))</f>
        <v>15</v>
      </c>
    </row>
    <row r="99" spans="1:22" ht="15.75" customHeight="1" thickBot="1" x14ac:dyDescent="0.35">
      <c r="A99" s="189" t="s">
        <v>130</v>
      </c>
      <c r="B99" s="190"/>
      <c r="C99" s="71">
        <v>0</v>
      </c>
      <c r="D99" s="72">
        <f ca="1">((100/(H87))*C99)/100</f>
        <v>0</v>
      </c>
      <c r="E99" s="150"/>
      <c r="F99" s="151"/>
      <c r="G99" s="150"/>
      <c r="H99" s="160"/>
      <c r="I99" s="15" t="s">
        <v>101</v>
      </c>
      <c r="J99" s="30">
        <f ca="1">(IF(B87&gt;1.5,(H87/(B87+2)+J93+MAX(0,J94-J93)+MAX(0,J95-J94)+MAX(0,J96-J95)+MAX(0,J97-J96)+MAX(0,J98-J97)),IF(B87=1,(H87/(B87+3)+J98),IF(B87=0,H87/4+J98))))</f>
        <v>20</v>
      </c>
    </row>
    <row r="100" spans="1:22" ht="15.75" hidden="1" customHeight="1" x14ac:dyDescent="0.3">
      <c r="A100" s="195" t="s">
        <v>136</v>
      </c>
      <c r="B100" s="196"/>
      <c r="C100" s="197" t="e">
        <f>#REF!</f>
        <v>#REF!</v>
      </c>
      <c r="D100" s="198"/>
      <c r="E100" s="198"/>
      <c r="F100" s="198"/>
      <c r="G100" s="198"/>
      <c r="H100" s="199"/>
      <c r="I100" s="13" t="s">
        <v>142</v>
      </c>
      <c r="J100" s="28">
        <f>(IF(B101&gt;1,(H101/(B101+2)+#REF!),0))</f>
        <v>0</v>
      </c>
    </row>
    <row r="101" spans="1:22" ht="15" hidden="1" customHeight="1" x14ac:dyDescent="0.3">
      <c r="A101" s="16" t="s">
        <v>138</v>
      </c>
      <c r="B101" s="43">
        <f>IF(AND(ISNUMBER(SEARCH("1B",C100))),1,IF(AND(ISNUMBER(SEARCH("2B",C100))),2,IF(AND(ISNUMBER(SEARCH("3B",C100))),3,IF(AND(ISNUMBER(SEARCH("4B",C100))),4,IF(ISNUMBER(SEARCH("5B",C100)),5,0)))))</f>
        <v>0</v>
      </c>
      <c r="C101" s="43" t="s">
        <v>68</v>
      </c>
      <c r="D101" s="43">
        <v>1</v>
      </c>
      <c r="E101" s="43" t="s">
        <v>67</v>
      </c>
      <c r="F101" s="14">
        <v>0</v>
      </c>
      <c r="G101" s="44" t="s">
        <v>76</v>
      </c>
      <c r="H101" s="17" t="e">
        <f ca="1">--TRIM(RIGHT(SUBSTITUTE(LEFT(C100,_xlfn.AGGREGATE(16,6,FIND({0,1,2,3,4,5,6,7,8,9},C100,ROW(INDIRECT("1:"&amp;LEN(C100)))),1))," ",REPT(" ",LEN(C100))),LEN(C100)))</f>
        <v>#REF!</v>
      </c>
      <c r="I101" s="13" t="s">
        <v>139</v>
      </c>
      <c r="J101" s="28">
        <f>(IF(B101&gt;2,(H101/(B101+2)+J100),0))</f>
        <v>0</v>
      </c>
    </row>
    <row r="102" spans="1:22" ht="15.75" hidden="1" customHeight="1" x14ac:dyDescent="0.3">
      <c r="A102" s="165" t="s">
        <v>86</v>
      </c>
      <c r="B102" s="166"/>
      <c r="C102" s="167" t="e">
        <f>(IF(#REF!="NA",#REF!,"All work Completed. OC Received."))</f>
        <v>#REF!</v>
      </c>
      <c r="D102" s="167"/>
      <c r="E102" s="167"/>
      <c r="F102" s="167"/>
      <c r="G102" s="167"/>
      <c r="H102" s="168"/>
      <c r="I102" s="13" t="s">
        <v>140</v>
      </c>
      <c r="J102" s="29">
        <f>(IF(B101&gt;3,(H101/(B101+2)+J101),0))</f>
        <v>0</v>
      </c>
    </row>
    <row r="103" spans="1:22" ht="15.75" hidden="1" customHeight="1" x14ac:dyDescent="0.3">
      <c r="A103" s="116" t="s">
        <v>46</v>
      </c>
      <c r="B103" s="117"/>
      <c r="C103" s="41" t="s">
        <v>135</v>
      </c>
      <c r="D103" s="41" t="s">
        <v>79</v>
      </c>
      <c r="E103" s="117" t="s">
        <v>81</v>
      </c>
      <c r="F103" s="117"/>
      <c r="G103" s="117" t="s">
        <v>80</v>
      </c>
      <c r="H103" s="215"/>
      <c r="I103" s="13" t="s">
        <v>141</v>
      </c>
      <c r="J103" s="28">
        <f>(IF(B101&gt;4,(H101/(B101+2)+J102),0))</f>
        <v>0</v>
      </c>
    </row>
    <row r="104" spans="1:22" ht="15.75" hidden="1" customHeight="1" x14ac:dyDescent="0.3">
      <c r="A104" s="116" t="s">
        <v>124</v>
      </c>
      <c r="B104" s="117"/>
      <c r="C104" s="41" t="e">
        <f>#REF!</f>
        <v>#REF!</v>
      </c>
      <c r="D104" s="19" t="e">
        <f ca="1">((100/H101)*C104)/100</f>
        <v>#REF!</v>
      </c>
      <c r="E104" s="152" t="e">
        <f ca="1">(((C105/H101*10)+(40/(D101+F101+H101)*C106)+(7.5/(H101)*C107)+(7.5/(H101)*C108)+(10/H101*C109)+(10/H101*C110)+(5/H101*C111)+(5/H101*C112)+(5/H101*C113))/100)</f>
        <v>#REF!</v>
      </c>
      <c r="F104" s="153"/>
      <c r="G104" s="152" t="e">
        <f ca="1">((((C104/H101)*20)+((C105/H101)*25)+(30/(H101+F101+D101)*C106)+(5/H101*C107)+(5/H101*C108)+(5/H101*C109)+(5/H101*C110)+(0/H101*C111)+(0/H101*C112)+(5/H101*C113))/100)</f>
        <v>#REF!</v>
      </c>
      <c r="H104" s="184"/>
      <c r="I104" s="13" t="s">
        <v>143</v>
      </c>
      <c r="J104" s="28" t="e">
        <f ca="1">(IF(B101=1,(H101/(B101+3)+#REF!),IF(B101=0,(H101/4+#REF!),IF(B101&gt;1,0))))</f>
        <v>#REF!</v>
      </c>
    </row>
    <row r="105" spans="1:22" ht="16.2" hidden="1" thickBot="1" x14ac:dyDescent="0.35">
      <c r="A105" s="116" t="s">
        <v>47</v>
      </c>
      <c r="B105" s="117"/>
      <c r="C105" s="41" t="e">
        <f ca="1">J105</f>
        <v>#REF!</v>
      </c>
      <c r="D105" s="19" t="e">
        <f ca="1">((100/H101)*C105)/100</f>
        <v>#REF!</v>
      </c>
      <c r="E105" s="154"/>
      <c r="F105" s="155"/>
      <c r="G105" s="154"/>
      <c r="H105" s="185"/>
      <c r="I105" s="15" t="s">
        <v>101</v>
      </c>
      <c r="J105" s="30" t="e">
        <f ca="1">(IF(B101&gt;1.5,(H101/(B101+2)+#REF!+MAX(0,J100-#REF!)+MAX(0,J101-J100)+MAX(0,J102-J101)+MAX(0,J103-J102)+MAX(0,J104-J103)),IF(B101=1,(H101/(B101+3)+J104),IF(B101=0,H101/4+J104))))</f>
        <v>#REF!</v>
      </c>
    </row>
    <row r="106" spans="1:22" hidden="1" x14ac:dyDescent="0.3">
      <c r="A106" s="116" t="s">
        <v>125</v>
      </c>
      <c r="B106" s="117"/>
      <c r="C106" s="41" t="e">
        <f ca="1">D101+H101</f>
        <v>#REF!</v>
      </c>
      <c r="D106" s="19" t="e">
        <f ca="1">((100/(D101+F101+H101))*C106)/100</f>
        <v>#REF!</v>
      </c>
      <c r="E106" s="154"/>
      <c r="F106" s="155"/>
      <c r="G106" s="154"/>
      <c r="H106" s="185"/>
      <c r="R106" t="s">
        <v>251</v>
      </c>
      <c r="S106" t="s">
        <v>168</v>
      </c>
      <c r="T106" t="s">
        <v>175</v>
      </c>
      <c r="U106" t="s">
        <v>190</v>
      </c>
      <c r="V106" t="s">
        <v>185</v>
      </c>
    </row>
    <row r="107" spans="1:22" hidden="1" x14ac:dyDescent="0.3">
      <c r="A107" s="116" t="s">
        <v>132</v>
      </c>
      <c r="B107" s="117" t="s">
        <v>126</v>
      </c>
      <c r="C107" s="41">
        <v>0</v>
      </c>
      <c r="D107" s="19" t="e">
        <f ca="1">((100/H101)*C107)/100</f>
        <v>#REF!</v>
      </c>
      <c r="E107" s="154"/>
      <c r="F107" s="155"/>
      <c r="G107" s="154"/>
      <c r="H107" s="185"/>
      <c r="R107"/>
      <c r="S107">
        <v>800000</v>
      </c>
      <c r="T107">
        <v>150000</v>
      </c>
      <c r="U107">
        <v>100000</v>
      </c>
      <c r="V107">
        <v>100000</v>
      </c>
    </row>
    <row r="108" spans="1:22" hidden="1" x14ac:dyDescent="0.3">
      <c r="A108" s="116" t="s">
        <v>133</v>
      </c>
      <c r="B108" s="117" t="s">
        <v>126</v>
      </c>
      <c r="C108" s="41">
        <v>0</v>
      </c>
      <c r="D108" s="19" t="e">
        <f ca="1">((100/H101)*C108)/100</f>
        <v>#REF!</v>
      </c>
      <c r="E108" s="154"/>
      <c r="F108" s="155"/>
      <c r="G108" s="154"/>
      <c r="H108" s="185"/>
      <c r="R108"/>
      <c r="S108">
        <v>900000</v>
      </c>
      <c r="T108">
        <v>200000</v>
      </c>
      <c r="U108">
        <v>150000</v>
      </c>
      <c r="V108">
        <v>150000</v>
      </c>
    </row>
    <row r="109" spans="1:22" hidden="1" x14ac:dyDescent="0.3">
      <c r="A109" s="116" t="s">
        <v>131</v>
      </c>
      <c r="B109" s="117" t="s">
        <v>128</v>
      </c>
      <c r="C109" s="41">
        <v>0</v>
      </c>
      <c r="D109" s="19" t="e">
        <f ca="1">((100/(H101))*C109)/100</f>
        <v>#REF!</v>
      </c>
      <c r="E109" s="154"/>
      <c r="F109" s="155"/>
      <c r="G109" s="154"/>
      <c r="H109" s="185"/>
      <c r="R109"/>
      <c r="S109">
        <v>1000000</v>
      </c>
      <c r="T109">
        <v>250000</v>
      </c>
      <c r="U109">
        <v>200000</v>
      </c>
      <c r="V109">
        <v>200000</v>
      </c>
    </row>
    <row r="110" spans="1:22" s="31" customFormat="1" hidden="1" x14ac:dyDescent="0.3">
      <c r="A110" s="116" t="s">
        <v>127</v>
      </c>
      <c r="B110" s="117" t="s">
        <v>127</v>
      </c>
      <c r="C110" s="41">
        <v>0</v>
      </c>
      <c r="D110" s="19" t="e">
        <f ca="1">((100/H101)*C110)/100</f>
        <v>#REF!</v>
      </c>
      <c r="E110" s="154"/>
      <c r="F110" s="155"/>
      <c r="G110" s="154"/>
      <c r="H110" s="185"/>
      <c r="R110"/>
      <c r="S110">
        <v>1100000</v>
      </c>
      <c r="T110">
        <v>300000</v>
      </c>
      <c r="U110">
        <v>250000</v>
      </c>
      <c r="V110" s="23">
        <v>250000</v>
      </c>
    </row>
    <row r="111" spans="1:22" s="31" customFormat="1" hidden="1" x14ac:dyDescent="0.3">
      <c r="A111" s="116" t="s">
        <v>134</v>
      </c>
      <c r="B111" s="117"/>
      <c r="C111" s="41">
        <v>0</v>
      </c>
      <c r="D111" s="19" t="e">
        <f ca="1">((100/H101)*C111)/100</f>
        <v>#REF!</v>
      </c>
      <c r="E111" s="154"/>
      <c r="F111" s="155"/>
      <c r="G111" s="154"/>
      <c r="H111" s="185"/>
      <c r="R111"/>
      <c r="S111">
        <v>1200000</v>
      </c>
      <c r="T111">
        <v>350000</v>
      </c>
      <c r="U111">
        <v>300000</v>
      </c>
      <c r="V111">
        <v>300000</v>
      </c>
    </row>
    <row r="112" spans="1:22" s="31" customFormat="1" hidden="1" x14ac:dyDescent="0.3">
      <c r="A112" s="116" t="s">
        <v>129</v>
      </c>
      <c r="B112" s="117" t="s">
        <v>129</v>
      </c>
      <c r="C112" s="41">
        <v>0</v>
      </c>
      <c r="D112" s="19" t="e">
        <f ca="1">((100/(H101))*C112)/100</f>
        <v>#REF!</v>
      </c>
      <c r="E112" s="154"/>
      <c r="F112" s="155"/>
      <c r="G112" s="154"/>
      <c r="H112" s="185"/>
      <c r="R112"/>
      <c r="S112">
        <v>1300000</v>
      </c>
      <c r="T112">
        <v>400000</v>
      </c>
      <c r="U112">
        <v>350000</v>
      </c>
      <c r="V112" s="23">
        <v>400000</v>
      </c>
    </row>
    <row r="113" spans="1:22" s="31" customFormat="1" ht="16.2" hidden="1" thickBot="1" x14ac:dyDescent="0.35">
      <c r="A113" s="119" t="s">
        <v>130</v>
      </c>
      <c r="B113" s="120"/>
      <c r="C113" s="42">
        <v>0</v>
      </c>
      <c r="D113" s="20" t="e">
        <f ca="1">((100/(H101))*C113)/100</f>
        <v>#REF!</v>
      </c>
      <c r="E113" s="156"/>
      <c r="F113" s="157"/>
      <c r="G113" s="156"/>
      <c r="H113" s="186"/>
      <c r="R113"/>
      <c r="S113">
        <v>1400000</v>
      </c>
      <c r="T113">
        <v>500000</v>
      </c>
      <c r="U113">
        <v>400000</v>
      </c>
      <c r="V113"/>
    </row>
    <row r="114" spans="1:22" s="31" customFormat="1" x14ac:dyDescent="0.3">
      <c r="A114" s="214" t="s">
        <v>153</v>
      </c>
      <c r="B114" s="214"/>
      <c r="C114" s="214"/>
      <c r="D114" s="214"/>
      <c r="E114" s="214"/>
      <c r="F114" s="137" t="s">
        <v>157</v>
      </c>
      <c r="G114" s="137"/>
      <c r="H114" s="137"/>
      <c r="R114"/>
      <c r="S114">
        <v>1500000</v>
      </c>
      <c r="T114">
        <v>600000</v>
      </c>
      <c r="U114">
        <v>500000</v>
      </c>
      <c r="V114" s="23"/>
    </row>
    <row r="115" spans="1:22" s="31" customFormat="1" x14ac:dyDescent="0.3">
      <c r="A115" s="92" t="s">
        <v>155</v>
      </c>
      <c r="B115" s="92"/>
      <c r="C115" s="92"/>
      <c r="D115" s="92"/>
      <c r="E115" s="92"/>
      <c r="F115" s="89">
        <v>13500</v>
      </c>
      <c r="G115" s="89"/>
      <c r="H115" s="89"/>
      <c r="R115"/>
      <c r="S115">
        <v>1600000</v>
      </c>
      <c r="T115">
        <v>700000</v>
      </c>
      <c r="U115">
        <v>600000</v>
      </c>
      <c r="V115"/>
    </row>
    <row r="116" spans="1:22" s="31" customFormat="1" hidden="1" x14ac:dyDescent="0.3">
      <c r="A116" s="92" t="s">
        <v>154</v>
      </c>
      <c r="B116" s="92"/>
      <c r="C116" s="92"/>
      <c r="D116" s="92"/>
      <c r="E116" s="92"/>
      <c r="F116" s="89"/>
      <c r="G116" s="89"/>
      <c r="H116" s="89"/>
      <c r="R116"/>
      <c r="S116">
        <v>1700000</v>
      </c>
      <c r="T116">
        <v>800000</v>
      </c>
      <c r="U116"/>
      <c r="V116" s="23"/>
    </row>
    <row r="117" spans="1:22" hidden="1" x14ac:dyDescent="0.3">
      <c r="A117" s="92" t="s">
        <v>156</v>
      </c>
      <c r="B117" s="92"/>
      <c r="C117" s="92"/>
      <c r="D117" s="92"/>
      <c r="E117" s="92"/>
      <c r="F117" s="89"/>
      <c r="G117" s="89"/>
      <c r="H117" s="89"/>
      <c r="R117"/>
      <c r="S117">
        <v>1800000</v>
      </c>
      <c r="T117">
        <v>900000</v>
      </c>
      <c r="U117"/>
    </row>
    <row r="118" spans="1:22" s="32" customFormat="1" hidden="1" x14ac:dyDescent="0.3">
      <c r="A118" s="92" t="s">
        <v>170</v>
      </c>
      <c r="B118" s="92"/>
      <c r="C118" s="92"/>
      <c r="D118" s="92"/>
      <c r="E118" s="92"/>
      <c r="F118" s="89"/>
      <c r="G118" s="89"/>
      <c r="H118" s="89"/>
      <c r="R118" s="21"/>
      <c r="S118" s="21"/>
      <c r="T118">
        <v>1000000</v>
      </c>
      <c r="U118"/>
      <c r="V118" s="21"/>
    </row>
    <row r="119" spans="1:22" s="33" customFormat="1" ht="15.75" hidden="1" customHeight="1" x14ac:dyDescent="0.3">
      <c r="A119" s="92" t="s">
        <v>91</v>
      </c>
      <c r="B119" s="92"/>
      <c r="C119" s="92"/>
      <c r="D119" s="92"/>
      <c r="E119" s="92"/>
      <c r="F119" s="89"/>
      <c r="G119" s="89"/>
      <c r="H119" s="89"/>
      <c r="R119"/>
      <c r="S119" s="21"/>
      <c r="T119"/>
      <c r="U119"/>
      <c r="V119" s="21"/>
    </row>
    <row r="120" spans="1:22" s="33" customFormat="1" ht="15.75" hidden="1" customHeight="1" x14ac:dyDescent="0.3">
      <c r="A120" s="92" t="s">
        <v>92</v>
      </c>
      <c r="B120" s="92"/>
      <c r="C120" s="92"/>
      <c r="D120" s="92"/>
      <c r="E120" s="92"/>
      <c r="F120" s="89"/>
      <c r="G120" s="89"/>
      <c r="H120" s="89"/>
      <c r="R120"/>
      <c r="S120" s="21"/>
      <c r="T120"/>
      <c r="U120" s="21"/>
      <c r="V120" s="21"/>
    </row>
    <row r="121" spans="1:22" s="33" customFormat="1" hidden="1" x14ac:dyDescent="0.3">
      <c r="A121" s="92" t="s">
        <v>93</v>
      </c>
      <c r="B121" s="92"/>
      <c r="C121" s="92"/>
      <c r="D121" s="92"/>
      <c r="E121" s="92"/>
      <c r="F121" s="89"/>
      <c r="G121" s="89"/>
      <c r="H121" s="89"/>
      <c r="R121"/>
      <c r="S121" s="21"/>
      <c r="T121"/>
      <c r="U121" s="21"/>
      <c r="V121" s="21"/>
    </row>
    <row r="122" spans="1:22" s="33" customFormat="1" hidden="1" x14ac:dyDescent="0.3">
      <c r="A122" s="92" t="s">
        <v>94</v>
      </c>
      <c r="B122" s="92"/>
      <c r="C122" s="92"/>
      <c r="D122" s="92"/>
      <c r="E122" s="92"/>
      <c r="F122" s="89"/>
      <c r="G122" s="89"/>
      <c r="H122" s="89"/>
      <c r="R122"/>
      <c r="S122" s="21"/>
      <c r="T122"/>
      <c r="U122" s="21"/>
      <c r="V122" s="21"/>
    </row>
    <row r="123" spans="1:22" s="33" customFormat="1" hidden="1" x14ac:dyDescent="0.3">
      <c r="A123" s="92" t="s">
        <v>95</v>
      </c>
      <c r="B123" s="92"/>
      <c r="C123" s="92"/>
      <c r="D123" s="92"/>
      <c r="E123" s="92"/>
      <c r="F123" s="89"/>
      <c r="G123" s="89"/>
      <c r="H123" s="89"/>
      <c r="R123"/>
      <c r="S123" s="21"/>
      <c r="T123"/>
      <c r="U123" s="21"/>
      <c r="V123" s="21"/>
    </row>
    <row r="124" spans="1:22" s="33" customFormat="1" hidden="1" x14ac:dyDescent="0.3">
      <c r="A124" s="92" t="s">
        <v>96</v>
      </c>
      <c r="B124" s="92"/>
      <c r="C124" s="92"/>
      <c r="D124" s="92"/>
      <c r="E124" s="92"/>
      <c r="F124" s="89"/>
      <c r="G124" s="89"/>
      <c r="H124" s="89"/>
      <c r="T124"/>
    </row>
    <row r="125" spans="1:22" s="33" customFormat="1" ht="15.75" customHeight="1" x14ac:dyDescent="0.3">
      <c r="A125" s="92" t="s">
        <v>48</v>
      </c>
      <c r="B125" s="92"/>
      <c r="C125" s="92"/>
      <c r="D125" s="92"/>
      <c r="E125" s="92"/>
      <c r="F125" s="89">
        <v>600000</v>
      </c>
      <c r="G125" s="89"/>
      <c r="H125" s="89"/>
      <c r="T125"/>
    </row>
    <row r="126" spans="1:22" s="33" customFormat="1" x14ac:dyDescent="0.3">
      <c r="A126" s="164" t="s">
        <v>49</v>
      </c>
      <c r="B126" s="164"/>
      <c r="C126" s="164"/>
      <c r="D126" s="164"/>
      <c r="E126" s="164"/>
      <c r="F126" s="89">
        <f>F115*0.8</f>
        <v>10800</v>
      </c>
      <c r="G126" s="89"/>
      <c r="H126" s="89"/>
      <c r="T126"/>
    </row>
    <row r="127" spans="1:22" s="33" customFormat="1" hidden="1" x14ac:dyDescent="0.3">
      <c r="A127" s="163" t="s">
        <v>71</v>
      </c>
      <c r="B127" s="163"/>
      <c r="C127" s="163"/>
      <c r="D127" s="163"/>
      <c r="E127" s="163"/>
      <c r="F127" s="163"/>
      <c r="G127" s="163"/>
      <c r="H127" s="163"/>
      <c r="T127"/>
    </row>
    <row r="128" spans="1:22" s="33" customFormat="1" hidden="1" x14ac:dyDescent="0.3">
      <c r="A128" s="91" t="s">
        <v>50</v>
      </c>
      <c r="B128" s="91"/>
      <c r="C128" s="98" t="s">
        <v>74</v>
      </c>
      <c r="D128" s="98"/>
      <c r="E128" s="96" t="s">
        <v>51</v>
      </c>
      <c r="F128" s="96"/>
      <c r="G128" s="91" t="s">
        <v>52</v>
      </c>
      <c r="H128" s="91"/>
      <c r="T128"/>
    </row>
    <row r="129" spans="1:20" s="33" customFormat="1" hidden="1" x14ac:dyDescent="0.3">
      <c r="A129" s="97"/>
      <c r="B129" s="97"/>
      <c r="C129" s="207"/>
      <c r="D129" s="207"/>
      <c r="E129" s="208"/>
      <c r="F129" s="208"/>
      <c r="G129" s="118"/>
      <c r="H129" s="118"/>
      <c r="T129"/>
    </row>
    <row r="130" spans="1:20" s="32" customFormat="1" hidden="1" x14ac:dyDescent="0.3">
      <c r="A130" s="97"/>
      <c r="B130" s="97"/>
      <c r="C130" s="207"/>
      <c r="D130" s="207"/>
      <c r="E130" s="208"/>
      <c r="F130" s="208"/>
      <c r="G130" s="118"/>
      <c r="H130" s="118"/>
      <c r="T130" s="33"/>
    </row>
    <row r="131" spans="1:20" hidden="1" x14ac:dyDescent="0.3">
      <c r="A131" s="163" t="s">
        <v>146</v>
      </c>
      <c r="B131" s="163"/>
      <c r="C131" s="98"/>
      <c r="D131" s="98"/>
      <c r="E131" s="96"/>
      <c r="F131" s="96"/>
      <c r="G131" s="91"/>
      <c r="H131" s="91"/>
      <c r="T131" s="33"/>
    </row>
    <row r="132" spans="1:20" x14ac:dyDescent="0.3">
      <c r="A132" s="163" t="s">
        <v>66</v>
      </c>
      <c r="B132" s="163"/>
      <c r="C132" s="163"/>
      <c r="D132" s="163"/>
      <c r="E132" s="163"/>
      <c r="F132" s="163"/>
      <c r="G132" s="163"/>
      <c r="H132" s="163"/>
      <c r="T132" s="33"/>
    </row>
    <row r="133" spans="1:20" s="35" customFormat="1" x14ac:dyDescent="0.3">
      <c r="A133" s="91" t="s">
        <v>50</v>
      </c>
      <c r="B133" s="91"/>
      <c r="C133" s="98" t="s">
        <v>74</v>
      </c>
      <c r="D133" s="98"/>
      <c r="E133" s="96" t="s">
        <v>51</v>
      </c>
      <c r="F133" s="96"/>
      <c r="G133" s="91" t="s">
        <v>52</v>
      </c>
      <c r="H133" s="91"/>
      <c r="T133" s="33"/>
    </row>
    <row r="134" spans="1:20" s="35" customFormat="1" x14ac:dyDescent="0.3">
      <c r="A134" s="97" t="s">
        <v>341</v>
      </c>
      <c r="B134" s="97"/>
      <c r="C134" s="194">
        <f>COUNT(D152:D154)+COUNT(D156:D158)+COUNT(D160:D162)*8+COUNT(D165:D166)+COUNT(D168:D170)*5+COUNT(D173:D174)</f>
        <v>49</v>
      </c>
      <c r="D134" s="194"/>
      <c r="E134" s="194">
        <f t="shared" ref="E134" si="0">SUM(F152:F154)+SUM(F156:F158)+SUM(F160:F162)*8+SUM(F165:F166)+SUM(F168:F170)*5+SUM(F173:F174)</f>
        <v>32554.533959999993</v>
      </c>
      <c r="F134" s="194"/>
      <c r="G134" s="194">
        <f t="shared" ref="G134" si="1">SUM(H152:H154)+SUM(H156:H158)+SUM(H160:H162)*8+SUM(H165:H166)+SUM(H168:H170)*5+SUM(H173:H174)</f>
        <v>48831.800939999994</v>
      </c>
      <c r="H134" s="194"/>
      <c r="J134" s="34"/>
      <c r="T134" s="33"/>
    </row>
    <row r="135" spans="1:20" s="35" customFormat="1" ht="15.75" customHeight="1" x14ac:dyDescent="0.3">
      <c r="A135" s="97" t="s">
        <v>345</v>
      </c>
      <c r="B135" s="97"/>
      <c r="C135" s="194">
        <f>COUNT(D180:D182)+COUNT(D184:D187)+COUNT(D189:D192)*8+COUNT(D194:D196)+COUNT(D199:D202)*5+COUNT(D204:D206)+COUNT(D209:D210)</f>
        <v>67</v>
      </c>
      <c r="D135" s="194"/>
      <c r="E135" s="194">
        <f t="shared" ref="E135" si="2">SUM(F180:F182)+SUM(F184:F187)+SUM(F189:F192)*8+SUM(F194:F196)+SUM(F199:F202)*5+SUM(F204:F206)+SUM(F209:F210)</f>
        <v>40689.319320000002</v>
      </c>
      <c r="F135" s="194"/>
      <c r="G135" s="194">
        <f t="shared" ref="G135" si="3">SUM(H180:H182)+SUM(H184:H187)+SUM(H189:H192)*8+SUM(H194:H196)+SUM(H199:H202)*5+SUM(H204:H206)+SUM(H209:H210)</f>
        <v>61033.978979999993</v>
      </c>
      <c r="H135" s="194"/>
      <c r="I135" s="34"/>
      <c r="L135" s="80"/>
      <c r="M135" s="80"/>
      <c r="N135" s="34"/>
      <c r="T135" s="33"/>
    </row>
    <row r="136" spans="1:20" s="35" customFormat="1" ht="15.75" customHeight="1" x14ac:dyDescent="0.3">
      <c r="A136" s="219" t="s">
        <v>146</v>
      </c>
      <c r="B136" s="219"/>
      <c r="C136" s="121">
        <f>C135+C134</f>
        <v>116</v>
      </c>
      <c r="D136" s="122"/>
      <c r="E136" s="121">
        <f t="shared" ref="E136" si="4">E135+E134</f>
        <v>73243.853279999996</v>
      </c>
      <c r="F136" s="122"/>
      <c r="G136" s="121">
        <f t="shared" ref="G136" si="5">G135+G134</f>
        <v>109865.77991999999</v>
      </c>
      <c r="H136" s="122"/>
      <c r="I136" s="34"/>
      <c r="L136" s="80"/>
      <c r="M136" s="80"/>
      <c r="N136" s="34"/>
      <c r="T136" s="32"/>
    </row>
    <row r="137" spans="1:20" s="35" customFormat="1" ht="15.75" customHeight="1" x14ac:dyDescent="0.3">
      <c r="A137" s="172" t="s">
        <v>53</v>
      </c>
      <c r="B137" s="172"/>
      <c r="C137" s="172"/>
      <c r="D137" s="172"/>
      <c r="E137" s="172"/>
      <c r="F137" s="172"/>
      <c r="G137" s="172"/>
      <c r="H137" s="172"/>
      <c r="I137" s="34"/>
      <c r="L137" s="80"/>
      <c r="M137" s="80"/>
      <c r="N137" s="34"/>
      <c r="T137" s="21"/>
    </row>
    <row r="138" spans="1:20" s="35" customFormat="1" x14ac:dyDescent="0.3">
      <c r="A138" s="90" t="s">
        <v>396</v>
      </c>
      <c r="B138" s="90"/>
      <c r="C138" s="90"/>
      <c r="D138" s="90"/>
      <c r="E138" s="90"/>
      <c r="F138" s="90"/>
      <c r="G138" s="90"/>
      <c r="H138" s="90"/>
      <c r="I138" s="34"/>
      <c r="N138" s="34"/>
    </row>
    <row r="139" spans="1:20" ht="47.25" hidden="1" customHeight="1" x14ac:dyDescent="0.3">
      <c r="A139" s="112" t="s">
        <v>376</v>
      </c>
      <c r="B139" s="112" t="s">
        <v>172</v>
      </c>
      <c r="C139" s="112" t="s">
        <v>54</v>
      </c>
      <c r="D139" s="112" t="s">
        <v>229</v>
      </c>
      <c r="E139" s="203" t="s">
        <v>152</v>
      </c>
      <c r="F139" s="112" t="s">
        <v>55</v>
      </c>
      <c r="G139" s="203" t="s">
        <v>56</v>
      </c>
      <c r="H139" s="73" t="s">
        <v>145</v>
      </c>
      <c r="I139" s="34"/>
      <c r="T139" s="35"/>
    </row>
    <row r="140" spans="1:20" s="35" customFormat="1" hidden="1" x14ac:dyDescent="0.3">
      <c r="A140" s="113"/>
      <c r="B140" s="113"/>
      <c r="C140" s="113"/>
      <c r="D140" s="113"/>
      <c r="E140" s="204"/>
      <c r="F140" s="113"/>
      <c r="G140" s="204"/>
      <c r="H140" s="74">
        <v>0.45</v>
      </c>
      <c r="I140" s="34"/>
    </row>
    <row r="141" spans="1:20" s="35" customFormat="1" hidden="1" x14ac:dyDescent="0.3">
      <c r="A141" s="200" t="s">
        <v>115</v>
      </c>
      <c r="B141" s="201"/>
      <c r="C141" s="201"/>
      <c r="D141" s="201"/>
      <c r="E141" s="201"/>
      <c r="F141" s="201"/>
      <c r="G141" s="201"/>
      <c r="H141" s="202"/>
      <c r="J141" s="34"/>
    </row>
    <row r="142" spans="1:20" s="35" customFormat="1" hidden="1" x14ac:dyDescent="0.3">
      <c r="A142" s="93">
        <v>1</v>
      </c>
      <c r="B142" s="94"/>
      <c r="C142" s="75"/>
      <c r="D142" s="75">
        <v>0</v>
      </c>
      <c r="E142" s="75">
        <v>0</v>
      </c>
      <c r="F142" s="75">
        <f>D142+(IF(E142&lt;201,E142,IF(E142&lt;301,E142/2,E142/3)))</f>
        <v>0</v>
      </c>
      <c r="G142" s="75">
        <v>0</v>
      </c>
      <c r="H142" s="75">
        <f>(F142+(IF(G142&lt;101,G142,IF(G142&lt;201,G142/2,IF(G142&lt;=301,G142/3,G142/4)))))*(($H$140)+1)</f>
        <v>0</v>
      </c>
      <c r="J142" s="34"/>
    </row>
    <row r="143" spans="1:20" s="35" customFormat="1" hidden="1" x14ac:dyDescent="0.3">
      <c r="A143" s="93">
        <f>A142+1</f>
        <v>2</v>
      </c>
      <c r="B143" s="94"/>
      <c r="C143" s="75"/>
      <c r="D143" s="75"/>
      <c r="E143" s="75">
        <v>0</v>
      </c>
      <c r="F143" s="75">
        <f t="shared" ref="F143:F145" si="6">D143+(IF(E143&lt;201,E143,IF(E143&lt;301,E143/2,E143/3)))</f>
        <v>0</v>
      </c>
      <c r="G143" s="75">
        <v>0</v>
      </c>
      <c r="H143" s="75">
        <f t="shared" ref="H143:H145" si="7">(F143+(IF(G143&lt;101,G143,IF(G143&lt;201,G143/2,IF(G143&lt;=301,G143/3,G143/4)))))*(($H$140)+1)</f>
        <v>0</v>
      </c>
      <c r="J143" s="34"/>
    </row>
    <row r="144" spans="1:20" s="35" customFormat="1" ht="15.75" hidden="1" customHeight="1" x14ac:dyDescent="0.3">
      <c r="A144" s="93">
        <f>A143+1</f>
        <v>3</v>
      </c>
      <c r="B144" s="94"/>
      <c r="C144" s="75"/>
      <c r="D144" s="75"/>
      <c r="E144" s="75">
        <v>0</v>
      </c>
      <c r="F144" s="75">
        <f t="shared" si="6"/>
        <v>0</v>
      </c>
      <c r="G144" s="75">
        <v>0</v>
      </c>
      <c r="H144" s="75">
        <f t="shared" si="7"/>
        <v>0</v>
      </c>
      <c r="I144" s="34"/>
      <c r="K144" s="40">
        <v>10.763999999999999</v>
      </c>
      <c r="L144" s="80"/>
      <c r="M144" s="80"/>
      <c r="N144" s="34"/>
    </row>
    <row r="145" spans="1:14" s="35" customFormat="1" ht="15.75" hidden="1" customHeight="1" x14ac:dyDescent="0.3">
      <c r="A145" s="93">
        <f>A144+1</f>
        <v>4</v>
      </c>
      <c r="B145" s="94"/>
      <c r="C145" s="75"/>
      <c r="D145" s="75"/>
      <c r="E145" s="75">
        <v>0</v>
      </c>
      <c r="F145" s="75">
        <f t="shared" si="6"/>
        <v>0</v>
      </c>
      <c r="G145" s="75">
        <v>0</v>
      </c>
      <c r="H145" s="75">
        <f t="shared" si="7"/>
        <v>0</v>
      </c>
      <c r="I145" s="34">
        <f>2.9*4.8+2.25*3.45+3.2*3.25+3.2*3.05+2.15*1.2+2.25*1.2+0.9*1.5</f>
        <v>48.472500000000004</v>
      </c>
      <c r="J145" s="34">
        <f>1.15*2.9</f>
        <v>3.3349999999999995</v>
      </c>
      <c r="L145" s="80"/>
      <c r="M145" s="80"/>
      <c r="N145" s="34"/>
    </row>
    <row r="146" spans="1:14" s="35" customFormat="1" ht="15.75" hidden="1" customHeight="1" x14ac:dyDescent="0.3">
      <c r="A146" s="93"/>
      <c r="B146" s="136"/>
      <c r="C146" s="136"/>
      <c r="D146" s="136"/>
      <c r="E146" s="136"/>
      <c r="F146" s="136"/>
      <c r="G146" s="136"/>
      <c r="H146" s="94"/>
      <c r="I146" s="34">
        <f t="shared" ref="I146" si="8">2.9*6.45+2.25*3.8+3.2*3.65+4.25*3.05+2.15*1.2+1.35*0.9+1.2*2.5</f>
        <v>58.692499999999995</v>
      </c>
      <c r="J146" s="34">
        <f>1.2*2.9</f>
        <v>3.48</v>
      </c>
      <c r="L146" s="80"/>
      <c r="M146" s="80"/>
      <c r="N146" s="34"/>
    </row>
    <row r="147" spans="1:14" s="35" customFormat="1" ht="46.8" x14ac:dyDescent="0.3">
      <c r="A147" s="138" t="s">
        <v>377</v>
      </c>
      <c r="B147" s="112" t="s">
        <v>173</v>
      </c>
      <c r="C147" s="112" t="s">
        <v>54</v>
      </c>
      <c r="D147" s="112" t="s">
        <v>340</v>
      </c>
      <c r="E147" s="112" t="s">
        <v>228</v>
      </c>
      <c r="F147" s="112" t="s">
        <v>55</v>
      </c>
      <c r="G147" s="203" t="s">
        <v>56</v>
      </c>
      <c r="H147" s="73" t="s">
        <v>145</v>
      </c>
      <c r="J147" s="34"/>
    </row>
    <row r="148" spans="1:14" s="35" customFormat="1" ht="15.75" customHeight="1" x14ac:dyDescent="0.3">
      <c r="A148" s="139"/>
      <c r="B148" s="113"/>
      <c r="C148" s="113"/>
      <c r="D148" s="113"/>
      <c r="E148" s="113"/>
      <c r="F148" s="113"/>
      <c r="G148" s="204"/>
      <c r="H148" s="74">
        <v>0.5</v>
      </c>
      <c r="I148" s="34"/>
      <c r="L148" s="80"/>
      <c r="M148" s="80"/>
      <c r="N148" s="34"/>
    </row>
    <row r="149" spans="1:14" s="35" customFormat="1" ht="15.75" customHeight="1" x14ac:dyDescent="0.3">
      <c r="A149" s="84" t="s">
        <v>341</v>
      </c>
      <c r="B149" s="85"/>
      <c r="C149" s="85"/>
      <c r="D149" s="85"/>
      <c r="E149" s="85"/>
      <c r="F149" s="85"/>
      <c r="G149" s="85"/>
      <c r="H149" s="86"/>
      <c r="I149" s="34"/>
      <c r="L149" s="80"/>
      <c r="M149" s="80"/>
      <c r="N149" s="34"/>
    </row>
    <row r="150" spans="1:14" s="35" customFormat="1" ht="15.75" customHeight="1" x14ac:dyDescent="0.3">
      <c r="A150" s="84" t="s">
        <v>338</v>
      </c>
      <c r="B150" s="85"/>
      <c r="C150" s="85"/>
      <c r="D150" s="85"/>
      <c r="E150" s="85"/>
      <c r="F150" s="85"/>
      <c r="G150" s="85"/>
      <c r="H150" s="86"/>
      <c r="I150" s="34"/>
      <c r="L150" s="80"/>
      <c r="M150" s="80"/>
      <c r="N150" s="34"/>
    </row>
    <row r="151" spans="1:14" s="35" customFormat="1" x14ac:dyDescent="0.3">
      <c r="A151" s="84" t="s">
        <v>344</v>
      </c>
      <c r="B151" s="85"/>
      <c r="C151" s="85"/>
      <c r="D151" s="85"/>
      <c r="E151" s="85"/>
      <c r="F151" s="85"/>
      <c r="G151" s="85"/>
      <c r="H151" s="86"/>
      <c r="J151" s="34"/>
    </row>
    <row r="152" spans="1:14" s="35" customFormat="1" ht="15.75" customHeight="1" x14ac:dyDescent="0.3">
      <c r="A152" s="81">
        <v>1</v>
      </c>
      <c r="B152" s="82"/>
      <c r="C152" s="40" t="s">
        <v>339</v>
      </c>
      <c r="D152" s="40">
        <f>((67.99)*10.764)</f>
        <v>731.84435999999994</v>
      </c>
      <c r="E152" s="40">
        <v>0</v>
      </c>
      <c r="F152" s="40">
        <f>D152+E152</f>
        <v>731.84435999999994</v>
      </c>
      <c r="G152" s="40">
        <v>0</v>
      </c>
      <c r="H152" s="40">
        <f>F152*(($H$148)+1)+(IF(G152&lt;101,G152,IF(G152&lt;201,G152/2,IF(G152&lt;=301,G152/3,G152/4))))</f>
        <v>1097.7665399999998</v>
      </c>
      <c r="I152" s="34"/>
      <c r="L152" s="80"/>
      <c r="M152" s="80"/>
      <c r="N152" s="34"/>
    </row>
    <row r="153" spans="1:14" s="35" customFormat="1" ht="15.75" customHeight="1" x14ac:dyDescent="0.3">
      <c r="A153" s="81">
        <f>A152+1</f>
        <v>2</v>
      </c>
      <c r="B153" s="82"/>
      <c r="C153" s="40" t="s">
        <v>339</v>
      </c>
      <c r="D153" s="40">
        <f>(51.8)*10.764</f>
        <v>557.57519999999988</v>
      </c>
      <c r="E153" s="40">
        <v>0</v>
      </c>
      <c r="F153" s="40">
        <f>D153+E153</f>
        <v>557.57519999999988</v>
      </c>
      <c r="G153" s="40">
        <v>0</v>
      </c>
      <c r="H153" s="40">
        <f>F153*(($H$148)+1)+(IF(G153&lt;101,G153,IF(G153&lt;201,G153/2,IF(G153&lt;=301,G153/3,G153/4))))</f>
        <v>836.36279999999988</v>
      </c>
      <c r="I153" s="34">
        <f>2.9*4.8+2.25*3.45+3.2*3.25+3.2*3.05+2.15*1.2+2.25*1.2+0.9*1.5</f>
        <v>48.472500000000004</v>
      </c>
      <c r="J153" s="34">
        <f>1.15*2.9</f>
        <v>3.3349999999999995</v>
      </c>
      <c r="L153" s="80"/>
      <c r="M153" s="80"/>
      <c r="N153" s="34"/>
    </row>
    <row r="154" spans="1:14" s="35" customFormat="1" ht="15.75" customHeight="1" x14ac:dyDescent="0.3">
      <c r="A154" s="81">
        <f>A153+1</f>
        <v>3</v>
      </c>
      <c r="B154" s="82"/>
      <c r="C154" s="40" t="s">
        <v>339</v>
      </c>
      <c r="D154" s="40">
        <f>(63.01)*10.764</f>
        <v>678.23963999999989</v>
      </c>
      <c r="E154" s="40">
        <v>0</v>
      </c>
      <c r="F154" s="40">
        <f>D154+E154</f>
        <v>678.23963999999989</v>
      </c>
      <c r="G154" s="40">
        <v>0</v>
      </c>
      <c r="H154" s="40">
        <f>F154*(($H$148)+1)+(IF(G154&lt;101,G154,IF(G154&lt;201,G154/2,IF(G154&lt;=301,G154/3,G154/4))))</f>
        <v>1017.3594599999999</v>
      </c>
      <c r="I154" s="34"/>
      <c r="L154" s="80"/>
      <c r="M154" s="80"/>
      <c r="N154" s="34"/>
    </row>
    <row r="155" spans="1:14" s="35" customFormat="1" x14ac:dyDescent="0.3">
      <c r="A155" s="84" t="s">
        <v>116</v>
      </c>
      <c r="B155" s="85"/>
      <c r="C155" s="85"/>
      <c r="D155" s="85"/>
      <c r="E155" s="85"/>
      <c r="F155" s="85"/>
      <c r="G155" s="85"/>
      <c r="H155" s="86"/>
      <c r="J155" s="34"/>
    </row>
    <row r="156" spans="1:14" s="35" customFormat="1" ht="15.75" customHeight="1" x14ac:dyDescent="0.3">
      <c r="A156" s="81">
        <v>1</v>
      </c>
      <c r="B156" s="82"/>
      <c r="C156" s="40" t="s">
        <v>339</v>
      </c>
      <c r="D156" s="40">
        <f>(67.99)*10.764</f>
        <v>731.84435999999994</v>
      </c>
      <c r="E156" s="40">
        <v>0</v>
      </c>
      <c r="F156" s="40">
        <f>D156+E156</f>
        <v>731.84435999999994</v>
      </c>
      <c r="G156" s="40">
        <v>0</v>
      </c>
      <c r="H156" s="40">
        <f>F156*(($H$148)+1)+(IF(G156&lt;101,G156,IF(G156&lt;201,G156/2,IF(G156&lt;=301,G156/3,G156/4))))</f>
        <v>1097.7665399999998</v>
      </c>
      <c r="I156" s="34"/>
      <c r="L156" s="80"/>
      <c r="M156" s="80"/>
      <c r="N156" s="34"/>
    </row>
    <row r="157" spans="1:14" s="35" customFormat="1" ht="15.75" customHeight="1" x14ac:dyDescent="0.3">
      <c r="A157" s="81">
        <f>A156+1</f>
        <v>2</v>
      </c>
      <c r="B157" s="82"/>
      <c r="C157" s="40" t="s">
        <v>339</v>
      </c>
      <c r="D157" s="40">
        <f>(51.8)*10.764</f>
        <v>557.57519999999988</v>
      </c>
      <c r="E157" s="40">
        <v>0</v>
      </c>
      <c r="F157" s="40">
        <f>D157+E157</f>
        <v>557.57519999999988</v>
      </c>
      <c r="G157" s="40">
        <v>0</v>
      </c>
      <c r="H157" s="40">
        <f>F157*(($H$148)+1)+(IF(G157&lt;101,G157,IF(G157&lt;201,G157/2,IF(G157&lt;=301,G157/3,G157/4))))</f>
        <v>836.36279999999988</v>
      </c>
      <c r="I157" s="34"/>
      <c r="L157" s="80"/>
      <c r="M157" s="80"/>
      <c r="N157" s="34"/>
    </row>
    <row r="158" spans="1:14" s="35" customFormat="1" ht="15.75" customHeight="1" x14ac:dyDescent="0.3">
      <c r="A158" s="81">
        <f>A157+1</f>
        <v>3</v>
      </c>
      <c r="B158" s="82"/>
      <c r="C158" s="40" t="s">
        <v>339</v>
      </c>
      <c r="D158" s="40">
        <f>(63.01)*10.764</f>
        <v>678.23963999999989</v>
      </c>
      <c r="E158" s="40">
        <v>0</v>
      </c>
      <c r="F158" s="40">
        <f>D158+E158</f>
        <v>678.23963999999989</v>
      </c>
      <c r="G158" s="40">
        <v>0</v>
      </c>
      <c r="H158" s="40">
        <f>F158*(($H$148)+1)+(IF(G158&lt;101,G158,IF(G158&lt;201,G158/2,IF(G158&lt;=301,G158/3,G158/4))))</f>
        <v>1017.3594599999999</v>
      </c>
      <c r="I158" s="34"/>
      <c r="L158" s="80"/>
      <c r="M158" s="80"/>
      <c r="N158" s="34"/>
    </row>
    <row r="159" spans="1:14" s="35" customFormat="1" x14ac:dyDescent="0.3">
      <c r="A159" s="84" t="s">
        <v>346</v>
      </c>
      <c r="B159" s="85"/>
      <c r="C159" s="85"/>
      <c r="D159" s="85"/>
      <c r="E159" s="85"/>
      <c r="F159" s="85"/>
      <c r="G159" s="85"/>
      <c r="H159" s="86"/>
      <c r="J159" s="34"/>
    </row>
    <row r="160" spans="1:14" s="35" customFormat="1" ht="15.75" customHeight="1" x14ac:dyDescent="0.3">
      <c r="A160" s="81">
        <v>1</v>
      </c>
      <c r="B160" s="82"/>
      <c r="C160" s="40" t="s">
        <v>339</v>
      </c>
      <c r="D160" s="40">
        <f>(67.99)*10.764</f>
        <v>731.84435999999994</v>
      </c>
      <c r="E160" s="40">
        <v>0</v>
      </c>
      <c r="F160" s="40">
        <f>D160+E160</f>
        <v>731.84435999999994</v>
      </c>
      <c r="G160" s="40">
        <v>0</v>
      </c>
      <c r="H160" s="40">
        <f>F160*(($H$148)+1)+(IF(G160&lt;101,G160,IF(G160&lt;201,G160/2,IF(G160&lt;=301,G160/3,G160/4))))</f>
        <v>1097.7665399999998</v>
      </c>
      <c r="I160" s="34"/>
      <c r="L160" s="80"/>
      <c r="M160" s="80"/>
      <c r="N160" s="34"/>
    </row>
    <row r="161" spans="1:20" s="35" customFormat="1" ht="15.75" customHeight="1" x14ac:dyDescent="0.3">
      <c r="A161" s="81">
        <f>A160+1</f>
        <v>2</v>
      </c>
      <c r="B161" s="82"/>
      <c r="C161" s="40" t="s">
        <v>339</v>
      </c>
      <c r="D161" s="40">
        <f>(51.38)*10.764</f>
        <v>553.05431999999996</v>
      </c>
      <c r="E161" s="40">
        <v>0</v>
      </c>
      <c r="F161" s="40">
        <f>D161+E161</f>
        <v>553.05431999999996</v>
      </c>
      <c r="G161" s="40">
        <v>0</v>
      </c>
      <c r="H161" s="40">
        <f>F161*(($H$148)+1)+(IF(G161&lt;101,G161,IF(G161&lt;201,G161/2,IF(G161&lt;=301,G161/3,G161/4))))</f>
        <v>829.58147999999994</v>
      </c>
      <c r="I161" s="34"/>
      <c r="L161" s="80"/>
      <c r="M161" s="80"/>
      <c r="N161" s="34"/>
    </row>
    <row r="162" spans="1:20" s="35" customFormat="1" ht="15.75" customHeight="1" x14ac:dyDescent="0.3">
      <c r="A162" s="81">
        <f>A161+1</f>
        <v>3</v>
      </c>
      <c r="B162" s="82"/>
      <c r="C162" s="40" t="s">
        <v>339</v>
      </c>
      <c r="D162" s="40">
        <f>(63.01)*10.764</f>
        <v>678.23963999999989</v>
      </c>
      <c r="E162" s="40">
        <v>0</v>
      </c>
      <c r="F162" s="40">
        <f>D162+E162</f>
        <v>678.23963999999989</v>
      </c>
      <c r="G162" s="40">
        <v>0</v>
      </c>
      <c r="H162" s="40">
        <f>F162*(($H$148)+1)+(IF(G162&lt;101,G162,IF(G162&lt;201,G162/2,IF(G162&lt;=301,G162/3,G162/4))))</f>
        <v>1017.3594599999999</v>
      </c>
      <c r="I162" s="34"/>
      <c r="L162" s="80"/>
      <c r="M162" s="80"/>
      <c r="N162" s="34"/>
    </row>
    <row r="163" spans="1:20" s="35" customFormat="1" x14ac:dyDescent="0.3">
      <c r="A163" s="84" t="s">
        <v>355</v>
      </c>
      <c r="B163" s="85"/>
      <c r="C163" s="85"/>
      <c r="D163" s="85"/>
      <c r="E163" s="85"/>
      <c r="F163" s="85"/>
      <c r="G163" s="85"/>
      <c r="H163" s="86"/>
      <c r="J163" s="34"/>
    </row>
    <row r="164" spans="1:20" s="35" customFormat="1" ht="15.75" customHeight="1" x14ac:dyDescent="0.3">
      <c r="A164" s="81">
        <v>1</v>
      </c>
      <c r="B164" s="82"/>
      <c r="C164" s="81" t="s">
        <v>348</v>
      </c>
      <c r="D164" s="83"/>
      <c r="E164" s="83"/>
      <c r="F164" s="83"/>
      <c r="G164" s="83"/>
      <c r="H164" s="82"/>
      <c r="I164" s="34"/>
      <c r="L164" s="80"/>
      <c r="M164" s="80"/>
      <c r="N164" s="34"/>
    </row>
    <row r="165" spans="1:20" s="35" customFormat="1" ht="15.75" customHeight="1" x14ac:dyDescent="0.3">
      <c r="A165" s="81">
        <v>2</v>
      </c>
      <c r="B165" s="82"/>
      <c r="C165" s="40" t="s">
        <v>339</v>
      </c>
      <c r="D165" s="40">
        <f>(51.38)*10.764</f>
        <v>553.05431999999996</v>
      </c>
      <c r="E165" s="40">
        <v>0</v>
      </c>
      <c r="F165" s="40">
        <f>D165+E165</f>
        <v>553.05431999999996</v>
      </c>
      <c r="G165" s="40">
        <v>0</v>
      </c>
      <c r="H165" s="40">
        <f>F165*(($H$148)+1)+(IF(G165&lt;101,G165,IF(G165&lt;201,G165/2,IF(G165&lt;=301,G165/3,G165/4))))</f>
        <v>829.58147999999994</v>
      </c>
      <c r="I165" s="34">
        <f>2.9*6.35+2.25*3.45+3.2*3.25+2.8*3.58+3.2*3.05+1.35*1.95+2.15*1.2+2.25*1.2+1.3*2.85+0.9*1.5+1.7*0.6</f>
        <v>70.34899999999999</v>
      </c>
      <c r="L165" s="80"/>
      <c r="M165" s="80"/>
      <c r="N165" s="34"/>
    </row>
    <row r="166" spans="1:20" s="35" customFormat="1" ht="15.75" customHeight="1" x14ac:dyDescent="0.3">
      <c r="A166" s="81">
        <f>A165+1</f>
        <v>3</v>
      </c>
      <c r="B166" s="82"/>
      <c r="C166" s="40" t="s">
        <v>339</v>
      </c>
      <c r="D166" s="40">
        <f>(63.01)*10.764</f>
        <v>678.23963999999989</v>
      </c>
      <c r="E166" s="40">
        <v>0</v>
      </c>
      <c r="F166" s="40">
        <f>D166+E166</f>
        <v>678.23963999999989</v>
      </c>
      <c r="G166" s="40">
        <v>0</v>
      </c>
      <c r="H166" s="40">
        <f>F166*(($H$148)+1)+(IF(G166&lt;101,G166,IF(G166&lt;201,G166/2,IF(G166&lt;=301,G166/3,G166/4))))</f>
        <v>1017.3594599999999</v>
      </c>
      <c r="I166" s="34"/>
      <c r="L166" s="80"/>
      <c r="M166" s="80"/>
      <c r="N166" s="34"/>
    </row>
    <row r="167" spans="1:20" s="35" customFormat="1" hidden="1" x14ac:dyDescent="0.3">
      <c r="A167" s="84" t="s">
        <v>347</v>
      </c>
      <c r="B167" s="85"/>
      <c r="C167" s="85"/>
      <c r="D167" s="85"/>
      <c r="E167" s="85"/>
      <c r="F167" s="85"/>
      <c r="G167" s="85"/>
      <c r="H167" s="86"/>
      <c r="J167" s="34"/>
    </row>
    <row r="168" spans="1:20" s="35" customFormat="1" x14ac:dyDescent="0.3">
      <c r="A168" s="81">
        <v>1</v>
      </c>
      <c r="B168" s="82"/>
      <c r="C168" s="40" t="s">
        <v>339</v>
      </c>
      <c r="D168" s="40">
        <f>(67.99)*10.764</f>
        <v>731.84435999999994</v>
      </c>
      <c r="E168" s="40">
        <v>0</v>
      </c>
      <c r="F168" s="40">
        <f>D168+E168</f>
        <v>731.84435999999994</v>
      </c>
      <c r="G168" s="40">
        <v>0</v>
      </c>
      <c r="H168" s="40">
        <f>F168*(($H$148)+1)+(IF(G168&lt;101,G168,IF(G168&lt;201,G168/2,IF(G168&lt;=301,G168/3,G168/4))))</f>
        <v>1097.7665399999998</v>
      </c>
      <c r="J168" s="34"/>
    </row>
    <row r="169" spans="1:20" s="35" customFormat="1" x14ac:dyDescent="0.3">
      <c r="A169" s="81">
        <f>A168+1</f>
        <v>2</v>
      </c>
      <c r="B169" s="82"/>
      <c r="C169" s="40" t="s">
        <v>339</v>
      </c>
      <c r="D169" s="40">
        <f>(58.25)*10.764</f>
        <v>627.00299999999993</v>
      </c>
      <c r="E169" s="40">
        <v>0</v>
      </c>
      <c r="F169" s="40">
        <f>D169+E169</f>
        <v>627.00299999999993</v>
      </c>
      <c r="G169" s="40">
        <v>0</v>
      </c>
      <c r="H169" s="40">
        <f>F169*(($H$148)+1)+(IF(G169&lt;101,G169,IF(G169&lt;201,G169/2,IF(G169&lt;=301,G169/3,G169/4))))</f>
        <v>940.50449999999989</v>
      </c>
      <c r="J169" s="34"/>
    </row>
    <row r="170" spans="1:20" s="35" customFormat="1" x14ac:dyDescent="0.3">
      <c r="A170" s="81">
        <f>A169+1</f>
        <v>3</v>
      </c>
      <c r="B170" s="82"/>
      <c r="C170" s="40" t="s">
        <v>339</v>
      </c>
      <c r="D170" s="40">
        <f>(63.01)*10.764</f>
        <v>678.23963999999989</v>
      </c>
      <c r="E170" s="40">
        <v>0</v>
      </c>
      <c r="F170" s="40">
        <f>D170+E170</f>
        <v>678.23963999999989</v>
      </c>
      <c r="G170" s="40">
        <v>0</v>
      </c>
      <c r="H170" s="40">
        <f>F170*(($H$148)+1)+(IF(G170&lt;101,G170,IF(G170&lt;201,G170/2,IF(G170&lt;=301,G170/3,G170/4))))</f>
        <v>1017.3594599999999</v>
      </c>
      <c r="J170" s="34"/>
    </row>
    <row r="171" spans="1:20" s="35" customFormat="1" ht="15.75" customHeight="1" x14ac:dyDescent="0.3">
      <c r="A171" s="84" t="s">
        <v>349</v>
      </c>
      <c r="B171" s="85"/>
      <c r="C171" s="85"/>
      <c r="D171" s="85"/>
      <c r="E171" s="85"/>
      <c r="F171" s="85"/>
      <c r="G171" s="85"/>
      <c r="H171" s="86"/>
      <c r="I171" s="34"/>
      <c r="L171" s="80"/>
      <c r="M171" s="80"/>
      <c r="N171" s="34"/>
    </row>
    <row r="172" spans="1:20" s="35" customFormat="1" ht="15.75" customHeight="1" x14ac:dyDescent="0.3">
      <c r="A172" s="81">
        <v>1</v>
      </c>
      <c r="B172" s="82"/>
      <c r="C172" s="81" t="s">
        <v>350</v>
      </c>
      <c r="D172" s="83"/>
      <c r="E172" s="83"/>
      <c r="F172" s="83"/>
      <c r="G172" s="83"/>
      <c r="H172" s="82"/>
      <c r="I172" s="34"/>
      <c r="L172" s="80"/>
      <c r="M172" s="80"/>
      <c r="N172" s="34"/>
    </row>
    <row r="173" spans="1:20" s="35" customFormat="1" ht="15.75" customHeight="1" x14ac:dyDescent="0.3">
      <c r="A173" s="81">
        <f>A172+1</f>
        <v>2</v>
      </c>
      <c r="B173" s="82"/>
      <c r="C173" s="40" t="s">
        <v>351</v>
      </c>
      <c r="D173" s="40">
        <f>(76.1)*10.764</f>
        <v>819.14039999999989</v>
      </c>
      <c r="E173" s="40">
        <v>0</v>
      </c>
      <c r="F173" s="40">
        <f>D173+E173</f>
        <v>819.14039999999989</v>
      </c>
      <c r="G173" s="40">
        <v>0</v>
      </c>
      <c r="H173" s="40">
        <f>F173*(($H$148)+1)+(IF(G173&lt;101,G173,IF(G173&lt;201,G173/2,IF(G173&lt;=301,G173/3,G173/4))))</f>
        <v>1228.7105999999999</v>
      </c>
      <c r="I173" s="34"/>
      <c r="L173" s="80"/>
      <c r="M173" s="80"/>
      <c r="N173" s="34"/>
    </row>
    <row r="174" spans="1:20" s="35" customFormat="1" ht="15.75" customHeight="1" x14ac:dyDescent="0.3">
      <c r="A174" s="81">
        <f>A173+1</f>
        <v>3</v>
      </c>
      <c r="B174" s="82"/>
      <c r="C174" s="40" t="s">
        <v>339</v>
      </c>
      <c r="D174" s="40">
        <f>(63.01)*10.764</f>
        <v>678.23963999999989</v>
      </c>
      <c r="E174" s="40">
        <v>0</v>
      </c>
      <c r="F174" s="40">
        <f>D174+E174</f>
        <v>678.23963999999989</v>
      </c>
      <c r="G174" s="40">
        <v>0</v>
      </c>
      <c r="H174" s="40">
        <f>F174*(($H$148)+1)+(IF(G174&lt;101,G174,IF(G174&lt;201,G174/2,IF(G174&lt;=301,G174/3,G174/4))))</f>
        <v>1017.3594599999999</v>
      </c>
      <c r="I174" s="34">
        <f>2.9*6.43+3.43*2.25+2.9*2.85+2.3*2.85+2.9*4.13+1.38*2.15+2.9*1.2+1.85*1.05+0.9*0.9+1.45*2.22</f>
        <v>65.58</v>
      </c>
      <c r="L174" s="80"/>
      <c r="M174" s="80"/>
      <c r="N174" s="34"/>
      <c r="T174" s="21"/>
    </row>
    <row r="175" spans="1:20" s="35" customFormat="1" x14ac:dyDescent="0.3">
      <c r="A175" s="84" t="s">
        <v>352</v>
      </c>
      <c r="B175" s="85"/>
      <c r="C175" s="85"/>
      <c r="D175" s="85"/>
      <c r="E175" s="85"/>
      <c r="F175" s="85"/>
      <c r="G175" s="85"/>
      <c r="H175" s="86"/>
      <c r="J175" s="34"/>
    </row>
    <row r="176" spans="1:20" s="35" customFormat="1" ht="15.75" customHeight="1" x14ac:dyDescent="0.3">
      <c r="A176" s="84" t="s">
        <v>345</v>
      </c>
      <c r="B176" s="85"/>
      <c r="C176" s="85"/>
      <c r="D176" s="85"/>
      <c r="E176" s="85"/>
      <c r="F176" s="85"/>
      <c r="G176" s="85"/>
      <c r="H176" s="86"/>
      <c r="I176" s="34">
        <f>2.9*5.65+2.15*3.35+2.75*3.35+1.2*2.15+1.2*2.15+1.4*0.6+0.9*0.6</f>
        <v>39.340000000000003</v>
      </c>
      <c r="L176" s="80"/>
      <c r="M176" s="80"/>
      <c r="N176" s="34"/>
    </row>
    <row r="177" spans="1:20" s="35" customFormat="1" ht="15.75" customHeight="1" x14ac:dyDescent="0.3">
      <c r="A177" s="84" t="s">
        <v>338</v>
      </c>
      <c r="B177" s="85"/>
      <c r="C177" s="85"/>
      <c r="D177" s="85"/>
      <c r="E177" s="85"/>
      <c r="F177" s="85"/>
      <c r="G177" s="85"/>
      <c r="H177" s="86"/>
      <c r="I177" s="34">
        <f>4.3*2.9+2.15*3.46+3.2*3.3+3.05*3.3+2.05*1.23+2.15*1.2+0.9*1.2+0.9*1.35</f>
        <v>47.930499999999995</v>
      </c>
      <c r="J177" s="35">
        <f>1.2*2.9</f>
        <v>3.48</v>
      </c>
      <c r="L177" s="80"/>
      <c r="M177" s="80"/>
      <c r="N177" s="34"/>
    </row>
    <row r="178" spans="1:20" s="35" customFormat="1" ht="15.75" customHeight="1" x14ac:dyDescent="0.3">
      <c r="A178" s="84" t="s">
        <v>343</v>
      </c>
      <c r="B178" s="85"/>
      <c r="C178" s="85"/>
      <c r="D178" s="85"/>
      <c r="E178" s="85"/>
      <c r="F178" s="85"/>
      <c r="G178" s="85"/>
      <c r="H178" s="86"/>
      <c r="I178" s="34"/>
      <c r="L178" s="80"/>
      <c r="M178" s="80"/>
      <c r="N178" s="34"/>
    </row>
    <row r="179" spans="1:20" s="35" customFormat="1" ht="15.75" customHeight="1" x14ac:dyDescent="0.3">
      <c r="A179" s="81">
        <v>1</v>
      </c>
      <c r="B179" s="82"/>
      <c r="C179" s="81" t="s">
        <v>342</v>
      </c>
      <c r="D179" s="83"/>
      <c r="E179" s="83"/>
      <c r="F179" s="83"/>
      <c r="G179" s="83"/>
      <c r="H179" s="82"/>
      <c r="I179" s="34"/>
      <c r="L179" s="80"/>
      <c r="M179" s="80"/>
      <c r="N179" s="34"/>
      <c r="T179" s="21"/>
    </row>
    <row r="180" spans="1:20" s="35" customFormat="1" x14ac:dyDescent="0.3">
      <c r="A180" s="81">
        <f>A179+1</f>
        <v>2</v>
      </c>
      <c r="B180" s="82"/>
      <c r="C180" s="40" t="s">
        <v>339</v>
      </c>
      <c r="D180" s="40">
        <f>(51.8)*10.764</f>
        <v>557.57519999999988</v>
      </c>
      <c r="E180" s="40">
        <v>0</v>
      </c>
      <c r="F180" s="40">
        <f>D180+E180</f>
        <v>557.57519999999988</v>
      </c>
      <c r="G180" s="40">
        <v>0</v>
      </c>
      <c r="H180" s="40">
        <f>F180*(($H$148)+1)+(IF(G180&lt;101,G180,IF(G180&lt;201,G180/2,IF(G180&lt;=301,G180/3,G180/4))))</f>
        <v>836.36279999999988</v>
      </c>
      <c r="J180" s="34"/>
    </row>
    <row r="181" spans="1:20" s="35" customFormat="1" ht="15.75" customHeight="1" x14ac:dyDescent="0.3">
      <c r="A181" s="81">
        <f>A180+1</f>
        <v>3</v>
      </c>
      <c r="B181" s="82"/>
      <c r="C181" s="40" t="s">
        <v>339</v>
      </c>
      <c r="D181" s="40">
        <f>(63.01)*10.764</f>
        <v>678.23963999999989</v>
      </c>
      <c r="E181" s="40">
        <v>0</v>
      </c>
      <c r="F181" s="40">
        <f>D181+E181</f>
        <v>678.23963999999989</v>
      </c>
      <c r="G181" s="40">
        <v>0</v>
      </c>
      <c r="H181" s="40">
        <f>F181*(($H$148)+1)+(IF(G181&lt;101,G181,IF(G181&lt;201,G181/2,IF(G181&lt;=301,G181/3,G181/4))))</f>
        <v>1017.3594599999999</v>
      </c>
      <c r="I181" s="34"/>
      <c r="L181" s="80"/>
      <c r="M181" s="80"/>
      <c r="N181" s="34"/>
    </row>
    <row r="182" spans="1:20" s="35" customFormat="1" ht="15.75" customHeight="1" x14ac:dyDescent="0.3">
      <c r="A182" s="81">
        <f>A181+1</f>
        <v>4</v>
      </c>
      <c r="B182" s="82"/>
      <c r="C182" s="40" t="s">
        <v>339</v>
      </c>
      <c r="D182" s="40">
        <f>(70.7)*10.764</f>
        <v>761.01480000000004</v>
      </c>
      <c r="E182" s="40">
        <v>0</v>
      </c>
      <c r="F182" s="40">
        <f>D182+E182</f>
        <v>761.01480000000004</v>
      </c>
      <c r="G182" s="40">
        <v>0</v>
      </c>
      <c r="H182" s="40">
        <f>F182*(($H$148)+1)+(IF(G182&lt;101,G182,IF(G182&lt;201,G182/2,IF(G182&lt;=301,G182/3,G182/4))))</f>
        <v>1141.5222000000001</v>
      </c>
      <c r="I182" s="34"/>
      <c r="L182" s="80"/>
      <c r="M182" s="80"/>
      <c r="N182" s="34"/>
    </row>
    <row r="183" spans="1:20" s="35" customFormat="1" ht="15.75" customHeight="1" x14ac:dyDescent="0.3">
      <c r="A183" s="84" t="s">
        <v>116</v>
      </c>
      <c r="B183" s="85"/>
      <c r="C183" s="85"/>
      <c r="D183" s="85"/>
      <c r="E183" s="85"/>
      <c r="F183" s="85"/>
      <c r="G183" s="85"/>
      <c r="H183" s="86"/>
      <c r="I183" s="34"/>
      <c r="L183" s="80"/>
      <c r="M183" s="80"/>
      <c r="N183" s="34"/>
    </row>
    <row r="184" spans="1:20" s="35" customFormat="1" ht="15.75" customHeight="1" x14ac:dyDescent="0.3">
      <c r="A184" s="81">
        <v>1</v>
      </c>
      <c r="B184" s="82"/>
      <c r="C184" s="40" t="s">
        <v>353</v>
      </c>
      <c r="D184" s="40">
        <f>(41.48)*10.764</f>
        <v>446.49071999999995</v>
      </c>
      <c r="E184" s="40">
        <v>0</v>
      </c>
      <c r="F184" s="40">
        <f>D184+E184</f>
        <v>446.49071999999995</v>
      </c>
      <c r="G184" s="40">
        <v>0</v>
      </c>
      <c r="H184" s="40">
        <f>F184*(($H$148)+1)+(IF(G184&lt;101,G184,IF(G184&lt;201,G184/2,IF(G184&lt;=301,G184/3,G184/4))))</f>
        <v>669.7360799999999</v>
      </c>
      <c r="I184" s="34"/>
      <c r="L184" s="80"/>
      <c r="M184" s="80"/>
      <c r="N184" s="34"/>
      <c r="T184" s="21"/>
    </row>
    <row r="185" spans="1:20" s="35" customFormat="1" x14ac:dyDescent="0.3">
      <c r="A185" s="81">
        <f>A184+1</f>
        <v>2</v>
      </c>
      <c r="B185" s="82"/>
      <c r="C185" s="40" t="s">
        <v>339</v>
      </c>
      <c r="D185" s="40">
        <f>(51.8)*10.764</f>
        <v>557.57519999999988</v>
      </c>
      <c r="E185" s="40">
        <v>0</v>
      </c>
      <c r="F185" s="40">
        <f>D185+E185</f>
        <v>557.57519999999988</v>
      </c>
      <c r="G185" s="40">
        <v>0</v>
      </c>
      <c r="H185" s="40">
        <f>F185*(($H$148)+1)+(IF(G185&lt;101,G185,IF(G185&lt;201,G185/2,IF(G185&lt;=301,G185/3,G185/4))))</f>
        <v>836.36279999999988</v>
      </c>
      <c r="J185" s="34"/>
    </row>
    <row r="186" spans="1:20" s="35" customFormat="1" ht="15.75" customHeight="1" x14ac:dyDescent="0.3">
      <c r="A186" s="81">
        <f>A185+1</f>
        <v>3</v>
      </c>
      <c r="B186" s="82"/>
      <c r="C186" s="40" t="s">
        <v>339</v>
      </c>
      <c r="D186" s="40">
        <f>(61.48)*10.764</f>
        <v>661.77071999999998</v>
      </c>
      <c r="E186" s="40">
        <v>0</v>
      </c>
      <c r="F186" s="40">
        <f>D186+E186</f>
        <v>661.77071999999998</v>
      </c>
      <c r="G186" s="40">
        <v>0</v>
      </c>
      <c r="H186" s="40">
        <f>F186*(($H$148)+1)+(IF(G186&lt;101,G186,IF(G186&lt;201,G186/2,IF(G186&lt;=301,G186/3,G186/4))))</f>
        <v>992.65607999999997</v>
      </c>
      <c r="I186" s="34"/>
      <c r="L186" s="80"/>
      <c r="M186" s="80"/>
      <c r="N186" s="34"/>
    </row>
    <row r="187" spans="1:20" s="35" customFormat="1" ht="15.75" customHeight="1" x14ac:dyDescent="0.3">
      <c r="A187" s="81">
        <f>A186+1</f>
        <v>4</v>
      </c>
      <c r="B187" s="82"/>
      <c r="C187" s="40" t="s">
        <v>351</v>
      </c>
      <c r="D187" s="40">
        <f>(70.07)*10.764</f>
        <v>754.23347999999987</v>
      </c>
      <c r="E187" s="40">
        <v>0</v>
      </c>
      <c r="F187" s="40">
        <f>D187+E187</f>
        <v>754.23347999999987</v>
      </c>
      <c r="G187" s="40">
        <v>0</v>
      </c>
      <c r="H187" s="40">
        <f>F187*(($H$148)+1)+(IF(G187&lt;101,G187,IF(G187&lt;201,G187/2,IF(G187&lt;=301,G187/3,G187/4))))</f>
        <v>1131.3502199999998</v>
      </c>
      <c r="I187" s="34"/>
      <c r="L187" s="80"/>
      <c r="M187" s="80"/>
      <c r="N187" s="34"/>
    </row>
    <row r="188" spans="1:20" s="35" customFormat="1" ht="15.75" customHeight="1" x14ac:dyDescent="0.3">
      <c r="A188" s="84" t="s">
        <v>346</v>
      </c>
      <c r="B188" s="85"/>
      <c r="C188" s="85"/>
      <c r="D188" s="85"/>
      <c r="E188" s="85"/>
      <c r="F188" s="85"/>
      <c r="G188" s="85"/>
      <c r="H188" s="86"/>
      <c r="I188" s="34"/>
      <c r="L188" s="80"/>
      <c r="M188" s="80"/>
      <c r="N188" s="34"/>
    </row>
    <row r="189" spans="1:20" s="35" customFormat="1" ht="15.75" customHeight="1" x14ac:dyDescent="0.3">
      <c r="A189" s="81">
        <v>1</v>
      </c>
      <c r="B189" s="82"/>
      <c r="C189" s="40" t="s">
        <v>353</v>
      </c>
      <c r="D189" s="40">
        <f>(41.48)*10.764</f>
        <v>446.49071999999995</v>
      </c>
      <c r="E189" s="40">
        <v>0</v>
      </c>
      <c r="F189" s="40">
        <f>D189+E189</f>
        <v>446.49071999999995</v>
      </c>
      <c r="G189" s="40">
        <v>0</v>
      </c>
      <c r="H189" s="40">
        <f>F189*(($H$148)+1)+(IF(G189&lt;101,G189,IF(G189&lt;201,G189/2,IF(G189&lt;=301,G189/3,G189/4))))</f>
        <v>669.7360799999999</v>
      </c>
      <c r="I189" s="34"/>
      <c r="L189" s="80"/>
      <c r="M189" s="80"/>
      <c r="N189" s="34"/>
      <c r="T189" s="21"/>
    </row>
    <row r="190" spans="1:20" s="35" customFormat="1" x14ac:dyDescent="0.3">
      <c r="A190" s="81">
        <f>A189+1</f>
        <v>2</v>
      </c>
      <c r="B190" s="82"/>
      <c r="C190" s="40" t="s">
        <v>339</v>
      </c>
      <c r="D190" s="40">
        <f>(51.12)*10.764</f>
        <v>550.25567999999998</v>
      </c>
      <c r="E190" s="40">
        <v>0</v>
      </c>
      <c r="F190" s="40">
        <f>D190+E190</f>
        <v>550.25567999999998</v>
      </c>
      <c r="G190" s="40">
        <v>0</v>
      </c>
      <c r="H190" s="40">
        <f>F190*(($H$148)+1)+(IF(G190&lt;101,G190,IF(G190&lt;201,G190/2,IF(G190&lt;=301,G190/3,G190/4))))</f>
        <v>825.38351999999998</v>
      </c>
      <c r="J190" s="34"/>
    </row>
    <row r="191" spans="1:20" s="35" customFormat="1" ht="15.75" customHeight="1" x14ac:dyDescent="0.3">
      <c r="A191" s="81">
        <f>A190+1</f>
        <v>3</v>
      </c>
      <c r="B191" s="82"/>
      <c r="C191" s="40" t="s">
        <v>339</v>
      </c>
      <c r="D191" s="40">
        <f>(61.48)*10.764</f>
        <v>661.77071999999998</v>
      </c>
      <c r="E191" s="40">
        <v>0</v>
      </c>
      <c r="F191" s="40">
        <f>D191+E191</f>
        <v>661.77071999999998</v>
      </c>
      <c r="G191" s="40">
        <v>0</v>
      </c>
      <c r="H191" s="40">
        <f>F191*(($H$148)+1)+(IF(G191&lt;101,G191,IF(G191&lt;201,G191/2,IF(G191&lt;=301,G191/3,G191/4))))</f>
        <v>992.65607999999997</v>
      </c>
      <c r="I191" s="34"/>
      <c r="L191" s="80"/>
      <c r="M191" s="80"/>
      <c r="N191" s="34"/>
    </row>
    <row r="192" spans="1:20" s="35" customFormat="1" ht="15.75" customHeight="1" x14ac:dyDescent="0.3">
      <c r="A192" s="81">
        <f>A191+1</f>
        <v>4</v>
      </c>
      <c r="B192" s="82"/>
      <c r="C192" s="40" t="s">
        <v>351</v>
      </c>
      <c r="D192" s="40">
        <f>(70.07)*10.764</f>
        <v>754.23347999999987</v>
      </c>
      <c r="E192" s="40">
        <v>0</v>
      </c>
      <c r="F192" s="40">
        <f>D192+E192</f>
        <v>754.23347999999987</v>
      </c>
      <c r="G192" s="40">
        <v>0</v>
      </c>
      <c r="H192" s="40">
        <f>F192*(($H$148)+1)+(IF(G192&lt;101,G192,IF(G192&lt;201,G192/2,IF(G192&lt;=301,G192/3,G192/4))))</f>
        <v>1131.3502199999998</v>
      </c>
      <c r="I192" s="34">
        <f>6.02*2.9+2.15*3.45+3.2*3.3+3.05*3.3+2.05*1.2+2.15*1.2+0.9*1.2+0.9*1.2</f>
        <v>52.700499999999991</v>
      </c>
      <c r="L192" s="80"/>
      <c r="M192" s="80"/>
      <c r="N192" s="34"/>
    </row>
    <row r="193" spans="1:20" s="35" customFormat="1" ht="15.75" customHeight="1" x14ac:dyDescent="0.3">
      <c r="A193" s="84" t="s">
        <v>378</v>
      </c>
      <c r="B193" s="85"/>
      <c r="C193" s="85"/>
      <c r="D193" s="85"/>
      <c r="E193" s="85"/>
      <c r="F193" s="85"/>
      <c r="G193" s="85"/>
      <c r="H193" s="86"/>
      <c r="I193" s="34"/>
      <c r="L193" s="80"/>
      <c r="M193" s="80"/>
      <c r="N193" s="34"/>
    </row>
    <row r="194" spans="1:20" s="35" customFormat="1" ht="15.75" customHeight="1" x14ac:dyDescent="0.3">
      <c r="A194" s="81">
        <v>1</v>
      </c>
      <c r="B194" s="82"/>
      <c r="C194" s="40" t="s">
        <v>353</v>
      </c>
      <c r="D194" s="40">
        <f>(41.48)*10.764</f>
        <v>446.49071999999995</v>
      </c>
      <c r="E194" s="40">
        <v>0</v>
      </c>
      <c r="F194" s="40">
        <f>D194+E194</f>
        <v>446.49071999999995</v>
      </c>
      <c r="G194" s="40">
        <v>0</v>
      </c>
      <c r="H194" s="40">
        <f>F194*(($H$148)+1)+(IF(G194&lt;101,G194,IF(G194&lt;201,G194/2,IF(G194&lt;=301,G194/3,G194/4))))</f>
        <v>669.7360799999999</v>
      </c>
      <c r="I194" s="34"/>
      <c r="L194" s="80"/>
      <c r="M194" s="80"/>
      <c r="N194" s="34"/>
      <c r="T194" s="21"/>
    </row>
    <row r="195" spans="1:20" s="35" customFormat="1" x14ac:dyDescent="0.3">
      <c r="A195" s="81">
        <f>A194+1</f>
        <v>2</v>
      </c>
      <c r="B195" s="82"/>
      <c r="C195" s="40" t="s">
        <v>339</v>
      </c>
      <c r="D195" s="40">
        <f>(51.12)*10.764</f>
        <v>550.25567999999998</v>
      </c>
      <c r="E195" s="40">
        <v>0</v>
      </c>
      <c r="F195" s="40">
        <f>D195+E195</f>
        <v>550.25567999999998</v>
      </c>
      <c r="G195" s="40">
        <v>0</v>
      </c>
      <c r="H195" s="40">
        <f>F195*(($H$148)+1)+(IF(G195&lt;101,G195,IF(G195&lt;201,G195/2,IF(G195&lt;=301,G195/3,G195/4))))</f>
        <v>825.38351999999998</v>
      </c>
      <c r="J195" s="34"/>
    </row>
    <row r="196" spans="1:20" s="35" customFormat="1" ht="15.75" customHeight="1" x14ac:dyDescent="0.3">
      <c r="A196" s="81">
        <f>A195+1</f>
        <v>3</v>
      </c>
      <c r="B196" s="82"/>
      <c r="C196" s="40" t="s">
        <v>339</v>
      </c>
      <c r="D196" s="40">
        <f>(61.48)*10.764</f>
        <v>661.77071999999998</v>
      </c>
      <c r="E196" s="40">
        <v>0</v>
      </c>
      <c r="F196" s="40">
        <f>D196+E196</f>
        <v>661.77071999999998</v>
      </c>
      <c r="G196" s="40">
        <v>0</v>
      </c>
      <c r="H196" s="40">
        <f>F196*(($H$148)+1)+(IF(G196&lt;101,G196,IF(G196&lt;201,G196/2,IF(G196&lt;=301,G196/3,G196/4))))</f>
        <v>992.65607999999997</v>
      </c>
      <c r="I196" s="34"/>
      <c r="L196" s="80"/>
      <c r="M196" s="80"/>
      <c r="N196" s="34"/>
    </row>
    <row r="197" spans="1:20" s="35" customFormat="1" ht="15.75" customHeight="1" x14ac:dyDescent="0.3">
      <c r="A197" s="81">
        <f>A196+1</f>
        <v>4</v>
      </c>
      <c r="B197" s="82"/>
      <c r="C197" s="81" t="s">
        <v>354</v>
      </c>
      <c r="D197" s="83"/>
      <c r="E197" s="83"/>
      <c r="F197" s="83"/>
      <c r="G197" s="83"/>
      <c r="H197" s="82"/>
      <c r="I197" s="34"/>
      <c r="L197" s="80"/>
      <c r="M197" s="80"/>
      <c r="N197" s="34"/>
    </row>
    <row r="198" spans="1:20" s="35" customFormat="1" ht="15.75" customHeight="1" x14ac:dyDescent="0.3">
      <c r="A198" s="84" t="s">
        <v>347</v>
      </c>
      <c r="B198" s="85"/>
      <c r="C198" s="85"/>
      <c r="D198" s="85"/>
      <c r="E198" s="85"/>
      <c r="F198" s="85"/>
      <c r="G198" s="85"/>
      <c r="H198" s="86"/>
      <c r="I198" s="34">
        <f>6.1*3.05+2.15*2.75+3.2*3.57+3.05*3.08+2.95*4.13+1.35*2.15+1.85*1.41+2.15*1.2+1.45*2+1.2*1+2.3*1+0.9*1.35</f>
        <v>73.225000000000009</v>
      </c>
      <c r="L198" s="80"/>
      <c r="M198" s="80"/>
      <c r="N198" s="34"/>
    </row>
    <row r="199" spans="1:20" s="35" customFormat="1" ht="15.75" customHeight="1" x14ac:dyDescent="0.3">
      <c r="A199" s="81">
        <v>1</v>
      </c>
      <c r="B199" s="82"/>
      <c r="C199" s="40" t="s">
        <v>353</v>
      </c>
      <c r="D199" s="40">
        <f>(41.48)*10.764</f>
        <v>446.49071999999995</v>
      </c>
      <c r="E199" s="40">
        <v>0</v>
      </c>
      <c r="F199" s="40">
        <f>D199+E199</f>
        <v>446.49071999999995</v>
      </c>
      <c r="G199" s="40">
        <v>0</v>
      </c>
      <c r="H199" s="40">
        <f>F199*(($H$148)+1)+(IF(G199&lt;101,G199,IF(G199&lt;201,G199/2,IF(G199&lt;=301,G199/3,G199/4))))</f>
        <v>669.7360799999999</v>
      </c>
      <c r="I199" s="34"/>
      <c r="L199" s="80"/>
      <c r="M199" s="80"/>
      <c r="N199" s="34"/>
      <c r="T199" s="21"/>
    </row>
    <row r="200" spans="1:20" s="35" customFormat="1" x14ac:dyDescent="0.3">
      <c r="A200" s="81">
        <f>A199+1</f>
        <v>2</v>
      </c>
      <c r="B200" s="82"/>
      <c r="C200" s="40" t="s">
        <v>339</v>
      </c>
      <c r="D200" s="40">
        <f>(56.12)*10.764</f>
        <v>604.07567999999992</v>
      </c>
      <c r="E200" s="40">
        <v>0</v>
      </c>
      <c r="F200" s="40">
        <f>D200+E200</f>
        <v>604.07567999999992</v>
      </c>
      <c r="G200" s="40">
        <v>0</v>
      </c>
      <c r="H200" s="40">
        <f>F200*(($H$148)+1)+(IF(G200&lt;101,G200,IF(G200&lt;201,G200/2,IF(G200&lt;=301,G200/3,G200/4))))</f>
        <v>906.11351999999988</v>
      </c>
      <c r="J200" s="34"/>
    </row>
    <row r="201" spans="1:20" s="35" customFormat="1" ht="15.75" customHeight="1" x14ac:dyDescent="0.3">
      <c r="A201" s="81">
        <f>A200+1</f>
        <v>3</v>
      </c>
      <c r="B201" s="82"/>
      <c r="C201" s="40" t="s">
        <v>339</v>
      </c>
      <c r="D201" s="40">
        <f>(61.48)*10.764</f>
        <v>661.77071999999998</v>
      </c>
      <c r="E201" s="40">
        <v>0</v>
      </c>
      <c r="F201" s="40">
        <f>D201+E201</f>
        <v>661.77071999999998</v>
      </c>
      <c r="G201" s="40">
        <v>0</v>
      </c>
      <c r="H201" s="40">
        <f>F201*(($H$148)+1)+(IF(G201&lt;101,G201,IF(G201&lt;201,G201/2,IF(G201&lt;=301,G201/3,G201/4))))</f>
        <v>992.65607999999997</v>
      </c>
      <c r="I201" s="34"/>
      <c r="L201" s="80"/>
      <c r="M201" s="80"/>
      <c r="N201" s="34"/>
    </row>
    <row r="202" spans="1:20" s="35" customFormat="1" ht="15.75" customHeight="1" x14ac:dyDescent="0.3">
      <c r="A202" s="81">
        <f>A201+1</f>
        <v>4</v>
      </c>
      <c r="B202" s="82"/>
      <c r="C202" s="40" t="s">
        <v>351</v>
      </c>
      <c r="D202" s="40">
        <f>(70.07)*10.764</f>
        <v>754.23347999999987</v>
      </c>
      <c r="E202" s="40">
        <v>0</v>
      </c>
      <c r="F202" s="40">
        <f>D202+E202</f>
        <v>754.23347999999987</v>
      </c>
      <c r="G202" s="40">
        <v>0</v>
      </c>
      <c r="H202" s="40">
        <f>F202*(($H$148)+1)+(IF(G202&lt;101,G202,IF(G202&lt;201,G202/2,IF(G202&lt;=301,G202/3,G202/4))))</f>
        <v>1131.3502199999998</v>
      </c>
      <c r="I202" s="34"/>
      <c r="L202" s="80"/>
      <c r="M202" s="80"/>
      <c r="N202" s="34"/>
    </row>
    <row r="203" spans="1:20" s="35" customFormat="1" ht="15.75" customHeight="1" x14ac:dyDescent="0.3">
      <c r="A203" s="84" t="s">
        <v>379</v>
      </c>
      <c r="B203" s="85"/>
      <c r="C203" s="85"/>
      <c r="D203" s="85"/>
      <c r="E203" s="85"/>
      <c r="F203" s="85"/>
      <c r="G203" s="85"/>
      <c r="H203" s="86"/>
      <c r="I203" s="34"/>
      <c r="L203" s="80"/>
      <c r="M203" s="80"/>
      <c r="N203" s="34"/>
    </row>
    <row r="204" spans="1:20" s="35" customFormat="1" ht="15.75" customHeight="1" x14ac:dyDescent="0.3">
      <c r="A204" s="81">
        <v>1</v>
      </c>
      <c r="B204" s="82"/>
      <c r="C204" s="40" t="s">
        <v>353</v>
      </c>
      <c r="D204" s="40">
        <f>(41.48)*10.764</f>
        <v>446.49071999999995</v>
      </c>
      <c r="E204" s="40">
        <v>0</v>
      </c>
      <c r="F204" s="40">
        <f>D204+E204</f>
        <v>446.49071999999995</v>
      </c>
      <c r="G204" s="40">
        <v>0</v>
      </c>
      <c r="H204" s="40">
        <f>F204*(($H$148)+1)+(IF(G204&lt;101,G204,IF(G204&lt;201,G204/2,IF(G204&lt;=301,G204/3,G204/4))))</f>
        <v>669.7360799999999</v>
      </c>
      <c r="I204" s="34"/>
      <c r="L204" s="80"/>
      <c r="M204" s="80"/>
      <c r="N204" s="34"/>
      <c r="T204" s="21"/>
    </row>
    <row r="205" spans="1:20" s="35" customFormat="1" x14ac:dyDescent="0.3">
      <c r="A205" s="81">
        <f>A204+1</f>
        <v>2</v>
      </c>
      <c r="B205" s="82"/>
      <c r="C205" s="40" t="s">
        <v>339</v>
      </c>
      <c r="D205" s="40">
        <f>(56.12)*10.764</f>
        <v>604.07567999999992</v>
      </c>
      <c r="E205" s="40">
        <v>0</v>
      </c>
      <c r="F205" s="40">
        <f>D205+E205</f>
        <v>604.07567999999992</v>
      </c>
      <c r="G205" s="40">
        <v>0</v>
      </c>
      <c r="H205" s="40">
        <f>F205*(($H$148)+1)+(IF(G205&lt;101,G205,IF(G205&lt;201,G205/2,IF(G205&lt;=301,G205/3,G205/4))))</f>
        <v>906.11351999999988</v>
      </c>
      <c r="J205" s="34"/>
    </row>
    <row r="206" spans="1:20" s="35" customFormat="1" ht="15.75" customHeight="1" x14ac:dyDescent="0.3">
      <c r="A206" s="81">
        <f>A205+1</f>
        <v>3</v>
      </c>
      <c r="B206" s="82"/>
      <c r="C206" s="40" t="s">
        <v>351</v>
      </c>
      <c r="D206" s="40">
        <f>(81.56)*10.764</f>
        <v>877.91183999999998</v>
      </c>
      <c r="E206" s="40">
        <v>0</v>
      </c>
      <c r="F206" s="40">
        <f>D206+E206</f>
        <v>877.91183999999998</v>
      </c>
      <c r="G206" s="40">
        <v>0</v>
      </c>
      <c r="H206" s="40">
        <f>F206*(($H$148)+1)+(IF(G206&lt;101,G206,IF(G206&lt;201,G206/2,IF(G206&lt;=301,G206/3,G206/4))))</f>
        <v>1316.8677600000001</v>
      </c>
      <c r="I206" s="34"/>
      <c r="L206" s="80"/>
      <c r="M206" s="80"/>
      <c r="N206" s="34"/>
    </row>
    <row r="207" spans="1:20" s="35" customFormat="1" ht="15.75" customHeight="1" x14ac:dyDescent="0.3">
      <c r="A207" s="81">
        <f>A206+1</f>
        <v>4</v>
      </c>
      <c r="B207" s="82"/>
      <c r="C207" s="81" t="s">
        <v>350</v>
      </c>
      <c r="D207" s="83"/>
      <c r="E207" s="83"/>
      <c r="F207" s="83"/>
      <c r="G207" s="83"/>
      <c r="H207" s="82"/>
      <c r="I207" s="34"/>
      <c r="L207" s="80"/>
      <c r="M207" s="80"/>
      <c r="N207" s="34"/>
    </row>
    <row r="208" spans="1:20" s="35" customFormat="1" ht="15.75" customHeight="1" x14ac:dyDescent="0.3">
      <c r="A208" s="84" t="s">
        <v>381</v>
      </c>
      <c r="B208" s="85"/>
      <c r="C208" s="85"/>
      <c r="D208" s="85"/>
      <c r="E208" s="85"/>
      <c r="F208" s="85"/>
      <c r="G208" s="85"/>
      <c r="H208" s="86"/>
      <c r="I208" s="34"/>
      <c r="L208" s="80"/>
      <c r="M208" s="80"/>
      <c r="N208" s="34"/>
    </row>
    <row r="209" spans="1:20" s="35" customFormat="1" ht="15.75" customHeight="1" x14ac:dyDescent="0.3">
      <c r="A209" s="81">
        <v>1</v>
      </c>
      <c r="B209" s="82"/>
      <c r="C209" s="40" t="s">
        <v>353</v>
      </c>
      <c r="D209" s="40">
        <f>(41.48)*10.764</f>
        <v>446.49071999999995</v>
      </c>
      <c r="E209" s="40">
        <v>0</v>
      </c>
      <c r="F209" s="40">
        <f>D209+E209</f>
        <v>446.49071999999995</v>
      </c>
      <c r="G209" s="40">
        <v>0</v>
      </c>
      <c r="H209" s="40">
        <f>F209*(($H$148)+1)+(IF(G209&lt;101,G209,IF(G209&lt;201,G209/2,IF(G209&lt;=301,G209/3,G209/4))))</f>
        <v>669.7360799999999</v>
      </c>
      <c r="I209" s="34"/>
      <c r="L209" s="80"/>
      <c r="M209" s="80"/>
      <c r="N209" s="34"/>
      <c r="T209" s="21"/>
    </row>
    <row r="210" spans="1:20" s="35" customFormat="1" x14ac:dyDescent="0.3">
      <c r="A210" s="81">
        <f>A209+1</f>
        <v>2</v>
      </c>
      <c r="B210" s="82"/>
      <c r="C210" s="40" t="s">
        <v>339</v>
      </c>
      <c r="D210" s="40">
        <f>(56.12)*10.764</f>
        <v>604.07567999999992</v>
      </c>
      <c r="E210" s="40">
        <v>0</v>
      </c>
      <c r="F210" s="40">
        <f>D210+E210</f>
        <v>604.07567999999992</v>
      </c>
      <c r="G210" s="40">
        <v>0</v>
      </c>
      <c r="H210" s="40">
        <f>F210*(($H$148)+1)+(IF(G210&lt;101,G210,IF(G210&lt;201,G210/2,IF(G210&lt;=301,G210/3,G210/4))))</f>
        <v>906.11351999999988</v>
      </c>
      <c r="I210" s="34"/>
      <c r="L210" s="80"/>
      <c r="M210" s="80"/>
    </row>
    <row r="211" spans="1:20" s="35" customFormat="1" x14ac:dyDescent="0.3">
      <c r="A211" s="81">
        <f>A210+1</f>
        <v>3</v>
      </c>
      <c r="B211" s="82"/>
      <c r="C211" s="81" t="s">
        <v>380</v>
      </c>
      <c r="D211" s="83"/>
      <c r="E211" s="83"/>
      <c r="F211" s="83"/>
      <c r="G211" s="83"/>
      <c r="H211" s="82"/>
      <c r="I211" s="34"/>
      <c r="N211" s="34"/>
    </row>
    <row r="212" spans="1:20" s="35" customFormat="1" x14ac:dyDescent="0.3">
      <c r="A212" s="81">
        <f>A211+1</f>
        <v>4</v>
      </c>
      <c r="B212" s="82"/>
      <c r="C212" s="81" t="s">
        <v>380</v>
      </c>
      <c r="D212" s="83"/>
      <c r="E212" s="83"/>
      <c r="F212" s="83"/>
      <c r="G212" s="83"/>
      <c r="H212" s="82"/>
      <c r="I212" s="34"/>
      <c r="N212" s="34"/>
    </row>
    <row r="213" spans="1:20" s="33" customFormat="1" x14ac:dyDescent="0.3">
      <c r="A213" s="144" t="s">
        <v>64</v>
      </c>
      <c r="B213" s="144"/>
      <c r="C213" s="144"/>
      <c r="D213" s="144"/>
      <c r="E213" s="144"/>
      <c r="F213" s="144"/>
      <c r="G213" s="144"/>
      <c r="H213" s="144"/>
    </row>
    <row r="214" spans="1:20" s="33" customFormat="1" x14ac:dyDescent="0.3">
      <c r="A214" s="76" t="s">
        <v>149</v>
      </c>
      <c r="B214" s="77" t="s">
        <v>387</v>
      </c>
      <c r="C214" s="78"/>
      <c r="D214" s="78"/>
      <c r="E214" s="78"/>
      <c r="F214" s="78"/>
      <c r="G214" s="78"/>
      <c r="H214" s="79"/>
    </row>
    <row r="215" spans="1:20" s="33" customFormat="1" x14ac:dyDescent="0.3">
      <c r="A215" s="76" t="s">
        <v>149</v>
      </c>
      <c r="B215" s="77" t="str">
        <f>(IF(H147="Saleable area Loading :","We have considered Saleable area of Flats as per our Calculation.","We considered Saleable area of Flat as per Builder area Sheet."))</f>
        <v>We have considered Saleable area of Flats as per our Calculation.</v>
      </c>
      <c r="C215" s="78"/>
      <c r="D215" s="78"/>
      <c r="E215" s="78"/>
      <c r="F215" s="78"/>
      <c r="G215" s="78"/>
      <c r="H215" s="79"/>
    </row>
    <row r="216" spans="1:20" s="33" customFormat="1" hidden="1" x14ac:dyDescent="0.3">
      <c r="A216" s="76" t="s">
        <v>149</v>
      </c>
      <c r="B216" s="77" t="str">
        <f>(IF(H139="Saleable area Loading :","We have considered Saleable area of Commercial as per our Calculation.","We considered Saleable area of Commercial as per Builder area Sheet."))</f>
        <v>We have considered Saleable area of Commercial as per our Calculation.</v>
      </c>
      <c r="C216" s="78"/>
      <c r="D216" s="78"/>
      <c r="E216" s="78"/>
      <c r="F216" s="78"/>
      <c r="G216" s="78"/>
      <c r="H216" s="79"/>
    </row>
    <row r="217" spans="1:20" s="33" customFormat="1" x14ac:dyDescent="0.3">
      <c r="A217" s="76" t="s">
        <v>149</v>
      </c>
      <c r="B217" s="77" t="s">
        <v>119</v>
      </c>
      <c r="C217" s="78"/>
      <c r="D217" s="78"/>
      <c r="E217" s="78"/>
      <c r="F217" s="78"/>
      <c r="G217" s="78"/>
      <c r="H217" s="79"/>
    </row>
    <row r="218" spans="1:20" s="33" customFormat="1" x14ac:dyDescent="0.3">
      <c r="A218" s="76" t="s">
        <v>149</v>
      </c>
      <c r="B218" s="77" t="s">
        <v>366</v>
      </c>
      <c r="C218" s="78"/>
      <c r="D218" s="78"/>
      <c r="E218" s="78"/>
      <c r="F218" s="78"/>
      <c r="G218" s="78"/>
      <c r="H218" s="79"/>
    </row>
    <row r="219" spans="1:20" x14ac:dyDescent="0.3">
      <c r="A219" s="76" t="s">
        <v>149</v>
      </c>
      <c r="B219" s="77" t="s">
        <v>148</v>
      </c>
      <c r="C219" s="78"/>
      <c r="D219" s="78"/>
      <c r="E219" s="78"/>
      <c r="F219" s="78"/>
      <c r="G219" s="78"/>
      <c r="H219" s="79"/>
      <c r="T219" s="33"/>
    </row>
    <row r="220" spans="1:20" x14ac:dyDescent="0.3">
      <c r="A220" s="76" t="s">
        <v>149</v>
      </c>
      <c r="B220" s="77" t="s">
        <v>120</v>
      </c>
      <c r="C220" s="78"/>
      <c r="D220" s="78"/>
      <c r="E220" s="78"/>
      <c r="F220" s="78"/>
      <c r="G220" s="78"/>
      <c r="H220" s="79"/>
      <c r="T220" s="33"/>
    </row>
    <row r="221" spans="1:20" ht="31.8" customHeight="1" x14ac:dyDescent="0.3">
      <c r="A221" s="76" t="s">
        <v>149</v>
      </c>
      <c r="B221" s="77" t="s">
        <v>150</v>
      </c>
      <c r="C221" s="78"/>
      <c r="D221" s="78"/>
      <c r="E221" s="78"/>
      <c r="F221" s="78"/>
      <c r="G221" s="78"/>
      <c r="H221" s="79"/>
      <c r="T221" s="33"/>
    </row>
    <row r="222" spans="1:20" x14ac:dyDescent="0.3">
      <c r="A222" s="76" t="s">
        <v>149</v>
      </c>
      <c r="B222" s="77" t="s">
        <v>121</v>
      </c>
      <c r="C222" s="78"/>
      <c r="D222" s="78"/>
      <c r="E222" s="78"/>
      <c r="F222" s="78"/>
      <c r="G222" s="78"/>
      <c r="H222" s="79"/>
      <c r="T222" s="33"/>
    </row>
    <row r="223" spans="1:20" ht="33" customHeight="1" x14ac:dyDescent="0.3">
      <c r="A223" s="76" t="s">
        <v>149</v>
      </c>
      <c r="B223" s="77" t="s">
        <v>174</v>
      </c>
      <c r="C223" s="78"/>
      <c r="D223" s="78"/>
      <c r="E223" s="78"/>
      <c r="F223" s="78"/>
      <c r="G223" s="78"/>
      <c r="H223" s="79"/>
      <c r="T223" s="33"/>
    </row>
    <row r="224" spans="1:20" x14ac:dyDescent="0.3">
      <c r="A224" s="76" t="s">
        <v>149</v>
      </c>
      <c r="B224" s="77" t="s">
        <v>389</v>
      </c>
      <c r="C224" s="78"/>
      <c r="D224" s="78"/>
      <c r="E224" s="78"/>
      <c r="F224" s="78"/>
      <c r="G224" s="78"/>
      <c r="H224" s="79"/>
      <c r="I224" s="216" t="s">
        <v>230</v>
      </c>
      <c r="J224" s="217"/>
      <c r="K224" s="217"/>
      <c r="L224" s="217"/>
      <c r="M224" s="217"/>
      <c r="N224" s="217"/>
      <c r="O224" s="218"/>
    </row>
    <row r="225" spans="1:8" x14ac:dyDescent="0.3">
      <c r="A225" s="76" t="s">
        <v>149</v>
      </c>
      <c r="B225" s="77" t="s">
        <v>392</v>
      </c>
      <c r="C225" s="78"/>
      <c r="D225" s="78"/>
      <c r="E225" s="78"/>
      <c r="F225" s="78"/>
      <c r="G225" s="78"/>
      <c r="H225" s="79"/>
    </row>
    <row r="226" spans="1:8" x14ac:dyDescent="0.3">
      <c r="A226" s="109" t="s">
        <v>57</v>
      </c>
      <c r="B226" s="109"/>
      <c r="C226" s="109"/>
      <c r="D226" s="109"/>
      <c r="E226" s="109"/>
      <c r="F226" s="109"/>
      <c r="G226" s="109"/>
      <c r="H226" s="109"/>
    </row>
    <row r="227" spans="1:8" x14ac:dyDescent="0.3">
      <c r="A227" s="92" t="s">
        <v>58</v>
      </c>
      <c r="B227" s="92"/>
      <c r="C227" s="92"/>
      <c r="D227" s="92"/>
      <c r="E227" s="92"/>
      <c r="F227" s="92"/>
      <c r="G227" s="92"/>
      <c r="H227" s="92"/>
    </row>
    <row r="228" spans="1:8" x14ac:dyDescent="0.3">
      <c r="A228" s="111" t="s">
        <v>59</v>
      </c>
      <c r="B228" s="111"/>
      <c r="C228" s="111"/>
      <c r="D228" s="111"/>
      <c r="E228" s="111"/>
      <c r="F228" s="111"/>
      <c r="G228" s="111"/>
      <c r="H228" s="111"/>
    </row>
    <row r="229" spans="1:8" x14ac:dyDescent="0.3">
      <c r="A229" s="92" t="s">
        <v>60</v>
      </c>
      <c r="B229" s="92"/>
      <c r="C229" s="92"/>
      <c r="D229" s="92"/>
      <c r="E229" s="92"/>
      <c r="F229" s="92"/>
      <c r="G229" s="92"/>
      <c r="H229" s="92"/>
    </row>
    <row r="230" spans="1:8" x14ac:dyDescent="0.3">
      <c r="A230" s="92" t="s">
        <v>61</v>
      </c>
      <c r="B230" s="92"/>
      <c r="C230" s="92"/>
      <c r="D230" s="92"/>
      <c r="E230" s="92"/>
      <c r="F230" s="92"/>
      <c r="G230" s="92"/>
      <c r="H230" s="92"/>
    </row>
    <row r="231" spans="1:8" x14ac:dyDescent="0.3">
      <c r="A231" s="92" t="s">
        <v>122</v>
      </c>
      <c r="B231" s="92"/>
      <c r="C231" s="92"/>
      <c r="D231" s="92"/>
      <c r="E231" s="92"/>
      <c r="F231" s="92"/>
      <c r="G231" s="92"/>
      <c r="H231" s="92"/>
    </row>
    <row r="232" spans="1:8" ht="15" customHeight="1" x14ac:dyDescent="0.3">
      <c r="A232" s="110" t="s">
        <v>123</v>
      </c>
      <c r="B232" s="110"/>
      <c r="C232" s="110"/>
      <c r="D232" s="110"/>
      <c r="E232" s="110"/>
      <c r="F232" s="110"/>
      <c r="G232" s="110"/>
      <c r="H232" s="110"/>
    </row>
    <row r="233" spans="1:8" x14ac:dyDescent="0.3">
      <c r="A233" s="162" t="s">
        <v>73</v>
      </c>
      <c r="B233" s="162"/>
      <c r="C233" s="162" t="s">
        <v>386</v>
      </c>
      <c r="D233" s="162"/>
      <c r="E233" s="162" t="s">
        <v>102</v>
      </c>
      <c r="F233" s="162"/>
      <c r="G233" s="162" t="s">
        <v>385</v>
      </c>
      <c r="H233" s="162"/>
    </row>
    <row r="234" spans="1:8" x14ac:dyDescent="0.3">
      <c r="A234" s="161" t="s">
        <v>75</v>
      </c>
      <c r="B234" s="161"/>
      <c r="C234" s="161"/>
      <c r="D234" s="161"/>
      <c r="E234" s="161"/>
      <c r="F234" s="161"/>
      <c r="G234" s="161"/>
      <c r="H234" s="161"/>
    </row>
    <row r="235" spans="1:8" x14ac:dyDescent="0.3">
      <c r="A235" s="161"/>
      <c r="B235" s="161"/>
      <c r="C235" s="161"/>
      <c r="D235" s="161"/>
      <c r="E235" s="161"/>
      <c r="F235" s="161"/>
      <c r="G235" s="161"/>
      <c r="H235" s="161"/>
    </row>
    <row r="236" spans="1:8" x14ac:dyDescent="0.3">
      <c r="A236" s="161"/>
      <c r="B236" s="161"/>
      <c r="C236" s="161"/>
      <c r="D236" s="161"/>
      <c r="E236" s="161"/>
      <c r="F236" s="161"/>
      <c r="G236" s="161"/>
      <c r="H236" s="161"/>
    </row>
    <row r="237" spans="1:8" x14ac:dyDescent="0.3">
      <c r="A237" s="161"/>
      <c r="B237" s="161"/>
      <c r="C237" s="161"/>
      <c r="D237" s="161"/>
      <c r="E237" s="161"/>
      <c r="F237" s="161"/>
      <c r="G237" s="161"/>
      <c r="H237" s="161"/>
    </row>
    <row r="238" spans="1:8" x14ac:dyDescent="0.3">
      <c r="A238" s="36" t="s">
        <v>62</v>
      </c>
      <c r="B238" s="37"/>
      <c r="C238" s="37"/>
      <c r="D238" s="36" t="str">
        <f>E9</f>
        <v>Modirealty Acacia</v>
      </c>
      <c r="F238" s="37"/>
      <c r="G238" s="37"/>
      <c r="H238" s="37"/>
    </row>
    <row r="239" spans="1:8" x14ac:dyDescent="0.3">
      <c r="A239" s="37"/>
      <c r="B239" s="37"/>
      <c r="C239" s="37"/>
      <c r="D239" s="37"/>
      <c r="E239" s="37"/>
      <c r="F239" s="37"/>
      <c r="G239" s="37"/>
      <c r="H239" s="37"/>
    </row>
    <row r="240" spans="1:8" x14ac:dyDescent="0.3">
      <c r="A240" s="37"/>
      <c r="B240" s="37"/>
      <c r="C240" s="37"/>
      <c r="D240" s="37"/>
      <c r="E240" s="37"/>
      <c r="F240" s="37"/>
      <c r="G240" s="37"/>
      <c r="H240" s="37"/>
    </row>
    <row r="252" spans="11:11" x14ac:dyDescent="0.3">
      <c r="K252"/>
    </row>
    <row r="280" spans="1:1" x14ac:dyDescent="0.3">
      <c r="A280" s="39" t="s">
        <v>160</v>
      </c>
    </row>
    <row r="322" spans="1:1" x14ac:dyDescent="0.3">
      <c r="A322" s="39" t="s">
        <v>63</v>
      </c>
    </row>
  </sheetData>
  <mergeCells count="438">
    <mergeCell ref="A55:B57"/>
    <mergeCell ref="C55:E56"/>
    <mergeCell ref="G55:H55"/>
    <mergeCell ref="B225:H225"/>
    <mergeCell ref="A58:B58"/>
    <mergeCell ref="C58:E58"/>
    <mergeCell ref="E135:F135"/>
    <mergeCell ref="G135:H135"/>
    <mergeCell ref="B221:H221"/>
    <mergeCell ref="A177:H177"/>
    <mergeCell ref="A163:H163"/>
    <mergeCell ref="A175:H175"/>
    <mergeCell ref="A173:B173"/>
    <mergeCell ref="A193:H193"/>
    <mergeCell ref="A194:B194"/>
    <mergeCell ref="A197:B197"/>
    <mergeCell ref="I224:O224"/>
    <mergeCell ref="L144:M144"/>
    <mergeCell ref="A153:B153"/>
    <mergeCell ref="L145:M145"/>
    <mergeCell ref="A154:B154"/>
    <mergeCell ref="L146:M146"/>
    <mergeCell ref="A75:B75"/>
    <mergeCell ref="A49:B49"/>
    <mergeCell ref="C49:H49"/>
    <mergeCell ref="A112:B112"/>
    <mergeCell ref="A117:E117"/>
    <mergeCell ref="A114:E114"/>
    <mergeCell ref="F118:H118"/>
    <mergeCell ref="G103:H103"/>
    <mergeCell ref="A102:B102"/>
    <mergeCell ref="G139:G140"/>
    <mergeCell ref="F114:H114"/>
    <mergeCell ref="F119:H119"/>
    <mergeCell ref="A152:B152"/>
    <mergeCell ref="A142:B142"/>
    <mergeCell ref="A119:E119"/>
    <mergeCell ref="A99:B99"/>
    <mergeCell ref="A104:B104"/>
    <mergeCell ref="A40:B40"/>
    <mergeCell ref="C40:H40"/>
    <mergeCell ref="F139:F140"/>
    <mergeCell ref="C129:D129"/>
    <mergeCell ref="E129:F129"/>
    <mergeCell ref="B139:B140"/>
    <mergeCell ref="A139:A140"/>
    <mergeCell ref="C147:C148"/>
    <mergeCell ref="G147:G148"/>
    <mergeCell ref="A136:B136"/>
    <mergeCell ref="E136:F136"/>
    <mergeCell ref="C102:H102"/>
    <mergeCell ref="A103:B103"/>
    <mergeCell ref="A124:E124"/>
    <mergeCell ref="G136:H136"/>
    <mergeCell ref="C130:D130"/>
    <mergeCell ref="E130:F130"/>
    <mergeCell ref="G130:H130"/>
    <mergeCell ref="A131:B131"/>
    <mergeCell ref="C131:D131"/>
    <mergeCell ref="E131:F131"/>
    <mergeCell ref="G131:H131"/>
    <mergeCell ref="A135:B135"/>
    <mergeCell ref="C135:D135"/>
    <mergeCell ref="A39:B39"/>
    <mergeCell ref="C39:H39"/>
    <mergeCell ref="A46:D46"/>
    <mergeCell ref="L137:M137"/>
    <mergeCell ref="L136:M136"/>
    <mergeCell ref="L135:M135"/>
    <mergeCell ref="A83:B83"/>
    <mergeCell ref="C134:D134"/>
    <mergeCell ref="E134:F134"/>
    <mergeCell ref="G134:H134"/>
    <mergeCell ref="A115:E115"/>
    <mergeCell ref="A100:B100"/>
    <mergeCell ref="C100:H100"/>
    <mergeCell ref="A141:H141"/>
    <mergeCell ref="E139:E140"/>
    <mergeCell ref="A90:B90"/>
    <mergeCell ref="A47:D47"/>
    <mergeCell ref="A48:H48"/>
    <mergeCell ref="D62:H62"/>
    <mergeCell ref="A62:C62"/>
    <mergeCell ref="A82:B82"/>
    <mergeCell ref="C88:H88"/>
    <mergeCell ref="A45:D45"/>
    <mergeCell ref="A38:H38"/>
    <mergeCell ref="A37:B37"/>
    <mergeCell ref="C37:E37"/>
    <mergeCell ref="G104:H113"/>
    <mergeCell ref="A42:D42"/>
    <mergeCell ref="E42:H42"/>
    <mergeCell ref="A41:H41"/>
    <mergeCell ref="A65:C65"/>
    <mergeCell ref="A66:C66"/>
    <mergeCell ref="D65:H65"/>
    <mergeCell ref="E76:F85"/>
    <mergeCell ref="G76:H85"/>
    <mergeCell ref="A84:B84"/>
    <mergeCell ref="A85:B85"/>
    <mergeCell ref="D66:H66"/>
    <mergeCell ref="A44:D44"/>
    <mergeCell ref="E44:H44"/>
    <mergeCell ref="E45:H45"/>
    <mergeCell ref="E46:H46"/>
    <mergeCell ref="A89:B89"/>
    <mergeCell ref="E47:H47"/>
    <mergeCell ref="C57:H57"/>
    <mergeCell ref="A88:B88"/>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4:B74"/>
    <mergeCell ref="A72:B72"/>
    <mergeCell ref="C72:H72"/>
    <mergeCell ref="A80:B80"/>
    <mergeCell ref="A67:C67"/>
    <mergeCell ref="D67:H67"/>
    <mergeCell ref="C74:H74"/>
    <mergeCell ref="A77:B77"/>
    <mergeCell ref="A79:B79"/>
    <mergeCell ref="E75:F75"/>
    <mergeCell ref="A68:C68"/>
    <mergeCell ref="D68:H68"/>
    <mergeCell ref="A71:C71"/>
    <mergeCell ref="D71:H71"/>
    <mergeCell ref="A69:C69"/>
    <mergeCell ref="D70:H70"/>
    <mergeCell ref="A76:B76"/>
    <mergeCell ref="G75:H75"/>
    <mergeCell ref="A78:B78"/>
    <mergeCell ref="A234:H237"/>
    <mergeCell ref="A233:B233"/>
    <mergeCell ref="E233:F233"/>
    <mergeCell ref="C233:D233"/>
    <mergeCell ref="G233:H233"/>
    <mergeCell ref="A127:H127"/>
    <mergeCell ref="A125:E125"/>
    <mergeCell ref="F125:H125"/>
    <mergeCell ref="A126:E126"/>
    <mergeCell ref="F126:H126"/>
    <mergeCell ref="A134:B134"/>
    <mergeCell ref="A129:B129"/>
    <mergeCell ref="A229:H229"/>
    <mergeCell ref="A132:H132"/>
    <mergeCell ref="A232:H232"/>
    <mergeCell ref="A230:H230"/>
    <mergeCell ref="A226:H226"/>
    <mergeCell ref="G133:H133"/>
    <mergeCell ref="C139:C140"/>
    <mergeCell ref="B147:B148"/>
    <mergeCell ref="A227:H227"/>
    <mergeCell ref="E89:F89"/>
    <mergeCell ref="G89:H89"/>
    <mergeCell ref="A120:E120"/>
    <mergeCell ref="F120:H120"/>
    <mergeCell ref="A122:E122"/>
    <mergeCell ref="F117:H117"/>
    <mergeCell ref="A121:E121"/>
    <mergeCell ref="A107:B107"/>
    <mergeCell ref="A108:B108"/>
    <mergeCell ref="E90:F99"/>
    <mergeCell ref="A97:B97"/>
    <mergeCell ref="A98:B98"/>
    <mergeCell ref="E103:F103"/>
    <mergeCell ref="E104:F113"/>
    <mergeCell ref="A105:B105"/>
    <mergeCell ref="A106:B106"/>
    <mergeCell ref="G90:H99"/>
    <mergeCell ref="A91:B91"/>
    <mergeCell ref="A92:B92"/>
    <mergeCell ref="A93:B93"/>
    <mergeCell ref="F116:H116"/>
    <mergeCell ref="A116:E116"/>
    <mergeCell ref="A118:E118"/>
    <mergeCell ref="A109:B109"/>
    <mergeCell ref="A61:C61"/>
    <mergeCell ref="B223:H223"/>
    <mergeCell ref="B222:H222"/>
    <mergeCell ref="B220:H220"/>
    <mergeCell ref="B216:H216"/>
    <mergeCell ref="B214:H214"/>
    <mergeCell ref="B215:H215"/>
    <mergeCell ref="B217:H217"/>
    <mergeCell ref="B218:H218"/>
    <mergeCell ref="A145:B145"/>
    <mergeCell ref="A144:B144"/>
    <mergeCell ref="B219:H219"/>
    <mergeCell ref="D139:D140"/>
    <mergeCell ref="A188:H188"/>
    <mergeCell ref="A213:H213"/>
    <mergeCell ref="C86:H86"/>
    <mergeCell ref="A63:C64"/>
    <mergeCell ref="D63:H63"/>
    <mergeCell ref="D64:H64"/>
    <mergeCell ref="A189:B189"/>
    <mergeCell ref="A198:H198"/>
    <mergeCell ref="A199:B199"/>
    <mergeCell ref="A170:B170"/>
    <mergeCell ref="A196:B196"/>
    <mergeCell ref="A206:B206"/>
    <mergeCell ref="A211:B211"/>
    <mergeCell ref="A146:H146"/>
    <mergeCell ref="E133:F133"/>
    <mergeCell ref="A137:H137"/>
    <mergeCell ref="A147:A148"/>
    <mergeCell ref="F147:F148"/>
    <mergeCell ref="A81:B81"/>
    <mergeCell ref="A231:H231"/>
    <mergeCell ref="A228:H228"/>
    <mergeCell ref="A133:B133"/>
    <mergeCell ref="D147:D148"/>
    <mergeCell ref="E147:E148"/>
    <mergeCell ref="A94:B94"/>
    <mergeCell ref="A95:B95"/>
    <mergeCell ref="A96:B96"/>
    <mergeCell ref="A110:B110"/>
    <mergeCell ref="F115:H115"/>
    <mergeCell ref="G129:H129"/>
    <mergeCell ref="A113:B113"/>
    <mergeCell ref="F121:H121"/>
    <mergeCell ref="C128:D128"/>
    <mergeCell ref="C136:D136"/>
    <mergeCell ref="A151:H151"/>
    <mergeCell ref="A150:H150"/>
    <mergeCell ref="A178:H178"/>
    <mergeCell ref="A179:B179"/>
    <mergeCell ref="A149:H149"/>
    <mergeCell ref="A111:B111"/>
    <mergeCell ref="A50:B50"/>
    <mergeCell ref="C50:E50"/>
    <mergeCell ref="G53:H53"/>
    <mergeCell ref="G50:H50"/>
    <mergeCell ref="G52:H52"/>
    <mergeCell ref="A51:B51"/>
    <mergeCell ref="A59:H59"/>
    <mergeCell ref="A60:C60"/>
    <mergeCell ref="G51:H51"/>
    <mergeCell ref="C51:E51"/>
    <mergeCell ref="G56:H56"/>
    <mergeCell ref="G58:H58"/>
    <mergeCell ref="A52:B54"/>
    <mergeCell ref="C54:H54"/>
    <mergeCell ref="C52:E53"/>
    <mergeCell ref="I15:P15"/>
    <mergeCell ref="F124:H124"/>
    <mergeCell ref="F122:H122"/>
    <mergeCell ref="A138:H138"/>
    <mergeCell ref="G128:H128"/>
    <mergeCell ref="A123:E123"/>
    <mergeCell ref="A143:B143"/>
    <mergeCell ref="D60:H60"/>
    <mergeCell ref="F123:H123"/>
    <mergeCell ref="E128:F128"/>
    <mergeCell ref="A128:B128"/>
    <mergeCell ref="A130:B130"/>
    <mergeCell ref="C133:D133"/>
    <mergeCell ref="D69:H69"/>
    <mergeCell ref="A70:C70"/>
    <mergeCell ref="E43:H43"/>
    <mergeCell ref="A43:D43"/>
    <mergeCell ref="A86:B86"/>
    <mergeCell ref="L178:M178"/>
    <mergeCell ref="A187:B187"/>
    <mergeCell ref="D61:H61"/>
    <mergeCell ref="L171:M171"/>
    <mergeCell ref="A180:B180"/>
    <mergeCell ref="L172:M172"/>
    <mergeCell ref="A181:B181"/>
    <mergeCell ref="L173:M173"/>
    <mergeCell ref="A155:H155"/>
    <mergeCell ref="A156:B156"/>
    <mergeCell ref="L148:M148"/>
    <mergeCell ref="A157:B157"/>
    <mergeCell ref="L149:M149"/>
    <mergeCell ref="A158:B158"/>
    <mergeCell ref="L150:M150"/>
    <mergeCell ref="A159:H159"/>
    <mergeCell ref="A160:B160"/>
    <mergeCell ref="L152:M152"/>
    <mergeCell ref="A161:B161"/>
    <mergeCell ref="L153:M153"/>
    <mergeCell ref="A162:B162"/>
    <mergeCell ref="L154:M154"/>
    <mergeCell ref="C179:H179"/>
    <mergeCell ref="A176:H176"/>
    <mergeCell ref="C164:H164"/>
    <mergeCell ref="C172:H172"/>
    <mergeCell ref="L161:M161"/>
    <mergeCell ref="L165:M165"/>
    <mergeCell ref="A174:B174"/>
    <mergeCell ref="L166:M166"/>
    <mergeCell ref="A164:B164"/>
    <mergeCell ref="L156:M156"/>
    <mergeCell ref="A165:B165"/>
    <mergeCell ref="L157:M157"/>
    <mergeCell ref="A166:B166"/>
    <mergeCell ref="L158:M158"/>
    <mergeCell ref="A167:H167"/>
    <mergeCell ref="A168:B168"/>
    <mergeCell ref="L160:M160"/>
    <mergeCell ref="A169:B169"/>
    <mergeCell ref="L162:M162"/>
    <mergeCell ref="A171:H171"/>
    <mergeCell ref="A172:B172"/>
    <mergeCell ref="L164:M164"/>
    <mergeCell ref="L174:M174"/>
    <mergeCell ref="A182:B182"/>
    <mergeCell ref="A183:H183"/>
    <mergeCell ref="A184:B184"/>
    <mergeCell ref="L176:M176"/>
    <mergeCell ref="A185:B185"/>
    <mergeCell ref="L177:M177"/>
    <mergeCell ref="A186:B186"/>
    <mergeCell ref="L188:M188"/>
    <mergeCell ref="L186:M186"/>
    <mergeCell ref="A195:B195"/>
    <mergeCell ref="L187:M187"/>
    <mergeCell ref="L181:M181"/>
    <mergeCell ref="A190:B190"/>
    <mergeCell ref="L182:M182"/>
    <mergeCell ref="A191:B191"/>
    <mergeCell ref="L183:M183"/>
    <mergeCell ref="A192:B192"/>
    <mergeCell ref="L184:M184"/>
    <mergeCell ref="L179:M179"/>
    <mergeCell ref="L189:M189"/>
    <mergeCell ref="C197:H197"/>
    <mergeCell ref="A203:H203"/>
    <mergeCell ref="A204:B204"/>
    <mergeCell ref="L196:M196"/>
    <mergeCell ref="A205:B205"/>
    <mergeCell ref="L197:M197"/>
    <mergeCell ref="L191:M191"/>
    <mergeCell ref="A200:B200"/>
    <mergeCell ref="L192:M192"/>
    <mergeCell ref="A201:B201"/>
    <mergeCell ref="L193:M193"/>
    <mergeCell ref="A202:B202"/>
    <mergeCell ref="L194:M194"/>
    <mergeCell ref="L198:M198"/>
    <mergeCell ref="A207:B207"/>
    <mergeCell ref="L199:M199"/>
    <mergeCell ref="C207:H207"/>
    <mergeCell ref="A208:H208"/>
    <mergeCell ref="A209:B209"/>
    <mergeCell ref="L201:M201"/>
    <mergeCell ref="A210:B210"/>
    <mergeCell ref="L202:M202"/>
    <mergeCell ref="B224:H224"/>
    <mergeCell ref="L208:M208"/>
    <mergeCell ref="L209:M209"/>
    <mergeCell ref="L203:M203"/>
    <mergeCell ref="A212:B212"/>
    <mergeCell ref="L204:M204"/>
    <mergeCell ref="C211:H211"/>
    <mergeCell ref="C212:H212"/>
    <mergeCell ref="L206:M206"/>
    <mergeCell ref="L207:M207"/>
    <mergeCell ref="L210:M210"/>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39:E140" xr:uid="{00000000-0002-0000-0000-000003000000}">
      <formula1>"Attached Loft area,Attached Otla area,Attached Mezzanine area"</formula1>
    </dataValidation>
    <dataValidation type="list" allowBlank="1" showInputMessage="1" showErrorMessage="1" sqref="G233:H233" xr:uid="{00000000-0002-0000-0000-000004000000}">
      <formula1>"Kunal Kadam,Pranita Mhatre,Shruti Fule,Pooja Kawale,Gaurav Panchal,Shruti Tathare, Hitakshi Mhatre, Sachin Sawant"</formula1>
    </dataValidation>
    <dataValidation type="list" allowBlank="1" showInputMessage="1" showErrorMessage="1" sqref="F114:H114" xr:uid="{00000000-0002-0000-0000-000005000000}">
      <formula1>"On Saleable Area,On Builtup Area,On Carpet Area,On Plot Area"</formula1>
    </dataValidation>
    <dataValidation type="list" allowBlank="1" showInputMessage="1" showErrorMessage="1" sqref="B139:B140" xr:uid="{00000000-0002-0000-0000-000007000000}">
      <formula1>"Shop No. (Sale Plan),Sale / Rehab,Sale / Mhada"</formula1>
    </dataValidation>
    <dataValidation type="list" allowBlank="1" showInputMessage="1" showErrorMessage="1" sqref="B147:B148"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47:E148" xr:uid="{00000000-0002-0000-0000-00000B000000}">
      <formula1>"Fungible area,Balcony Area,Chajja Area,Cornice Area,AP Area,WS Area"</formula1>
    </dataValidation>
    <dataValidation type="list" allowBlank="1" showInputMessage="1" showErrorMessage="1" sqref="H140 H148"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1 C95" xr:uid="{00000000-0002-0000-0000-00000F000000}">
      <formula1>0</formula1>
      <formula2>H73</formula2>
    </dataValidation>
    <dataValidation type="list" allowBlank="1" showInputMessage="1" showErrorMessage="1" sqref="H139 H147" xr:uid="{00000000-0002-0000-0000-000010000000}">
      <formula1>"Saleable area Loading :,Builder Saleable Area"</formula1>
    </dataValidation>
    <dataValidation type="list" allowBlank="1" showInputMessage="1" showErrorMessage="1" sqref="D139:D140 D147:D148" xr:uid="{00000000-0002-0000-0000-000011000000}">
      <formula1>"Carpet area,RERA Carpet area"</formula1>
    </dataValidation>
    <dataValidation type="list" allowBlank="1" showInputMessage="1" showErrorMessage="1" sqref="F125:H125" xr:uid="{00000000-0002-0000-0000-000006000000}">
      <formula1>OFFSET($S$106,1,MATCH($G20,$S$106:$W$106,0)-1,15,1)</formula1>
    </dataValidation>
  </dataValidations>
  <hyperlinks>
    <hyperlink ref="C40" r:id="rId1" xr:uid="{00000000-0004-0000-0000-000000000000}"/>
    <hyperlink ref="K61" r:id="rId2"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5" manualBreakCount="5">
    <brk id="126" max="7" man="1"/>
    <brk id="212" max="7" man="1"/>
    <brk id="237" max="7" man="1"/>
    <brk id="279" max="7" man="1"/>
    <brk id="321"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20" t="s">
        <v>103</v>
      </c>
      <c r="C3" s="220"/>
      <c r="D3" s="220"/>
      <c r="E3" s="220"/>
      <c r="F3" s="220"/>
      <c r="G3" s="220"/>
      <c r="H3" s="220"/>
    </row>
    <row r="4" spans="1:9" x14ac:dyDescent="0.3">
      <c r="A4" s="2"/>
      <c r="B4" s="3" t="s">
        <v>104</v>
      </c>
      <c r="C4" s="3" t="s">
        <v>105</v>
      </c>
      <c r="D4" s="3" t="s">
        <v>65</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9"/>
      <c r="C4" s="49" t="s">
        <v>11</v>
      </c>
      <c r="D4" s="50" t="s">
        <v>175</v>
      </c>
      <c r="E4" s="50" t="s">
        <v>185</v>
      </c>
      <c r="F4" s="50" t="s">
        <v>168</v>
      </c>
      <c r="G4" s="50" t="s">
        <v>190</v>
      </c>
      <c r="H4" s="50" t="s">
        <v>208</v>
      </c>
      <c r="J4" t="s">
        <v>190</v>
      </c>
      <c r="K4" t="s">
        <v>206</v>
      </c>
    </row>
    <row r="5" spans="2:11" x14ac:dyDescent="0.3">
      <c r="B5" s="49"/>
      <c r="C5" s="49"/>
      <c r="D5" s="50" t="s">
        <v>176</v>
      </c>
      <c r="E5" s="50" t="s">
        <v>183</v>
      </c>
      <c r="F5" s="50" t="s">
        <v>205</v>
      </c>
      <c r="G5" s="50" t="s">
        <v>191</v>
      </c>
      <c r="H5" s="50" t="s">
        <v>209</v>
      </c>
    </row>
    <row r="6" spans="2:11" x14ac:dyDescent="0.3">
      <c r="B6" s="49"/>
      <c r="C6" s="49"/>
      <c r="D6" s="50" t="s">
        <v>177</v>
      </c>
      <c r="E6" s="50" t="s">
        <v>184</v>
      </c>
      <c r="F6" s="50" t="s">
        <v>206</v>
      </c>
      <c r="G6" s="50" t="s">
        <v>192</v>
      </c>
      <c r="H6" s="50" t="s">
        <v>222</v>
      </c>
    </row>
    <row r="7" spans="2:11" x14ac:dyDescent="0.3">
      <c r="B7" s="49"/>
      <c r="C7" s="49"/>
      <c r="D7" s="50" t="s">
        <v>178</v>
      </c>
      <c r="E7" s="50" t="s">
        <v>186</v>
      </c>
      <c r="F7" s="50" t="s">
        <v>207</v>
      </c>
      <c r="G7" s="50" t="s">
        <v>193</v>
      </c>
      <c r="H7" s="50" t="s">
        <v>210</v>
      </c>
    </row>
    <row r="8" spans="2:11" x14ac:dyDescent="0.3">
      <c r="B8" s="49"/>
      <c r="C8" s="49"/>
      <c r="D8" s="50" t="s">
        <v>179</v>
      </c>
      <c r="E8" s="50" t="s">
        <v>187</v>
      </c>
      <c r="F8" s="50"/>
      <c r="G8" s="50" t="s">
        <v>194</v>
      </c>
      <c r="H8" s="50" t="s">
        <v>211</v>
      </c>
    </row>
    <row r="9" spans="2:11" x14ac:dyDescent="0.3">
      <c r="B9" s="49"/>
      <c r="C9" s="49"/>
      <c r="D9" s="50" t="s">
        <v>180</v>
      </c>
      <c r="E9" s="50" t="s">
        <v>185</v>
      </c>
      <c r="F9" s="50"/>
      <c r="G9" s="50" t="s">
        <v>195</v>
      </c>
      <c r="H9" s="50" t="s">
        <v>212</v>
      </c>
    </row>
    <row r="10" spans="2:11" x14ac:dyDescent="0.3">
      <c r="B10" s="49"/>
      <c r="C10" s="49"/>
      <c r="D10" s="50" t="s">
        <v>181</v>
      </c>
      <c r="E10" s="50" t="s">
        <v>188</v>
      </c>
      <c r="F10" s="50"/>
      <c r="G10" s="50" t="s">
        <v>196</v>
      </c>
      <c r="H10" s="50" t="s">
        <v>213</v>
      </c>
    </row>
    <row r="11" spans="2:11" x14ac:dyDescent="0.3">
      <c r="B11" s="49"/>
      <c r="C11" s="49"/>
      <c r="D11" s="50" t="s">
        <v>182</v>
      </c>
      <c r="E11" s="50" t="s">
        <v>189</v>
      </c>
      <c r="F11" s="50"/>
      <c r="G11" s="50" t="s">
        <v>197</v>
      </c>
      <c r="H11" s="50" t="s">
        <v>214</v>
      </c>
    </row>
    <row r="12" spans="2:11" x14ac:dyDescent="0.3">
      <c r="B12" s="49"/>
      <c r="C12" s="49"/>
      <c r="D12" s="50"/>
      <c r="E12" s="50"/>
      <c r="F12" s="50"/>
      <c r="G12" s="50" t="s">
        <v>198</v>
      </c>
      <c r="H12" s="50" t="s">
        <v>215</v>
      </c>
    </row>
    <row r="13" spans="2:11" x14ac:dyDescent="0.3">
      <c r="B13" s="49"/>
      <c r="C13" s="49"/>
      <c r="D13" s="50"/>
      <c r="E13" s="50"/>
      <c r="F13" s="50"/>
      <c r="G13" s="50" t="s">
        <v>199</v>
      </c>
      <c r="H13" s="50" t="s">
        <v>216</v>
      </c>
    </row>
    <row r="14" spans="2:11" x14ac:dyDescent="0.3">
      <c r="B14" s="49"/>
      <c r="C14" s="49"/>
      <c r="D14" s="50"/>
      <c r="E14" s="50"/>
      <c r="F14" s="50"/>
      <c r="G14" s="50" t="s">
        <v>200</v>
      </c>
      <c r="H14" s="50" t="s">
        <v>217</v>
      </c>
    </row>
    <row r="15" spans="2:11" x14ac:dyDescent="0.3">
      <c r="B15" s="49"/>
      <c r="C15" s="49"/>
      <c r="D15" s="50"/>
      <c r="E15" s="50"/>
      <c r="F15" s="50"/>
      <c r="G15" s="50" t="s">
        <v>201</v>
      </c>
      <c r="H15" s="50" t="s">
        <v>218</v>
      </c>
    </row>
    <row r="16" spans="2:11" x14ac:dyDescent="0.3">
      <c r="B16" s="49"/>
      <c r="C16" s="49"/>
      <c r="D16" s="50"/>
      <c r="E16" s="50"/>
      <c r="F16" s="50"/>
      <c r="G16" s="50" t="s">
        <v>202</v>
      </c>
      <c r="H16" s="50" t="s">
        <v>219</v>
      </c>
    </row>
    <row r="17" spans="2:8" x14ac:dyDescent="0.3">
      <c r="B17" s="49"/>
      <c r="C17" s="49"/>
      <c r="D17" s="50"/>
      <c r="E17" s="50"/>
      <c r="F17" s="50"/>
      <c r="G17" s="50" t="s">
        <v>203</v>
      </c>
      <c r="H17" s="50" t="s">
        <v>220</v>
      </c>
    </row>
    <row r="18" spans="2:8" x14ac:dyDescent="0.3">
      <c r="B18" s="49"/>
      <c r="C18" s="49"/>
      <c r="D18" s="50"/>
      <c r="E18" s="50"/>
      <c r="F18" s="50"/>
      <c r="G18" s="50" t="s">
        <v>204</v>
      </c>
      <c r="H18" s="50" t="s">
        <v>221</v>
      </c>
    </row>
    <row r="24" spans="2:8" x14ac:dyDescent="0.3">
      <c r="C24" t="s">
        <v>165</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165</v>
      </c>
    </row>
    <row r="33" spans="3:11" x14ac:dyDescent="0.3">
      <c r="J33">
        <v>1</v>
      </c>
      <c r="K33">
        <v>2</v>
      </c>
    </row>
    <row r="34" spans="3:11" x14ac:dyDescent="0.3">
      <c r="C34" s="51" t="s">
        <v>234</v>
      </c>
      <c r="D34" s="50" t="s">
        <v>232</v>
      </c>
      <c r="E34" s="50" t="s">
        <v>237</v>
      </c>
      <c r="F34" s="50" t="s">
        <v>235</v>
      </c>
      <c r="G34" s="50" t="s">
        <v>236</v>
      </c>
      <c r="H34" s="50" t="s">
        <v>238</v>
      </c>
      <c r="J34" t="s">
        <v>190</v>
      </c>
      <c r="K34" t="s">
        <v>206</v>
      </c>
    </row>
    <row r="35" spans="3:11" x14ac:dyDescent="0.3">
      <c r="C35" s="49" t="s">
        <v>233</v>
      </c>
      <c r="D35" s="50" t="s">
        <v>166</v>
      </c>
      <c r="E35" s="50" t="s">
        <v>242</v>
      </c>
      <c r="F35" s="50" t="s">
        <v>244</v>
      </c>
      <c r="G35" s="50" t="s">
        <v>246</v>
      </c>
      <c r="H35" s="50"/>
    </row>
    <row r="36" spans="3:11" x14ac:dyDescent="0.3">
      <c r="C36" s="49"/>
      <c r="D36" s="50" t="s">
        <v>239</v>
      </c>
      <c r="E36" s="50" t="s">
        <v>243</v>
      </c>
      <c r="F36" s="50" t="s">
        <v>245</v>
      </c>
      <c r="G36" s="50" t="s">
        <v>247</v>
      </c>
      <c r="H36" s="50"/>
    </row>
    <row r="37" spans="3:11" x14ac:dyDescent="0.3">
      <c r="C37" s="49"/>
      <c r="D37" s="50" t="s">
        <v>240</v>
      </c>
      <c r="E37" s="50"/>
      <c r="F37" s="50"/>
      <c r="G37" s="50" t="s">
        <v>248</v>
      </c>
      <c r="H37" s="50"/>
    </row>
    <row r="38" spans="3:11" x14ac:dyDescent="0.3">
      <c r="C38" s="49"/>
      <c r="D38" s="50" t="s">
        <v>241</v>
      </c>
      <c r="E38" s="50"/>
      <c r="F38" s="50"/>
      <c r="G38" s="50" t="s">
        <v>248</v>
      </c>
      <c r="H38" s="50"/>
    </row>
    <row r="39" spans="3:11" x14ac:dyDescent="0.3">
      <c r="C39" s="49"/>
      <c r="D39" s="50"/>
      <c r="E39" s="50"/>
      <c r="F39" s="50"/>
      <c r="G39" s="50" t="s">
        <v>249</v>
      </c>
      <c r="H39" s="50"/>
    </row>
    <row r="40" spans="3:11" x14ac:dyDescent="0.3">
      <c r="C40" s="49"/>
      <c r="D40" s="50"/>
      <c r="E40" s="50"/>
      <c r="F40" s="50"/>
      <c r="G40" s="50" t="s">
        <v>250</v>
      </c>
      <c r="H40" s="50"/>
    </row>
    <row r="41" spans="3:11" x14ac:dyDescent="0.3">
      <c r="C41" s="49"/>
      <c r="D41" s="50"/>
      <c r="E41" s="50"/>
      <c r="F41" s="50"/>
      <c r="G41" s="50"/>
      <c r="H41" s="50"/>
    </row>
    <row r="43" spans="3:11" x14ac:dyDescent="0.3">
      <c r="C43" t="s">
        <v>251</v>
      </c>
    </row>
    <row r="44" spans="3:11" x14ac:dyDescent="0.3">
      <c r="C44" t="s">
        <v>168</v>
      </c>
      <c r="D44" t="s">
        <v>252</v>
      </c>
    </row>
    <row r="45" spans="3:11" x14ac:dyDescent="0.3">
      <c r="D45" t="s">
        <v>253</v>
      </c>
    </row>
    <row r="46" spans="3:11" x14ac:dyDescent="0.3">
      <c r="D46" t="s">
        <v>254</v>
      </c>
    </row>
    <row r="47" spans="3:11" x14ac:dyDescent="0.3">
      <c r="D47" t="s">
        <v>255</v>
      </c>
    </row>
    <row r="48" spans="3:11" x14ac:dyDescent="0.3">
      <c r="D48" t="s">
        <v>256</v>
      </c>
    </row>
    <row r="49" spans="3:4" x14ac:dyDescent="0.3">
      <c r="C49" t="s">
        <v>175</v>
      </c>
      <c r="D49" t="s">
        <v>257</v>
      </c>
    </row>
    <row r="50" spans="3:4" x14ac:dyDescent="0.3">
      <c r="D50" t="s">
        <v>258</v>
      </c>
    </row>
    <row r="51" spans="3:4" x14ac:dyDescent="0.3">
      <c r="D51" t="s">
        <v>259</v>
      </c>
    </row>
    <row r="52" spans="3:4" x14ac:dyDescent="0.3">
      <c r="D52" t="s">
        <v>262</v>
      </c>
    </row>
    <row r="53" spans="3:4" x14ac:dyDescent="0.3">
      <c r="D53" t="s">
        <v>260</v>
      </c>
    </row>
    <row r="54" spans="3:4" x14ac:dyDescent="0.3">
      <c r="D54" t="s">
        <v>261</v>
      </c>
    </row>
    <row r="55" spans="3:4" x14ac:dyDescent="0.3">
      <c r="D55" t="s">
        <v>263</v>
      </c>
    </row>
    <row r="56" spans="3:4" x14ac:dyDescent="0.3">
      <c r="D56" t="s">
        <v>264</v>
      </c>
    </row>
    <row r="57" spans="3:4" x14ac:dyDescent="0.3">
      <c r="D57" t="s">
        <v>265</v>
      </c>
    </row>
    <row r="58" spans="3:4" x14ac:dyDescent="0.3">
      <c r="D58" t="s">
        <v>267</v>
      </c>
    </row>
    <row r="59" spans="3:4" x14ac:dyDescent="0.3">
      <c r="D59" t="s">
        <v>276</v>
      </c>
    </row>
    <row r="60" spans="3:4" x14ac:dyDescent="0.3">
      <c r="C60" t="s">
        <v>190</v>
      </c>
      <c r="D60" t="s">
        <v>268</v>
      </c>
    </row>
    <row r="61" spans="3:4" x14ac:dyDescent="0.3">
      <c r="D61" t="s">
        <v>266</v>
      </c>
    </row>
    <row r="62" spans="3:4" x14ac:dyDescent="0.3">
      <c r="D62" t="s">
        <v>256</v>
      </c>
    </row>
    <row r="63" spans="3:4" x14ac:dyDescent="0.3">
      <c r="D63" t="s">
        <v>269</v>
      </c>
    </row>
    <row r="64" spans="3:4" x14ac:dyDescent="0.3">
      <c r="D64" t="s">
        <v>270</v>
      </c>
    </row>
    <row r="65" spans="3:4" x14ac:dyDescent="0.3">
      <c r="D65" t="s">
        <v>271</v>
      </c>
    </row>
    <row r="66" spans="3:4" x14ac:dyDescent="0.3">
      <c r="D66" t="s">
        <v>272</v>
      </c>
    </row>
    <row r="67" spans="3:4" x14ac:dyDescent="0.3">
      <c r="C67" t="s">
        <v>185</v>
      </c>
      <c r="D67" t="s">
        <v>273</v>
      </c>
    </row>
    <row r="68" spans="3:4" x14ac:dyDescent="0.3">
      <c r="D68" t="s">
        <v>274</v>
      </c>
    </row>
    <row r="69" spans="3:4" x14ac:dyDescent="0.3">
      <c r="D69" t="s">
        <v>275</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topLeftCell="A16" workbookViewId="0">
      <selection activeCell="C30" sqref="C30"/>
    </sheetView>
  </sheetViews>
  <sheetFormatPr defaultRowHeight="14.4" x14ac:dyDescent="0.3"/>
  <cols>
    <col min="2" max="2" width="3" bestFit="1" customWidth="1"/>
    <col min="3" max="3" width="155.33203125" customWidth="1"/>
  </cols>
  <sheetData>
    <row r="2" spans="2:3" ht="15" customHeight="1" x14ac:dyDescent="0.3">
      <c r="B2" s="52">
        <v>1</v>
      </c>
      <c r="C2" s="54" t="s">
        <v>279</v>
      </c>
    </row>
    <row r="3" spans="2:3" x14ac:dyDescent="0.3">
      <c r="B3" s="52">
        <v>2</v>
      </c>
      <c r="C3" s="53" t="s">
        <v>280</v>
      </c>
    </row>
    <row r="4" spans="2:3" x14ac:dyDescent="0.3">
      <c r="B4" s="52">
        <v>3</v>
      </c>
      <c r="C4" s="52" t="s">
        <v>281</v>
      </c>
    </row>
    <row r="5" spans="2:3" x14ac:dyDescent="0.3">
      <c r="B5" s="52">
        <v>4</v>
      </c>
      <c r="C5" s="53" t="s">
        <v>282</v>
      </c>
    </row>
    <row r="6" spans="2:3" x14ac:dyDescent="0.3">
      <c r="B6" s="52">
        <v>5</v>
      </c>
      <c r="C6" s="52" t="s">
        <v>283</v>
      </c>
    </row>
    <row r="7" spans="2:3" x14ac:dyDescent="0.3">
      <c r="B7" s="52">
        <v>6</v>
      </c>
      <c r="C7" s="53" t="s">
        <v>284</v>
      </c>
    </row>
    <row r="8" spans="2:3" ht="72" x14ac:dyDescent="0.3">
      <c r="B8" s="52">
        <v>7</v>
      </c>
      <c r="C8" s="53" t="s">
        <v>285</v>
      </c>
    </row>
    <row r="9" spans="2:3" x14ac:dyDescent="0.3">
      <c r="B9" s="52">
        <v>8</v>
      </c>
      <c r="C9" s="52" t="s">
        <v>286</v>
      </c>
    </row>
    <row r="10" spans="2:3" x14ac:dyDescent="0.3">
      <c r="B10" s="52">
        <v>9</v>
      </c>
      <c r="C10" s="52" t="s">
        <v>287</v>
      </c>
    </row>
    <row r="11" spans="2:3" x14ac:dyDescent="0.3">
      <c r="B11" s="52">
        <v>10</v>
      </c>
      <c r="C11" s="52" t="s">
        <v>288</v>
      </c>
    </row>
    <row r="12" spans="2:3" x14ac:dyDescent="0.3">
      <c r="B12" s="52">
        <v>11</v>
      </c>
      <c r="C12" s="52" t="s">
        <v>289</v>
      </c>
    </row>
    <row r="13" spans="2:3" x14ac:dyDescent="0.3">
      <c r="B13" s="52">
        <v>12</v>
      </c>
      <c r="C13" s="52" t="s">
        <v>290</v>
      </c>
    </row>
    <row r="14" spans="2:3" x14ac:dyDescent="0.3">
      <c r="B14" s="52">
        <v>13</v>
      </c>
      <c r="C14" s="52" t="s">
        <v>291</v>
      </c>
    </row>
    <row r="15" spans="2:3" x14ac:dyDescent="0.3">
      <c r="B15" s="52">
        <v>14</v>
      </c>
      <c r="C15" s="52" t="s">
        <v>281</v>
      </c>
    </row>
    <row r="16" spans="2:3" x14ac:dyDescent="0.3">
      <c r="B16" s="52">
        <v>15</v>
      </c>
      <c r="C16" s="52" t="s">
        <v>292</v>
      </c>
    </row>
    <row r="17" spans="2:3" ht="31.5" customHeight="1" x14ac:dyDescent="0.3">
      <c r="B17" s="55">
        <v>16</v>
      </c>
      <c r="C17" s="57" t="s">
        <v>293</v>
      </c>
    </row>
    <row r="18" spans="2:3" x14ac:dyDescent="0.3">
      <c r="B18" s="56">
        <v>17</v>
      </c>
      <c r="C18" s="57" t="s">
        <v>294</v>
      </c>
    </row>
    <row r="19" spans="2:3" x14ac:dyDescent="0.3">
      <c r="B19" s="55">
        <v>18</v>
      </c>
      <c r="C19" s="52" t="s">
        <v>295</v>
      </c>
    </row>
    <row r="20" spans="2:3" x14ac:dyDescent="0.3">
      <c r="B20" s="56">
        <v>19</v>
      </c>
      <c r="C20" s="52" t="s">
        <v>296</v>
      </c>
    </row>
    <row r="21" spans="2:3" x14ac:dyDescent="0.3">
      <c r="B21" s="52">
        <v>20</v>
      </c>
      <c r="C21" s="52" t="s">
        <v>297</v>
      </c>
    </row>
    <row r="22" spans="2:3" x14ac:dyDescent="0.3">
      <c r="B22" s="56">
        <v>21</v>
      </c>
      <c r="C22" s="52" t="s">
        <v>295</v>
      </c>
    </row>
    <row r="23" spans="2:3" s="65" customFormat="1" ht="29.25" customHeight="1" x14ac:dyDescent="0.3">
      <c r="B23" s="64">
        <v>22</v>
      </c>
      <c r="C23" s="54" t="s">
        <v>324</v>
      </c>
    </row>
    <row r="24" spans="2:3" s="65" customFormat="1" ht="30.75" customHeight="1" x14ac:dyDescent="0.3">
      <c r="B24" s="66">
        <v>23</v>
      </c>
      <c r="C24" s="54" t="s">
        <v>325</v>
      </c>
    </row>
    <row r="25" spans="2:3" x14ac:dyDescent="0.3">
      <c r="B25" s="52">
        <v>24</v>
      </c>
      <c r="C25" s="52" t="s">
        <v>328</v>
      </c>
    </row>
    <row r="26" spans="2:3" x14ac:dyDescent="0.3">
      <c r="B26" s="56">
        <v>25</v>
      </c>
      <c r="C26" s="52" t="s">
        <v>326</v>
      </c>
    </row>
    <row r="27" spans="2:3" x14ac:dyDescent="0.3">
      <c r="B27" s="66">
        <v>26</v>
      </c>
      <c r="C27" s="52" t="s">
        <v>327</v>
      </c>
    </row>
    <row r="28" spans="2:3" x14ac:dyDescent="0.3">
      <c r="B28" s="56">
        <v>27</v>
      </c>
      <c r="C28" s="52"/>
    </row>
    <row r="29" spans="2:3" x14ac:dyDescent="0.3">
      <c r="B29" s="56">
        <v>28</v>
      </c>
      <c r="C29" s="52"/>
    </row>
    <row r="30" spans="2:3" x14ac:dyDescent="0.3">
      <c r="B30" s="66">
        <v>29</v>
      </c>
      <c r="C30" s="52"/>
    </row>
    <row r="31" spans="2:3" x14ac:dyDescent="0.3">
      <c r="B31" s="56">
        <v>30</v>
      </c>
      <c r="C31" s="52"/>
    </row>
    <row r="32" spans="2:3" x14ac:dyDescent="0.3">
      <c r="B32" s="56">
        <v>31</v>
      </c>
      <c r="C32" s="52"/>
    </row>
    <row r="33" spans="2:3" x14ac:dyDescent="0.3">
      <c r="B33" s="66">
        <v>32</v>
      </c>
      <c r="C33" s="52"/>
    </row>
    <row r="34" spans="2:3" x14ac:dyDescent="0.3">
      <c r="B34" s="56">
        <v>33</v>
      </c>
      <c r="C34" s="52"/>
    </row>
    <row r="35" spans="2:3" x14ac:dyDescent="0.3">
      <c r="B35" s="56">
        <v>34</v>
      </c>
      <c r="C35" s="52"/>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activeCell="G36" sqref="G36"/>
    </sheetView>
  </sheetViews>
  <sheetFormatPr defaultColWidth="9.109375" defaultRowHeight="14.4" x14ac:dyDescent="0.3"/>
  <cols>
    <col min="1" max="1" width="9.109375" style="49"/>
    <col min="2" max="2" width="12.33203125" style="49" customWidth="1"/>
    <col min="3" max="16384" width="9.109375" style="49"/>
  </cols>
  <sheetData>
    <row r="2" spans="1:12" x14ac:dyDescent="0.3">
      <c r="B2" s="58" t="s">
        <v>298</v>
      </c>
      <c r="C2" s="221"/>
      <c r="D2" s="221"/>
    </row>
    <row r="3" spans="1:12" x14ac:dyDescent="0.3">
      <c r="D3" s="59"/>
      <c r="E3" s="59"/>
      <c r="F3" s="59"/>
      <c r="G3" s="59"/>
      <c r="H3" s="59"/>
      <c r="I3" s="59"/>
    </row>
    <row r="4" spans="1:12" x14ac:dyDescent="0.3">
      <c r="A4" s="58" t="s">
        <v>65</v>
      </c>
      <c r="B4" s="60" t="s">
        <v>299</v>
      </c>
      <c r="C4" s="222" t="s">
        <v>300</v>
      </c>
      <c r="D4" s="222"/>
      <c r="E4" s="222"/>
      <c r="F4" s="60"/>
      <c r="G4" s="223" t="s">
        <v>301</v>
      </c>
      <c r="H4" s="223"/>
      <c r="I4" s="223"/>
      <c r="J4" s="224" t="s">
        <v>302</v>
      </c>
      <c r="K4" s="224"/>
      <c r="L4" s="224"/>
    </row>
    <row r="5" spans="1:12" x14ac:dyDescent="0.3">
      <c r="A5" s="58"/>
      <c r="B5" s="60"/>
      <c r="C5" s="60" t="s">
        <v>303</v>
      </c>
      <c r="D5" s="60" t="s">
        <v>304</v>
      </c>
      <c r="E5" s="60" t="s">
        <v>305</v>
      </c>
      <c r="F5" s="60"/>
      <c r="G5" s="60" t="s">
        <v>303</v>
      </c>
      <c r="H5" s="60" t="s">
        <v>304</v>
      </c>
      <c r="I5" s="60" t="s">
        <v>305</v>
      </c>
      <c r="J5" s="60" t="s">
        <v>303</v>
      </c>
      <c r="K5" s="60" t="s">
        <v>304</v>
      </c>
      <c r="L5" s="60" t="s">
        <v>305</v>
      </c>
    </row>
    <row r="6" spans="1:12" x14ac:dyDescent="0.3">
      <c r="B6" s="50" t="s">
        <v>306</v>
      </c>
      <c r="C6" s="50"/>
      <c r="D6" s="50"/>
      <c r="E6" s="50">
        <f>C6*D6</f>
        <v>0</v>
      </c>
      <c r="F6" s="50" t="s">
        <v>323</v>
      </c>
      <c r="G6" s="50"/>
      <c r="H6" s="50"/>
      <c r="I6" s="50">
        <f>G6*H6</f>
        <v>0</v>
      </c>
      <c r="J6" s="50"/>
      <c r="K6" s="50"/>
      <c r="L6" s="50">
        <f>J6*K6</f>
        <v>0</v>
      </c>
    </row>
    <row r="7" spans="1:12" x14ac:dyDescent="0.3">
      <c r="B7" s="50"/>
      <c r="C7" s="50"/>
      <c r="D7" s="50"/>
      <c r="E7" s="50">
        <f t="shared" ref="E7:E41" si="0">C7*D7</f>
        <v>0</v>
      </c>
      <c r="F7" s="50" t="s">
        <v>323</v>
      </c>
      <c r="G7" s="50"/>
      <c r="H7" s="50"/>
      <c r="I7" s="50">
        <f t="shared" ref="I7:I35" si="1">G7*H7</f>
        <v>0</v>
      </c>
      <c r="J7" s="50"/>
      <c r="K7" s="50"/>
      <c r="L7" s="50">
        <f t="shared" ref="L7:L35" si="2">J7*K7</f>
        <v>0</v>
      </c>
    </row>
    <row r="8" spans="1:12" x14ac:dyDescent="0.3">
      <c r="B8" s="50"/>
      <c r="C8" s="50"/>
      <c r="D8" s="50"/>
      <c r="E8" s="50">
        <f t="shared" si="0"/>
        <v>0</v>
      </c>
      <c r="F8" s="50"/>
      <c r="G8" s="50"/>
      <c r="H8" s="50"/>
      <c r="I8" s="50">
        <f t="shared" si="1"/>
        <v>0</v>
      </c>
      <c r="J8" s="50"/>
      <c r="K8" s="50"/>
      <c r="L8" s="50">
        <f t="shared" si="2"/>
        <v>0</v>
      </c>
    </row>
    <row r="9" spans="1:12" x14ac:dyDescent="0.3">
      <c r="B9" s="50"/>
      <c r="C9" s="50"/>
      <c r="D9" s="50"/>
      <c r="E9" s="50">
        <f t="shared" si="0"/>
        <v>0</v>
      </c>
      <c r="F9" s="50" t="s">
        <v>307</v>
      </c>
      <c r="G9" s="50"/>
      <c r="H9" s="50"/>
      <c r="I9" s="50">
        <f t="shared" si="1"/>
        <v>0</v>
      </c>
      <c r="J9" s="50"/>
      <c r="K9" s="50"/>
      <c r="L9" s="50">
        <f t="shared" si="2"/>
        <v>0</v>
      </c>
    </row>
    <row r="10" spans="1:12" x14ac:dyDescent="0.3">
      <c r="B10" s="50" t="s">
        <v>308</v>
      </c>
      <c r="C10" s="50"/>
      <c r="D10" s="50"/>
      <c r="E10" s="50">
        <f t="shared" si="0"/>
        <v>0</v>
      </c>
      <c r="F10" s="50" t="s">
        <v>307</v>
      </c>
      <c r="G10" s="50"/>
      <c r="H10" s="50"/>
      <c r="I10" s="50">
        <f t="shared" si="1"/>
        <v>0</v>
      </c>
      <c r="J10" s="50"/>
      <c r="K10" s="50"/>
      <c r="L10" s="50">
        <f t="shared" si="2"/>
        <v>0</v>
      </c>
    </row>
    <row r="11" spans="1:12" x14ac:dyDescent="0.3">
      <c r="B11" s="50"/>
      <c r="C11" s="50"/>
      <c r="D11" s="50"/>
      <c r="E11" s="50">
        <f t="shared" si="0"/>
        <v>0</v>
      </c>
      <c r="F11" s="50" t="s">
        <v>309</v>
      </c>
      <c r="G11" s="50"/>
      <c r="H11" s="50"/>
      <c r="I11" s="50">
        <f t="shared" si="1"/>
        <v>0</v>
      </c>
      <c r="J11" s="50"/>
      <c r="K11" s="50"/>
      <c r="L11" s="50">
        <f t="shared" si="2"/>
        <v>0</v>
      </c>
    </row>
    <row r="12" spans="1:12" x14ac:dyDescent="0.3">
      <c r="B12" s="50"/>
      <c r="C12" s="50"/>
      <c r="D12" s="50"/>
      <c r="E12" s="50">
        <f t="shared" si="0"/>
        <v>0</v>
      </c>
      <c r="F12" s="50"/>
      <c r="G12" s="50"/>
      <c r="H12" s="50"/>
      <c r="I12" s="50">
        <f t="shared" si="1"/>
        <v>0</v>
      </c>
      <c r="J12" s="50"/>
      <c r="K12" s="50"/>
      <c r="L12" s="50">
        <f t="shared" si="2"/>
        <v>0</v>
      </c>
    </row>
    <row r="13" spans="1:12" x14ac:dyDescent="0.3">
      <c r="B13" s="50"/>
      <c r="C13" s="50"/>
      <c r="D13" s="50"/>
      <c r="E13" s="50">
        <f t="shared" si="0"/>
        <v>0</v>
      </c>
      <c r="F13" s="50"/>
      <c r="G13" s="50"/>
      <c r="H13" s="50"/>
      <c r="I13" s="50">
        <f t="shared" si="1"/>
        <v>0</v>
      </c>
      <c r="J13" s="50"/>
      <c r="K13" s="50"/>
      <c r="L13" s="50">
        <f t="shared" si="2"/>
        <v>0</v>
      </c>
    </row>
    <row r="14" spans="1:12" x14ac:dyDescent="0.3">
      <c r="B14" s="50" t="s">
        <v>310</v>
      </c>
      <c r="C14" s="50"/>
      <c r="D14" s="50"/>
      <c r="E14" s="50">
        <f t="shared" si="0"/>
        <v>0</v>
      </c>
      <c r="F14" s="50" t="s">
        <v>307</v>
      </c>
      <c r="G14" s="50"/>
      <c r="H14" s="50"/>
      <c r="I14" s="50">
        <f t="shared" si="1"/>
        <v>0</v>
      </c>
      <c r="J14" s="50"/>
      <c r="K14" s="50"/>
      <c r="L14" s="50">
        <f t="shared" si="2"/>
        <v>0</v>
      </c>
    </row>
    <row r="15" spans="1:12" x14ac:dyDescent="0.3">
      <c r="B15" s="50"/>
      <c r="C15" s="50"/>
      <c r="D15" s="50"/>
      <c r="E15" s="50">
        <f t="shared" si="0"/>
        <v>0</v>
      </c>
      <c r="F15" s="50" t="s">
        <v>309</v>
      </c>
      <c r="G15" s="50"/>
      <c r="H15" s="50"/>
      <c r="I15" s="50">
        <f t="shared" si="1"/>
        <v>0</v>
      </c>
      <c r="J15" s="50"/>
      <c r="K15" s="50"/>
      <c r="L15" s="50">
        <f t="shared" si="2"/>
        <v>0</v>
      </c>
    </row>
    <row r="16" spans="1:12" x14ac:dyDescent="0.3">
      <c r="B16" s="50"/>
      <c r="C16" s="50"/>
      <c r="D16" s="50"/>
      <c r="E16" s="50">
        <f t="shared" si="0"/>
        <v>0</v>
      </c>
      <c r="F16" s="50"/>
      <c r="G16" s="50"/>
      <c r="H16" s="50"/>
      <c r="I16" s="50">
        <f t="shared" si="1"/>
        <v>0</v>
      </c>
      <c r="J16" s="50"/>
      <c r="K16" s="50"/>
      <c r="L16" s="50">
        <f t="shared" si="2"/>
        <v>0</v>
      </c>
    </row>
    <row r="17" spans="2:12" x14ac:dyDescent="0.3">
      <c r="B17" s="50"/>
      <c r="C17" s="50"/>
      <c r="D17" s="50"/>
      <c r="E17" s="50">
        <f t="shared" si="0"/>
        <v>0</v>
      </c>
      <c r="F17" s="50"/>
      <c r="G17" s="50"/>
      <c r="H17" s="50"/>
      <c r="I17" s="50">
        <f t="shared" si="1"/>
        <v>0</v>
      </c>
      <c r="J17" s="50"/>
      <c r="K17" s="50"/>
      <c r="L17" s="50">
        <f t="shared" si="2"/>
        <v>0</v>
      </c>
    </row>
    <row r="18" spans="2:12" x14ac:dyDescent="0.3">
      <c r="B18" s="50" t="s">
        <v>311</v>
      </c>
      <c r="C18" s="50"/>
      <c r="D18" s="50"/>
      <c r="E18" s="50">
        <f t="shared" si="0"/>
        <v>0</v>
      </c>
      <c r="F18" s="50" t="s">
        <v>307</v>
      </c>
      <c r="G18" s="50"/>
      <c r="H18" s="50"/>
      <c r="I18" s="50">
        <f t="shared" si="1"/>
        <v>0</v>
      </c>
      <c r="J18" s="50"/>
      <c r="K18" s="50"/>
      <c r="L18" s="50">
        <f t="shared" si="2"/>
        <v>0</v>
      </c>
    </row>
    <row r="19" spans="2:12" x14ac:dyDescent="0.3">
      <c r="B19" s="50"/>
      <c r="C19" s="50"/>
      <c r="D19" s="50"/>
      <c r="E19" s="50">
        <f t="shared" si="0"/>
        <v>0</v>
      </c>
      <c r="F19" s="50" t="s">
        <v>309</v>
      </c>
      <c r="G19" s="50"/>
      <c r="H19" s="50"/>
      <c r="I19" s="50">
        <f t="shared" si="1"/>
        <v>0</v>
      </c>
      <c r="J19" s="50"/>
      <c r="K19" s="50"/>
      <c r="L19" s="50">
        <f t="shared" si="2"/>
        <v>0</v>
      </c>
    </row>
    <row r="20" spans="2:12" x14ac:dyDescent="0.3">
      <c r="B20" s="50"/>
      <c r="C20" s="50"/>
      <c r="D20" s="50"/>
      <c r="E20" s="50">
        <f t="shared" si="0"/>
        <v>0</v>
      </c>
      <c r="F20" s="50"/>
      <c r="G20" s="50"/>
      <c r="H20" s="50"/>
      <c r="I20" s="50">
        <f t="shared" si="1"/>
        <v>0</v>
      </c>
      <c r="J20" s="50"/>
      <c r="K20" s="50"/>
      <c r="L20" s="50">
        <f t="shared" si="2"/>
        <v>0</v>
      </c>
    </row>
    <row r="21" spans="2:12" x14ac:dyDescent="0.3">
      <c r="B21" s="50" t="s">
        <v>312</v>
      </c>
      <c r="C21" s="50"/>
      <c r="D21" s="50"/>
      <c r="E21" s="50">
        <f t="shared" si="0"/>
        <v>0</v>
      </c>
      <c r="F21" s="50" t="s">
        <v>307</v>
      </c>
      <c r="G21" s="50"/>
      <c r="H21" s="50"/>
      <c r="I21" s="50">
        <f t="shared" si="1"/>
        <v>0</v>
      </c>
      <c r="J21" s="50"/>
      <c r="K21" s="50"/>
      <c r="L21" s="50">
        <f t="shared" si="2"/>
        <v>0</v>
      </c>
    </row>
    <row r="22" spans="2:12" x14ac:dyDescent="0.3">
      <c r="B22" s="50"/>
      <c r="C22" s="50"/>
      <c r="D22" s="50"/>
      <c r="E22" s="50">
        <f t="shared" si="0"/>
        <v>0</v>
      </c>
      <c r="F22" s="50" t="s">
        <v>309</v>
      </c>
      <c r="G22" s="50"/>
      <c r="H22" s="50"/>
      <c r="I22" s="50">
        <f t="shared" si="1"/>
        <v>0</v>
      </c>
      <c r="J22" s="50"/>
      <c r="K22" s="50"/>
      <c r="L22" s="50">
        <f t="shared" si="2"/>
        <v>0</v>
      </c>
    </row>
    <row r="23" spans="2:12" x14ac:dyDescent="0.3">
      <c r="B23" s="50"/>
      <c r="C23" s="50"/>
      <c r="D23" s="50"/>
      <c r="E23" s="50">
        <f t="shared" si="0"/>
        <v>0</v>
      </c>
      <c r="F23" s="50"/>
      <c r="G23" s="50"/>
      <c r="H23" s="50"/>
      <c r="I23" s="50">
        <f t="shared" si="1"/>
        <v>0</v>
      </c>
      <c r="J23" s="50"/>
      <c r="K23" s="50"/>
      <c r="L23" s="50">
        <f t="shared" si="2"/>
        <v>0</v>
      </c>
    </row>
    <row r="24" spans="2:12" x14ac:dyDescent="0.3">
      <c r="B24" s="50" t="s">
        <v>313</v>
      </c>
      <c r="C24" s="50"/>
      <c r="D24" s="50"/>
      <c r="E24" s="50">
        <f t="shared" si="0"/>
        <v>0</v>
      </c>
      <c r="F24" s="50" t="s">
        <v>314</v>
      </c>
      <c r="G24" s="50"/>
      <c r="H24" s="50"/>
      <c r="I24" s="50">
        <f t="shared" si="1"/>
        <v>0</v>
      </c>
      <c r="J24" s="50"/>
      <c r="K24" s="50"/>
      <c r="L24" s="50">
        <f t="shared" si="2"/>
        <v>0</v>
      </c>
    </row>
    <row r="25" spans="2:12" x14ac:dyDescent="0.3">
      <c r="B25" s="50"/>
      <c r="C25" s="50"/>
      <c r="D25" s="50"/>
      <c r="E25" s="50">
        <f t="shared" ref="E25:E27" si="3">C25*D25</f>
        <v>0</v>
      </c>
      <c r="F25" s="50" t="s">
        <v>314</v>
      </c>
      <c r="G25" s="50"/>
      <c r="H25" s="50"/>
      <c r="I25" s="50">
        <f t="shared" ref="I25:I27" si="4">G25*H25</f>
        <v>0</v>
      </c>
      <c r="J25" s="50"/>
      <c r="K25" s="50"/>
      <c r="L25" s="50">
        <f t="shared" ref="L25:L27" si="5">J25*K25</f>
        <v>0</v>
      </c>
    </row>
    <row r="26" spans="2:12" x14ac:dyDescent="0.3">
      <c r="B26" s="50"/>
      <c r="C26" s="50"/>
      <c r="D26" s="50"/>
      <c r="E26" s="50">
        <f t="shared" si="3"/>
        <v>0</v>
      </c>
      <c r="F26" s="50" t="s">
        <v>314</v>
      </c>
      <c r="G26" s="50"/>
      <c r="H26" s="50"/>
      <c r="I26" s="50">
        <f t="shared" si="4"/>
        <v>0</v>
      </c>
      <c r="J26" s="50"/>
      <c r="K26" s="50"/>
      <c r="L26" s="50">
        <f t="shared" si="5"/>
        <v>0</v>
      </c>
    </row>
    <row r="27" spans="2:12" x14ac:dyDescent="0.3">
      <c r="B27" s="50"/>
      <c r="C27" s="50"/>
      <c r="D27" s="50"/>
      <c r="E27" s="50">
        <f t="shared" si="3"/>
        <v>0</v>
      </c>
      <c r="F27" s="50" t="s">
        <v>314</v>
      </c>
      <c r="G27" s="50"/>
      <c r="H27" s="50"/>
      <c r="I27" s="50">
        <f t="shared" si="4"/>
        <v>0</v>
      </c>
      <c r="J27" s="50"/>
      <c r="K27" s="50"/>
      <c r="L27" s="50">
        <f t="shared" si="5"/>
        <v>0</v>
      </c>
    </row>
    <row r="28" spans="2:12" x14ac:dyDescent="0.3">
      <c r="B28" s="50" t="s">
        <v>315</v>
      </c>
      <c r="C28" s="50"/>
      <c r="D28" s="50"/>
      <c r="E28" s="50">
        <f t="shared" si="0"/>
        <v>0</v>
      </c>
      <c r="F28" s="50" t="s">
        <v>314</v>
      </c>
      <c r="G28" s="50"/>
      <c r="H28" s="50"/>
      <c r="I28" s="50">
        <f t="shared" si="1"/>
        <v>0</v>
      </c>
      <c r="J28" s="50"/>
      <c r="K28" s="50"/>
      <c r="L28" s="50">
        <f t="shared" si="2"/>
        <v>0</v>
      </c>
    </row>
    <row r="29" spans="2:12" x14ac:dyDescent="0.3">
      <c r="B29" s="50" t="s">
        <v>316</v>
      </c>
      <c r="C29" s="50"/>
      <c r="D29" s="50"/>
      <c r="E29" s="50">
        <f t="shared" si="0"/>
        <v>0</v>
      </c>
      <c r="F29" s="50" t="s">
        <v>314</v>
      </c>
      <c r="G29" s="50"/>
      <c r="H29" s="50"/>
      <c r="I29" s="50">
        <f t="shared" si="1"/>
        <v>0</v>
      </c>
      <c r="J29" s="50"/>
      <c r="K29" s="50"/>
      <c r="L29" s="50">
        <f t="shared" si="2"/>
        <v>0</v>
      </c>
    </row>
    <row r="30" spans="2:12" x14ac:dyDescent="0.3">
      <c r="B30" s="50" t="s">
        <v>320</v>
      </c>
      <c r="C30" s="50"/>
      <c r="D30" s="50"/>
      <c r="E30" s="50">
        <f t="shared" si="0"/>
        <v>0</v>
      </c>
      <c r="F30" s="50"/>
      <c r="G30" s="50"/>
      <c r="H30" s="50"/>
      <c r="I30" s="50">
        <f t="shared" si="1"/>
        <v>0</v>
      </c>
      <c r="J30" s="50"/>
      <c r="K30" s="50"/>
      <c r="L30" s="50">
        <f t="shared" si="2"/>
        <v>0</v>
      </c>
    </row>
    <row r="31" spans="2:12" x14ac:dyDescent="0.3">
      <c r="B31" s="50"/>
      <c r="C31" s="50"/>
      <c r="D31" s="50"/>
      <c r="E31" s="50">
        <f t="shared" ref="E31:E32" si="6">C31*D31</f>
        <v>0</v>
      </c>
      <c r="F31" s="50"/>
      <c r="G31" s="50"/>
      <c r="H31" s="50"/>
      <c r="I31" s="50">
        <f t="shared" ref="I31:I32" si="7">G31*H31</f>
        <v>0</v>
      </c>
      <c r="J31" s="50"/>
      <c r="K31" s="50"/>
      <c r="L31" s="50">
        <f t="shared" ref="L31:L32" si="8">J31*K31</f>
        <v>0</v>
      </c>
    </row>
    <row r="32" spans="2:12" x14ac:dyDescent="0.3">
      <c r="B32" s="50"/>
      <c r="C32" s="50"/>
      <c r="D32" s="50"/>
      <c r="E32" s="50">
        <f t="shared" si="6"/>
        <v>0</v>
      </c>
      <c r="F32" s="50"/>
      <c r="G32" s="50"/>
      <c r="H32" s="50"/>
      <c r="I32" s="50">
        <f t="shared" si="7"/>
        <v>0</v>
      </c>
      <c r="J32" s="50"/>
      <c r="K32" s="50"/>
      <c r="L32" s="50">
        <f t="shared" si="8"/>
        <v>0</v>
      </c>
    </row>
    <row r="33" spans="2:12" x14ac:dyDescent="0.3">
      <c r="B33" s="50" t="s">
        <v>317</v>
      </c>
      <c r="C33" s="50"/>
      <c r="D33" s="50"/>
      <c r="E33" s="50">
        <f t="shared" si="0"/>
        <v>0</v>
      </c>
      <c r="F33" s="50"/>
      <c r="G33" s="50"/>
      <c r="H33" s="50"/>
      <c r="I33" s="50">
        <f t="shared" si="1"/>
        <v>0</v>
      </c>
      <c r="J33" s="50"/>
      <c r="K33" s="50"/>
      <c r="L33" s="50">
        <f t="shared" si="2"/>
        <v>0</v>
      </c>
    </row>
    <row r="34" spans="2:12" x14ac:dyDescent="0.3">
      <c r="B34" s="50" t="s">
        <v>321</v>
      </c>
      <c r="C34" s="50"/>
      <c r="D34" s="50"/>
      <c r="E34" s="50">
        <f t="shared" si="0"/>
        <v>0</v>
      </c>
      <c r="F34" s="50"/>
      <c r="G34" s="50"/>
      <c r="H34" s="50"/>
      <c r="I34" s="50">
        <f t="shared" si="1"/>
        <v>0</v>
      </c>
      <c r="J34" s="50"/>
      <c r="K34" s="50"/>
      <c r="L34" s="50">
        <f t="shared" si="2"/>
        <v>0</v>
      </c>
    </row>
    <row r="35" spans="2:12" x14ac:dyDescent="0.3">
      <c r="B35" s="50" t="s">
        <v>318</v>
      </c>
      <c r="C35" s="50"/>
      <c r="D35" s="50"/>
      <c r="E35" s="50">
        <f t="shared" si="0"/>
        <v>0</v>
      </c>
      <c r="F35" s="50"/>
      <c r="G35" s="50"/>
      <c r="H35" s="50"/>
      <c r="I35" s="50">
        <f t="shared" si="1"/>
        <v>0</v>
      </c>
      <c r="J35" s="50"/>
      <c r="K35" s="50"/>
      <c r="L35" s="50">
        <f t="shared" si="2"/>
        <v>0</v>
      </c>
    </row>
    <row r="36" spans="2:12" x14ac:dyDescent="0.3">
      <c r="B36" s="50" t="s">
        <v>319</v>
      </c>
      <c r="C36" s="50"/>
      <c r="D36" s="50"/>
      <c r="E36" s="50">
        <f t="shared" si="0"/>
        <v>0</v>
      </c>
      <c r="F36" s="50"/>
      <c r="G36" s="50"/>
      <c r="H36" s="50"/>
      <c r="I36" s="50">
        <f>G36*H36</f>
        <v>0</v>
      </c>
      <c r="J36" s="50"/>
      <c r="K36" s="50"/>
      <c r="L36" s="50">
        <f>J36*K36</f>
        <v>0</v>
      </c>
    </row>
    <row r="37" spans="2:12" x14ac:dyDescent="0.3">
      <c r="B37" s="50"/>
      <c r="C37" s="50"/>
      <c r="D37" s="50"/>
      <c r="E37" s="50">
        <f t="shared" ref="E37:E38" si="9">C37*D37</f>
        <v>0</v>
      </c>
      <c r="F37" s="50"/>
      <c r="G37" s="50"/>
      <c r="H37" s="50"/>
      <c r="I37" s="50">
        <f t="shared" ref="I37:I38" si="10">G37*H37</f>
        <v>0</v>
      </c>
      <c r="J37" s="50"/>
      <c r="K37" s="50"/>
      <c r="L37" s="50">
        <f t="shared" ref="L37:L38" si="11">J37*K37</f>
        <v>0</v>
      </c>
    </row>
    <row r="38" spans="2:12" x14ac:dyDescent="0.3">
      <c r="B38" s="50" t="s">
        <v>322</v>
      </c>
      <c r="C38" s="50"/>
      <c r="D38" s="50"/>
      <c r="E38" s="50">
        <f t="shared" si="9"/>
        <v>0</v>
      </c>
      <c r="F38" s="50"/>
      <c r="G38" s="50"/>
      <c r="H38" s="50"/>
      <c r="I38" s="50">
        <f t="shared" si="10"/>
        <v>0</v>
      </c>
      <c r="J38" s="50"/>
      <c r="K38" s="50"/>
      <c r="L38" s="50">
        <f t="shared" si="11"/>
        <v>0</v>
      </c>
    </row>
    <row r="39" spans="2:12" x14ac:dyDescent="0.3">
      <c r="B39" s="50"/>
      <c r="C39" s="50"/>
      <c r="D39" s="50"/>
      <c r="E39" s="50">
        <f t="shared" si="0"/>
        <v>0</v>
      </c>
      <c r="F39" s="50"/>
      <c r="G39" s="50"/>
      <c r="H39" s="50"/>
      <c r="I39" s="50">
        <f>G39*H39</f>
        <v>0</v>
      </c>
      <c r="J39" s="50"/>
      <c r="K39" s="50"/>
      <c r="L39" s="50">
        <f>J39*K39</f>
        <v>0</v>
      </c>
    </row>
    <row r="40" spans="2:12" x14ac:dyDescent="0.3">
      <c r="B40" s="50"/>
      <c r="C40" s="50"/>
      <c r="D40" s="50"/>
      <c r="E40" s="50">
        <f t="shared" si="0"/>
        <v>0</v>
      </c>
      <c r="F40" s="50"/>
      <c r="G40" s="50"/>
      <c r="H40" s="50"/>
      <c r="I40" s="50">
        <f>G40*H40</f>
        <v>0</v>
      </c>
      <c r="J40" s="50"/>
      <c r="K40" s="50"/>
      <c r="L40" s="50">
        <f>J40*K40</f>
        <v>0</v>
      </c>
    </row>
    <row r="41" spans="2:12" x14ac:dyDescent="0.3">
      <c r="B41" s="50"/>
      <c r="C41" s="50"/>
      <c r="D41" s="50"/>
      <c r="E41" s="50">
        <f t="shared" si="0"/>
        <v>0</v>
      </c>
      <c r="F41" s="50"/>
      <c r="G41" s="50"/>
      <c r="H41" s="50"/>
      <c r="I41" s="50">
        <f>G41*H41</f>
        <v>0</v>
      </c>
      <c r="J41" s="50"/>
      <c r="K41" s="50"/>
      <c r="L41" s="50">
        <f>J41*K41</f>
        <v>0</v>
      </c>
    </row>
    <row r="42" spans="2:12" x14ac:dyDescent="0.3">
      <c r="B42" s="50" t="s">
        <v>146</v>
      </c>
      <c r="C42" s="50"/>
      <c r="D42" s="50">
        <f>E42*10.764</f>
        <v>0</v>
      </c>
      <c r="E42" s="63">
        <f>SUM(E6:E41)</f>
        <v>0</v>
      </c>
      <c r="F42" s="50"/>
      <c r="G42" s="50"/>
      <c r="H42" s="50">
        <f>I42*10.764</f>
        <v>0</v>
      </c>
      <c r="I42" s="62">
        <f>SUM(I6:I41)</f>
        <v>0</v>
      </c>
      <c r="J42" s="50"/>
      <c r="K42" s="50">
        <f>L42*10.764</f>
        <v>0</v>
      </c>
      <c r="L42" s="61">
        <f>SUM(L6:L41)</f>
        <v>0</v>
      </c>
    </row>
    <row r="44" spans="2:12" x14ac:dyDescent="0.3">
      <c r="D44" s="49">
        <f>D42+H42</f>
        <v>0</v>
      </c>
      <c r="E44" s="49">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2025-08-15T10:08:54Z</cp:lastPrinted>
  <dcterms:created xsi:type="dcterms:W3CDTF">2019-07-16T09:29:46Z</dcterms:created>
  <dcterms:modified xsi:type="dcterms:W3CDTF">2025-08-15T10:26:53Z</dcterms:modified>
</cp:coreProperties>
</file>