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showSheetTabs="0"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9" i="1" l="1"/>
  <c r="M119" i="1"/>
  <c r="L108" i="1" l="1"/>
  <c r="L109" i="1"/>
  <c r="L110" i="1"/>
  <c r="L111" i="1"/>
  <c r="L112" i="1"/>
  <c r="L113" i="1"/>
  <c r="L107" i="1"/>
  <c r="I111" i="1"/>
  <c r="I107" i="1"/>
  <c r="I128" i="1"/>
  <c r="L96" i="1"/>
  <c r="M118" i="1"/>
  <c r="M123" i="1" l="1"/>
  <c r="K124" i="1"/>
  <c r="D113" i="1"/>
  <c r="K113" i="1" s="1"/>
  <c r="D112" i="1"/>
  <c r="K112" i="1" s="1"/>
  <c r="D111" i="1"/>
  <c r="K111" i="1" s="1"/>
  <c r="D110" i="1"/>
  <c r="K110" i="1" s="1"/>
  <c r="D109" i="1"/>
  <c r="K109" i="1" s="1"/>
  <c r="D108" i="1"/>
  <c r="K108" i="1" s="1"/>
  <c r="D107" i="1"/>
  <c r="K107" i="1" s="1"/>
  <c r="D128" i="1"/>
  <c r="K128" i="1" s="1"/>
  <c r="D127" i="1"/>
  <c r="K127" i="1" s="1"/>
  <c r="D126" i="1"/>
  <c r="K126" i="1" s="1"/>
  <c r="D125" i="1"/>
  <c r="K125" i="1" s="1"/>
  <c r="D123" i="1"/>
  <c r="K123" i="1" s="1"/>
  <c r="D122" i="1"/>
  <c r="K122" i="1" s="1"/>
  <c r="D121" i="1"/>
  <c r="K121" i="1" s="1"/>
  <c r="D120" i="1"/>
  <c r="L120" i="1" s="1"/>
  <c r="D119" i="1"/>
  <c r="K119" i="1" s="1"/>
  <c r="D117" i="1"/>
  <c r="J116" i="1"/>
  <c r="G125" i="1"/>
  <c r="A125" i="1"/>
  <c r="A126" i="1" s="1"/>
  <c r="A127" i="1" s="1"/>
  <c r="A128" i="1" s="1"/>
  <c r="A129" i="1" s="1"/>
  <c r="G119" i="1"/>
  <c r="G117" i="1"/>
  <c r="D54" i="1"/>
  <c r="A119" i="1"/>
  <c r="E99" i="1" l="1"/>
  <c r="E100" i="1" s="1"/>
  <c r="K120" i="1"/>
  <c r="L119" i="1"/>
  <c r="L123" i="1"/>
  <c r="L122" i="1"/>
  <c r="L121" i="1"/>
  <c r="C99" i="1"/>
  <c r="C100" i="1" s="1"/>
  <c r="F117" i="1"/>
  <c r="C95" i="1"/>
  <c r="C96" i="1" s="1"/>
  <c r="E95" i="1"/>
  <c r="E96" i="1" s="1"/>
  <c r="A120" i="1"/>
  <c r="C101" i="1" l="1"/>
  <c r="E101" i="1"/>
  <c r="G99" i="1"/>
  <c r="G100" i="1" s="1"/>
  <c r="K117" i="1"/>
  <c r="E42" i="1"/>
  <c r="E43" i="1" s="1"/>
  <c r="A121" i="1"/>
  <c r="C14" i="1" l="1"/>
  <c r="A122" i="1"/>
  <c r="E29" i="1" l="1"/>
  <c r="A123" i="1"/>
  <c r="F132" i="1" l="1"/>
  <c r="F133" i="1"/>
  <c r="F134" i="1"/>
  <c r="F131" i="1"/>
  <c r="A132" i="1"/>
  <c r="A133" i="1" s="1"/>
  <c r="A134" i="1" s="1"/>
  <c r="G131" i="1"/>
  <c r="G132" i="1" s="1"/>
  <c r="G133" i="1" s="1"/>
  <c r="G134" i="1" s="1"/>
  <c r="F92" i="1" l="1"/>
  <c r="G95" i="1" l="1"/>
  <c r="G96" i="1" s="1"/>
  <c r="G101" i="1" s="1"/>
  <c r="B161" i="1"/>
  <c r="A142" i="1"/>
  <c r="A154" i="1"/>
  <c r="A148" i="1"/>
  <c r="F158" i="1" l="1"/>
  <c r="F157" i="1"/>
  <c r="F156" i="1"/>
  <c r="F155" i="1"/>
  <c r="F154" i="1"/>
  <c r="F152" i="1"/>
  <c r="F151" i="1"/>
  <c r="F150" i="1"/>
  <c r="F149" i="1"/>
  <c r="F148" i="1"/>
  <c r="F146" i="1"/>
  <c r="F145" i="1"/>
  <c r="F144" i="1"/>
  <c r="F143" i="1"/>
  <c r="F142" i="1"/>
  <c r="F140" i="1"/>
  <c r="F139" i="1"/>
  <c r="F137" i="1"/>
  <c r="F136" i="1"/>
  <c r="F138" i="1"/>
  <c r="A149" i="1"/>
  <c r="A143" i="1"/>
  <c r="A155" i="1"/>
  <c r="B162" i="1" l="1"/>
  <c r="A156" i="1"/>
  <c r="A150" i="1"/>
  <c r="A144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3" i="1"/>
  <c r="G154" i="1"/>
  <c r="G155" i="1" s="1"/>
  <c r="G156" i="1" s="1"/>
  <c r="G157" i="1" s="1"/>
  <c r="G158" i="1" s="1"/>
  <c r="G148" i="1"/>
  <c r="G149" i="1" s="1"/>
  <c r="G150" i="1" s="1"/>
  <c r="G151" i="1" s="1"/>
  <c r="G152" i="1" s="1"/>
  <c r="G142" i="1"/>
  <c r="G143" i="1" s="1"/>
  <c r="G144" i="1" s="1"/>
  <c r="G145" i="1" s="1"/>
  <c r="G146" i="1" s="1"/>
  <c r="G136" i="1"/>
  <c r="G137" i="1" s="1"/>
  <c r="G138" i="1" s="1"/>
  <c r="G139" i="1" s="1"/>
  <c r="G140" i="1" s="1"/>
  <c r="A136" i="1"/>
  <c r="A137" i="1" s="1"/>
  <c r="A138" i="1" s="1"/>
  <c r="A139" i="1" s="1"/>
  <c r="A140" i="1" s="1"/>
  <c r="A108" i="1"/>
  <c r="A109" i="1" s="1"/>
  <c r="A110" i="1" s="1"/>
  <c r="A111" i="1" s="1"/>
  <c r="A112" i="1" s="1"/>
  <c r="A113" i="1" s="1"/>
  <c r="G107" i="1"/>
  <c r="C65" i="1"/>
  <c r="B66" i="1" s="1"/>
  <c r="G49" i="1"/>
  <c r="G50" i="1" s="1"/>
  <c r="C49" i="1"/>
  <c r="C50" i="1" s="1"/>
  <c r="E26" i="1"/>
  <c r="E24" i="1"/>
  <c r="E7" i="1"/>
  <c r="E3" i="1"/>
  <c r="A145" i="1"/>
  <c r="H66" i="1"/>
  <c r="A157" i="1"/>
  <c r="A151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A158" i="1"/>
  <c r="A146" i="1"/>
  <c r="A152" i="1"/>
  <c r="J73" i="1" l="1"/>
  <c r="J74" i="1" s="1"/>
  <c r="J75" i="1" s="1"/>
  <c r="J76" i="1" s="1"/>
  <c r="D71" i="1"/>
  <c r="J67" i="1"/>
  <c r="D69" i="1"/>
  <c r="J78" i="1" l="1"/>
  <c r="C70" i="1" s="1"/>
  <c r="G69" i="1" s="1"/>
  <c r="D63" i="1" s="1"/>
  <c r="D64" i="1" s="1"/>
  <c r="J66" i="1" l="1"/>
  <c r="D70" i="1"/>
  <c r="I66" i="1" s="1"/>
  <c r="I67" i="1" s="1"/>
  <c r="E69" i="1"/>
  <c r="F64" i="1"/>
  <c r="I65" i="1" l="1"/>
  <c r="C67" i="1" s="1"/>
</calcChain>
</file>

<file path=xl/sharedStrings.xml><?xml version="1.0" encoding="utf-8"?>
<sst xmlns="http://schemas.openxmlformats.org/spreadsheetml/2006/main" count="282" uniqueCount="230">
  <si>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</si>
  <si>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</si>
  <si>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</si>
  <si>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</si>
  <si>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</si>
  <si>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</si>
  <si>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</si>
  <si>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</si>
  <si>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</si>
  <si>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</si>
  <si>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</si>
  <si>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</si>
  <si>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</si>
  <si>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</si>
  <si>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</si>
  <si>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</si>
  <si>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</si>
  <si>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</si>
  <si>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</si>
  <si>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</si>
  <si>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</si>
  <si>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</si>
  <si>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</si>
  <si>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</si>
  <si>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</si>
  <si>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</si>
  <si>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</si>
  <si>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</si>
  <si>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</si>
  <si>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</si>
  <si>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</si>
  <si>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</si>
  <si>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</si>
  <si>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</si>
  <si>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</si>
  <si>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</si>
  <si>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</si>
  <si>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</si>
  <si>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</si>
  <si>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</si>
  <si>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</si>
  <si>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</si>
  <si>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</si>
  <si>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</si>
  <si>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</si>
  <si>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</si>
  <si>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</si>
  <si>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</si>
  <si>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</si>
  <si>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</si>
  <si>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</si>
  <si>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</si>
  <si>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</si>
  <si>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</si>
  <si>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</si>
  <si>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</si>
  <si>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</si>
  <si>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</si>
  <si>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</si>
  <si>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</si>
  <si>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</si>
  <si>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</si>
  <si>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</si>
  <si>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</si>
  <si>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</si>
  <si>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</si>
  <si>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</si>
  <si>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</si>
  <si>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</si>
  <si>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</si>
  <si>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</si>
  <si>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</si>
  <si>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</si>
  <si>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</si>
  <si>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</si>
  <si>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</si>
  <si>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</si>
  <si>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</si>
  <si>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</si>
  <si>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</si>
  <si>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</si>
  <si>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</si>
  <si>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</si>
  <si>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</si>
  <si>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</si>
  <si>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</si>
  <si>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</si>
  <si>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</si>
  <si>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</si>
  <si>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</si>
  <si>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</si>
  <si>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</si>
  <si>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</si>
  <si>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</si>
  <si>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</si>
  <si>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</si>
  <si>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</si>
  <si>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</si>
  <si>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</si>
  <si>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</si>
  <si>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</si>
  <si>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</si>
  <si>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</si>
  <si>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</si>
  <si>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</si>
  <si>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</si>
  <si>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</si>
  <si>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</si>
  <si>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</si>
  <si>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</si>
  <si>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</si>
  <si>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</si>
  <si>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</si>
  <si>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</si>
  <si>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</si>
  <si>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</si>
  <si>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</si>
  <si>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</si>
  <si>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</si>
  <si>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</si>
  <si>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</si>
  <si>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</si>
  <si>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</si>
  <si>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</si>
  <si>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</si>
  <si>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</si>
  <si>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</si>
  <si>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</si>
  <si>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</si>
  <si>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</si>
  <si>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</si>
  <si>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</si>
  <si>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</si>
  <si>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</si>
  <si>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</si>
  <si>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</si>
  <si>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</si>
  <si>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</si>
  <si>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</si>
  <si>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</si>
  <si>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</si>
  <si>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</si>
  <si>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</si>
  <si>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</si>
  <si>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</si>
  <si>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</si>
  <si>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</si>
  <si>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</si>
  <si>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</si>
  <si>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</si>
  <si>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</si>
  <si>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</si>
  <si>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</si>
  <si>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</si>
  <si>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</si>
  <si>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</si>
  <si>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</si>
  <si>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</si>
  <si>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</si>
  <si>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</si>
  <si>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</si>
  <si>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</si>
  <si>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</si>
  <si>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</si>
  <si>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</si>
  <si>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</si>
  <si>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</si>
  <si>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</si>
  <si>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</si>
  <si>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</si>
  <si>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</si>
  <si>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</si>
  <si>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</si>
  <si>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</si>
  <si>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</si>
  <si>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</si>
  <si>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</si>
  <si>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</si>
  <si>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</si>
  <si>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</si>
  <si>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</si>
  <si>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P51700047946</t>
  </si>
  <si>
    <t>Navsarthak Co-op Hsg Soc Ltd</t>
  </si>
  <si>
    <t>V. R. Builders</t>
  </si>
  <si>
    <t>1 Building</t>
  </si>
  <si>
    <t>Gut No</t>
  </si>
  <si>
    <t>53, Plot No.3/P, CTS No.9170</t>
  </si>
  <si>
    <t>Shiv Shakti Nagar</t>
  </si>
  <si>
    <t>Royal Park Road</t>
  </si>
  <si>
    <t>Morivali</t>
  </si>
  <si>
    <t>Thane</t>
  </si>
  <si>
    <t>Ambarnath</t>
  </si>
  <si>
    <t>Namaskar Chsl</t>
  </si>
  <si>
    <t>https://goo.gl/maps/1HYsm5rYW2cbUmKS9</t>
  </si>
  <si>
    <t>2.1 KM from Ambarnath Railway Station</t>
  </si>
  <si>
    <t>Umiya Krupa C.H.S.</t>
  </si>
  <si>
    <t>Sai Residenvy</t>
  </si>
  <si>
    <t>Raghunath Pooja</t>
  </si>
  <si>
    <t>Ambernath Municipal Council</t>
  </si>
  <si>
    <t>1B + Gr + 1st to 7th Floor</t>
  </si>
  <si>
    <t>Ground Floor For Commercial</t>
  </si>
  <si>
    <t>Shop</t>
  </si>
  <si>
    <t xml:space="preserve"> </t>
  </si>
  <si>
    <t>1st to 6th Floor For Residential</t>
  </si>
  <si>
    <t>7th Floor</t>
  </si>
  <si>
    <t>Society Office, Fitness Center &amp; Creche</t>
  </si>
  <si>
    <t>Flats</t>
  </si>
  <si>
    <t>Shops</t>
  </si>
  <si>
    <t>We considered Gross carpet area = Net carpet + Enclose balcony + Cor. Projection.</t>
  </si>
  <si>
    <t>Ground Floor For Part Residential &amp; Drivers Room</t>
  </si>
  <si>
    <t>Flats - 35, Shops - 7</t>
  </si>
  <si>
    <t>Basement Floor For Parking &amp; Store Room</t>
  </si>
  <si>
    <t>Drivers Room, Store Room, Closed Parking, Fitness Center &amp; Creche</t>
  </si>
  <si>
    <t xml:space="preserve">mis </t>
  </si>
  <si>
    <t>Visitor</t>
  </si>
  <si>
    <t>online</t>
  </si>
  <si>
    <t>Builder Saleable area</t>
  </si>
  <si>
    <t>Approved Plans, CC, Sale Plans, Builder Saleable Area</t>
  </si>
  <si>
    <t>Axis Thane</t>
  </si>
  <si>
    <t>Ambarnath (West)</t>
  </si>
  <si>
    <t>ANP/NRV/BP/21-22/1470/9277/153</t>
  </si>
  <si>
    <t>1BHK</t>
  </si>
  <si>
    <t>1RK</t>
  </si>
  <si>
    <t>19.196680,73.195207</t>
  </si>
  <si>
    <t>As per RERA - 31/05/2025</t>
  </si>
  <si>
    <t>Pranita Mhatre</t>
  </si>
  <si>
    <t xml:space="preserve"> Sudhir Bhosale</t>
  </si>
  <si>
    <t xml:space="preserve">As per RERA, completion period of project Navsarthak Co-op Hsg Soc Ltd is expired on  31/05/2025 but still project is under construction.
</t>
  </si>
  <si>
    <t xml:space="preserve">As checked on RERA portal on date 12/08/2025, we have observed that above project " Navsarthak Co-op Hsg Soc Ltd " is kept under abeyance. 
Please check from your end.
</t>
  </si>
  <si>
    <t>Construction work is in process at the time of Visit. Slow Speed  (labour found.)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</si>
</sst>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0.000000000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right"/>
    </xf>
    <xf numFmtId="169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27" fillId="0" borderId="7" xfId="0" applyNumberFormat="1" applyFont="1" applyBorder="1" applyAlignment="1" applyProtection="1">
      <alignment vertical="top" wrapText="1"/>
      <protection locked="0"/>
    </xf>
    <xf numFmtId="1" fontId="27" fillId="0" borderId="20" xfId="0" applyNumberFormat="1" applyFont="1" applyBorder="1" applyAlignment="1" applyProtection="1">
      <alignment vertical="top" wrapText="1"/>
      <protection locked="0"/>
    </xf>
    <xf numFmtId="1" fontId="27" fillId="0" borderId="8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10" fillId="0" borderId="32" xfId="0" applyNumberFormat="1" applyFont="1" applyBorder="1" applyAlignment="1" applyProtection="1">
      <alignment horizontal="center" vertical="center"/>
      <protection locked="0"/>
    </xf>
    <xf numFmtId="1" fontId="10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0" fontId="7" fillId="0" borderId="3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199163</xdr:colOff>
      <xdr:row>269</xdr:row>
      <xdr:rowOff>34636</xdr:rowOff>
    </xdr:from>
    <xdr:to>
      <xdr:col>7</xdr:col>
      <xdr:colOff>630140</xdr:colOff>
      <xdr:row>285</xdr:row>
      <xdr:rowOff>44091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9163" y="50846181"/>
          <a:ext cx="6120000" cy="31960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199163</xdr:colOff>
      <xdr:row>286</xdr:row>
      <xdr:rowOff>13233</xdr:rowOff>
    </xdr:from>
    <xdr:to>
      <xdr:col>7</xdr:col>
      <xdr:colOff>630140</xdr:colOff>
      <xdr:row>307</xdr:row>
      <xdr:rowOff>125035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9163" y="54210483"/>
          <a:ext cx="6120000" cy="42941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207816</xdr:colOff>
      <xdr:row>226</xdr:row>
      <xdr:rowOff>0</xdr:rowOff>
    </xdr:from>
    <xdr:to>
      <xdr:col>7</xdr:col>
      <xdr:colOff>638793</xdr:colOff>
      <xdr:row>249</xdr:row>
      <xdr:rowOff>9340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816" y="42048545"/>
          <a:ext cx="6120000" cy="459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570640</xdr:colOff>
      <xdr:row>249</xdr:row>
      <xdr:rowOff>153069</xdr:rowOff>
    </xdr:from>
    <xdr:to>
      <xdr:col>6</xdr:col>
      <xdr:colOff>293286</xdr:colOff>
      <xdr:row>266</xdr:row>
      <xdr:rowOff>7364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2640" y="46782274"/>
          <a:ext cx="3870351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502225</xdr:colOff>
      <xdr:row>294</xdr:row>
      <xdr:rowOff>112569</xdr:rowOff>
    </xdr:from>
    <xdr:to>
      <xdr:col>3</xdr:col>
      <xdr:colOff>588816</xdr:colOff>
      <xdr:row>299</xdr:row>
      <xdr:rowOff>60615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 rot="20304422">
          <a:off x="2060861" y="55903092"/>
          <a:ext cx="935182" cy="943841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385299</xdr:colOff>
      <xdr:row>261</xdr:row>
      <xdr:rowOff>9863</xdr:rowOff>
    </xdr:from>
    <xdr:to>
      <xdr:col>3</xdr:col>
      <xdr:colOff>43692</xdr:colOff>
      <xdr:row>262</xdr:row>
      <xdr:rowOff>46638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20719461">
          <a:off x="1943935" y="46760295"/>
          <a:ext cx="506984" cy="235934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1033895</xdr:colOff>
      <xdr:row>181</xdr:row>
      <xdr:rowOff>183138</xdr:rowOff>
    </xdr:from>
    <xdr:to>
      <xdr:col>18</xdr:col>
      <xdr:colOff>18219</xdr:colOff>
      <xdr:row>221</xdr:row>
      <xdr:rowOff>82684</xdr:rowOff>
    </xdr:to>
    <xdr:grpSp>
      <xdr:nvGrpSpPr>
        <xdr:cNvPr id="18" name="Group 17"/>
        <xdr:cNvGrpSpPr/>
      </xdr:nvGrpSpPr>
      <xdr:grpSpPr>
        <a:xfrm>
          <a:off x="7981542" y="32231962"/>
          <a:ext cx="6615530" cy="7956575"/>
          <a:chOff x="95250" y="31170561"/>
          <a:chExt cx="6619910" cy="7898814"/>
        </a:xfrm>
      </xdr:grpSpPr>
      <xdr:pic>
        <xdr:nvPicPr>
          <xdr:cNvPr id="32" name="Picture 31" descr="https://vsjcllp.vsjadon.com/upload/insp-234003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14650" y="36907788"/>
            <a:ext cx="2865387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34003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562475" y="31170561"/>
            <a:ext cx="2152685" cy="28622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34003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533899" y="34113787"/>
            <a:ext cx="2047875" cy="272290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34003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09824" y="34113787"/>
            <a:ext cx="2047875" cy="272290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34003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31170561"/>
            <a:ext cx="2152685" cy="28622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34003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85749" y="34113787"/>
            <a:ext cx="2047875" cy="272290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34003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33625" y="31170561"/>
            <a:ext cx="2152685" cy="28622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34003-91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90625" y="36909375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276225</xdr:colOff>
      <xdr:row>183</xdr:row>
      <xdr:rowOff>66675</xdr:rowOff>
    </xdr:from>
    <xdr:to>
      <xdr:col>7</xdr:col>
      <xdr:colOff>1009650</xdr:colOff>
      <xdr:row>223</xdr:row>
      <xdr:rowOff>0</xdr:rowOff>
    </xdr:to>
    <xdr:grpSp>
      <xdr:nvGrpSpPr>
        <xdr:cNvPr id="20" name="Group 19"/>
        <xdr:cNvGrpSpPr/>
      </xdr:nvGrpSpPr>
      <xdr:grpSpPr>
        <a:xfrm>
          <a:off x="276225" y="32518910"/>
          <a:ext cx="6437219" cy="7990355"/>
          <a:chOff x="174709" y="139834"/>
          <a:chExt cx="6006377" cy="8371120"/>
        </a:xfrm>
      </xdr:grpSpPr>
      <xdr:pic>
        <xdr:nvPicPr>
          <xdr:cNvPr id="21" name="Picture 20" descr="https://vsjcllp.vsjadon.com/upload/insp-243814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08100" y="6754896"/>
            <a:ext cx="2329530" cy="175605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43814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4709" y="3323106"/>
            <a:ext cx="1410913" cy="187598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43814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55419" y="3316766"/>
            <a:ext cx="1410913" cy="187598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43814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70173" y="3316766"/>
            <a:ext cx="1410913" cy="187598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43814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4988" y="148354"/>
            <a:ext cx="2317909" cy="308194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43814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23244" y="3323106"/>
            <a:ext cx="1410913" cy="187598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43814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6015" y="5257196"/>
            <a:ext cx="1058458" cy="140735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43814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4786" y="5257196"/>
            <a:ext cx="1058458" cy="140735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43814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98168" y="6754896"/>
            <a:ext cx="1315214" cy="175605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43814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92575" y="5273317"/>
            <a:ext cx="1058458" cy="140735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43814-91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39194" y="139834"/>
            <a:ext cx="2317909" cy="308194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43814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40233" y="5273318"/>
            <a:ext cx="1866947" cy="14073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0</xdr:rowOff>
    </xdr:from>
    <xdr:to>
      <xdr:col>7</xdr:col>
      <xdr:colOff>928069</xdr:colOff>
      <xdr:row>33</xdr:row>
      <xdr:rowOff>75738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1882" y="2678206"/>
          <a:ext cx="7180952" cy="3695238"/>
        </a:xfrm>
        <a:prstGeom prst="rect">
          <a:avLst/>
        </a:prstGeom>
      </xdr:spPr>
    </xdr:pic>
    <xdr:clientData/>
  </xdr:twoCellAnchor>
  <xdr:twoCellAnchor editAs="oneCell">
    <xdr:from>
      <xdr:col>8</xdr:col>
      <xdr:colOff>67235</xdr:colOff>
      <xdr:row>2</xdr:row>
      <xdr:rowOff>56029</xdr:rowOff>
    </xdr:from>
    <xdr:to>
      <xdr:col>21</xdr:col>
      <xdr:colOff>539677</xdr:colOff>
      <xdr:row>13</xdr:row>
      <xdr:rowOff>73133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80176" y="437029"/>
          <a:ext cx="8047619" cy="21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1HYsm5rYW2cbUmKS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68"/>
  <sheetViews>
    <sheetView tabSelected="1" view="pageBreakPreview" topLeftCell="A59" zoomScale="85" zoomScaleNormal="100" zoomScaleSheetLayoutView="85" workbookViewId="0">
      <selection activeCell="M72" sqref="M72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7" width="11.7109375" style="39" customWidth="1"/>
    <col min="8" max="8" width="18.5703125" style="39" customWidth="1"/>
    <col min="9" max="9" width="17.42578125" style="20" customWidth="1"/>
    <col min="10" max="10" width="11.42578125" style="20" customWidth="1"/>
    <col min="11" max="11" width="10.570312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8" ht="46.5" customHeight="1" x14ac:dyDescent="0.25">
      <c r="A1" s="115" t="s">
        <v>176</v>
      </c>
      <c r="B1" s="115"/>
      <c r="C1" s="115"/>
      <c r="D1" s="115"/>
      <c r="E1" s="115"/>
      <c r="F1" s="115"/>
      <c r="G1" s="115"/>
      <c r="H1" s="115"/>
    </row>
    <row r="2" spans="1:8" ht="16.5" customHeight="1" x14ac:dyDescent="0.25">
      <c r="A2" s="95" t="s">
        <v>0</v>
      </c>
      <c r="B2" s="95"/>
      <c r="C2" s="95"/>
      <c r="D2" s="95"/>
      <c r="E2" s="95"/>
      <c r="F2" s="95"/>
      <c r="G2" s="95"/>
      <c r="H2" s="95"/>
    </row>
    <row r="3" spans="1:8" x14ac:dyDescent="0.25">
      <c r="A3" s="83" t="s">
        <v>1</v>
      </c>
      <c r="B3" s="83"/>
      <c r="C3" s="83"/>
      <c r="D3" s="83"/>
      <c r="E3" s="83" t="str">
        <f ca="1">TEXT(TODAY(),"DD/MM/YYYY")</f>
        <v>12/08/2025</v>
      </c>
      <c r="F3" s="83"/>
      <c r="G3" s="83"/>
      <c r="H3" s="83"/>
    </row>
    <row r="4" spans="1:8" ht="15" customHeight="1" x14ac:dyDescent="0.25">
      <c r="A4" s="83" t="s">
        <v>2</v>
      </c>
      <c r="B4" s="83"/>
      <c r="C4" s="83"/>
      <c r="D4" s="83"/>
      <c r="E4" s="83" t="s">
        <v>218</v>
      </c>
      <c r="F4" s="83"/>
      <c r="G4" s="83"/>
      <c r="H4" s="83"/>
    </row>
    <row r="5" spans="1:8" x14ac:dyDescent="0.25">
      <c r="A5" s="83" t="s">
        <v>3</v>
      </c>
      <c r="B5" s="83"/>
      <c r="C5" s="83"/>
      <c r="D5" s="83"/>
      <c r="E5" s="117">
        <v>45881</v>
      </c>
      <c r="F5" s="83"/>
      <c r="G5" s="83"/>
      <c r="H5" s="83"/>
    </row>
    <row r="6" spans="1:8" ht="16.5" customHeight="1" x14ac:dyDescent="0.25">
      <c r="A6" s="83" t="s">
        <v>4</v>
      </c>
      <c r="B6" s="83"/>
      <c r="C6" s="83"/>
      <c r="D6" s="83"/>
      <c r="E6" s="83" t="s">
        <v>183</v>
      </c>
      <c r="F6" s="83"/>
      <c r="G6" s="83"/>
      <c r="H6" s="83"/>
    </row>
    <row r="7" spans="1:8" ht="15" customHeight="1" x14ac:dyDescent="0.25">
      <c r="A7" s="83" t="s">
        <v>5</v>
      </c>
      <c r="B7" s="83"/>
      <c r="C7" s="83"/>
      <c r="D7" s="83"/>
      <c r="E7" s="83" t="str">
        <f>E6</f>
        <v>V. R. Builders</v>
      </c>
      <c r="F7" s="83"/>
      <c r="G7" s="83"/>
      <c r="H7" s="83"/>
    </row>
    <row r="8" spans="1:8" x14ac:dyDescent="0.25">
      <c r="A8" s="83" t="s">
        <v>6</v>
      </c>
      <c r="B8" s="83"/>
      <c r="C8" s="83"/>
      <c r="D8" s="83"/>
      <c r="E8" s="116" t="s">
        <v>182</v>
      </c>
      <c r="F8" s="116"/>
      <c r="G8" s="116"/>
      <c r="H8" s="116"/>
    </row>
    <row r="9" spans="1:8" x14ac:dyDescent="0.25">
      <c r="A9" s="83" t="s">
        <v>179</v>
      </c>
      <c r="B9" s="83"/>
      <c r="C9" s="83"/>
      <c r="D9" s="83"/>
      <c r="E9" s="83">
        <v>9881136464</v>
      </c>
      <c r="F9" s="83"/>
      <c r="G9" s="83"/>
      <c r="H9" s="83"/>
    </row>
    <row r="10" spans="1:8" hidden="1" x14ac:dyDescent="0.25">
      <c r="A10" s="83" t="s">
        <v>180</v>
      </c>
      <c r="B10" s="83"/>
      <c r="C10" s="83"/>
      <c r="D10" s="83"/>
      <c r="E10" s="83"/>
      <c r="F10" s="83"/>
      <c r="G10" s="83"/>
      <c r="H10" s="83"/>
    </row>
    <row r="11" spans="1:8" x14ac:dyDescent="0.25">
      <c r="A11" s="83" t="s">
        <v>7</v>
      </c>
      <c r="B11" s="83"/>
      <c r="C11" s="83"/>
      <c r="D11" s="83"/>
      <c r="E11" s="83" t="s">
        <v>184</v>
      </c>
      <c r="F11" s="83"/>
      <c r="G11" s="83"/>
      <c r="H11" s="83"/>
    </row>
    <row r="12" spans="1:8" x14ac:dyDescent="0.25">
      <c r="A12" s="61" t="s">
        <v>8</v>
      </c>
      <c r="B12" s="61"/>
      <c r="C12" s="61"/>
      <c r="D12" s="61"/>
      <c r="E12" s="82" t="s">
        <v>217</v>
      </c>
      <c r="F12" s="82"/>
      <c r="G12" s="82"/>
      <c r="H12" s="82"/>
    </row>
    <row r="13" spans="1:8" x14ac:dyDescent="0.25">
      <c r="A13" s="61" t="s">
        <v>9</v>
      </c>
      <c r="B13" s="61"/>
      <c r="C13" s="61"/>
      <c r="D13" s="61"/>
      <c r="E13" s="82" t="s">
        <v>181</v>
      </c>
      <c r="F13" s="83"/>
      <c r="G13" s="83"/>
      <c r="H13" s="83"/>
    </row>
    <row r="14" spans="1:8" ht="48.75" customHeight="1" x14ac:dyDescent="0.25">
      <c r="A14" s="88" t="s">
        <v>10</v>
      </c>
      <c r="B14" s="88"/>
      <c r="C14" s="8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Navsarthak Co-op Hsg Soc Ltd, Gut No.53, Plot No.3/P, CTS No.9170, near Namaskar Chsl, Royal Park Road, Shiv Shakti Nagar, Morivali, Ambarnath (West), Ambarnath, Thane - 421501.</v>
      </c>
      <c r="D14" s="88"/>
      <c r="E14" s="88"/>
      <c r="F14" s="88"/>
      <c r="G14" s="88"/>
      <c r="H14" s="88"/>
    </row>
    <row r="15" spans="1:8" x14ac:dyDescent="0.25">
      <c r="A15" s="82" t="s">
        <v>185</v>
      </c>
      <c r="B15" s="82"/>
      <c r="C15" s="82" t="s">
        <v>186</v>
      </c>
      <c r="D15" s="82"/>
      <c r="E15" s="82"/>
      <c r="F15" s="82"/>
      <c r="G15" s="82"/>
      <c r="H15" s="82"/>
    </row>
    <row r="16" spans="1:8" ht="15.75" customHeight="1" x14ac:dyDescent="0.25">
      <c r="A16" s="82" t="s">
        <v>174</v>
      </c>
      <c r="B16" s="82"/>
      <c r="C16" s="82" t="s">
        <v>187</v>
      </c>
      <c r="D16" s="82"/>
      <c r="E16" s="82"/>
      <c r="F16" s="82"/>
      <c r="G16" s="82"/>
      <c r="H16" s="82"/>
    </row>
    <row r="17" spans="1:8" ht="15.75" customHeight="1" x14ac:dyDescent="0.25">
      <c r="A17" s="88" t="s">
        <v>11</v>
      </c>
      <c r="B17" s="88"/>
      <c r="C17" s="83" t="s">
        <v>188</v>
      </c>
      <c r="D17" s="83"/>
      <c r="E17" s="88" t="s">
        <v>75</v>
      </c>
      <c r="F17" s="88"/>
      <c r="G17" s="82" t="s">
        <v>189</v>
      </c>
      <c r="H17" s="82"/>
    </row>
    <row r="18" spans="1:8" x14ac:dyDescent="0.25">
      <c r="A18" s="61" t="s">
        <v>13</v>
      </c>
      <c r="B18" s="61"/>
      <c r="C18" s="82" t="s">
        <v>219</v>
      </c>
      <c r="D18" s="82"/>
      <c r="E18" s="88" t="s">
        <v>12</v>
      </c>
      <c r="F18" s="88"/>
      <c r="G18" s="118" t="s">
        <v>190</v>
      </c>
      <c r="H18" s="118"/>
    </row>
    <row r="19" spans="1:8" x14ac:dyDescent="0.25">
      <c r="A19" s="61" t="s">
        <v>76</v>
      </c>
      <c r="B19" s="61"/>
      <c r="C19" s="82" t="s">
        <v>191</v>
      </c>
      <c r="D19" s="82"/>
      <c r="E19" s="88" t="s">
        <v>14</v>
      </c>
      <c r="F19" s="88"/>
      <c r="G19" s="82">
        <v>421501</v>
      </c>
      <c r="H19" s="82"/>
    </row>
    <row r="20" spans="1:8" ht="32.25" customHeight="1" x14ac:dyDescent="0.25">
      <c r="A20" s="61" t="s">
        <v>129</v>
      </c>
      <c r="B20" s="61"/>
      <c r="C20" s="82" t="s">
        <v>192</v>
      </c>
      <c r="D20" s="82"/>
      <c r="E20" s="88" t="s">
        <v>15</v>
      </c>
      <c r="F20" s="88"/>
      <c r="G20" s="82" t="s">
        <v>194</v>
      </c>
      <c r="H20" s="82"/>
    </row>
    <row r="21" spans="1:8" ht="15" customHeight="1" x14ac:dyDescent="0.25">
      <c r="A21" s="88" t="s">
        <v>79</v>
      </c>
      <c r="B21" s="88"/>
      <c r="C21" s="88"/>
      <c r="D21" s="88"/>
      <c r="E21" s="83" t="s">
        <v>16</v>
      </c>
      <c r="F21" s="83"/>
      <c r="G21" s="83"/>
      <c r="H21" s="83"/>
    </row>
    <row r="22" spans="1:8" ht="18.75" customHeight="1" x14ac:dyDescent="0.25">
      <c r="A22" s="88"/>
      <c r="B22" s="88"/>
      <c r="C22" s="88"/>
      <c r="D22" s="88"/>
      <c r="E22" s="83"/>
      <c r="F22" s="83"/>
      <c r="G22" s="83"/>
      <c r="H22" s="83"/>
    </row>
    <row r="23" spans="1:8" ht="15" customHeight="1" x14ac:dyDescent="0.25">
      <c r="A23" s="88" t="s">
        <v>17</v>
      </c>
      <c r="B23" s="88"/>
      <c r="C23" s="88"/>
      <c r="D23" s="88"/>
      <c r="E23" s="82" t="s">
        <v>18</v>
      </c>
      <c r="F23" s="82"/>
      <c r="G23" s="82"/>
      <c r="H23" s="82"/>
    </row>
    <row r="24" spans="1:8" ht="15" customHeight="1" x14ac:dyDescent="0.25">
      <c r="A24" s="61" t="s">
        <v>19</v>
      </c>
      <c r="B24" s="61"/>
      <c r="C24" s="61"/>
      <c r="D24" s="61"/>
      <c r="E24" s="82" t="str">
        <f>IF(AND(G18="Mumbai"),"Upper Class","Middle Class")</f>
        <v>Middle Class</v>
      </c>
      <c r="F24" s="82"/>
      <c r="G24" s="82"/>
      <c r="H24" s="82"/>
    </row>
    <row r="25" spans="1:8" x14ac:dyDescent="0.25">
      <c r="A25" s="61" t="s">
        <v>20</v>
      </c>
      <c r="B25" s="61"/>
      <c r="C25" s="61"/>
      <c r="D25" s="61"/>
      <c r="E25" s="82" t="s">
        <v>21</v>
      </c>
      <c r="F25" s="82"/>
      <c r="G25" s="82"/>
      <c r="H25" s="82"/>
    </row>
    <row r="26" spans="1:8" ht="15.75" customHeight="1" x14ac:dyDescent="0.25">
      <c r="A26" s="61" t="s">
        <v>22</v>
      </c>
      <c r="B26" s="61"/>
      <c r="C26" s="61"/>
      <c r="D26" s="61"/>
      <c r="E26" s="82" t="str">
        <f>IF(AND(G18="Mumbai"),"Developed","Developing")</f>
        <v>Developing</v>
      </c>
      <c r="F26" s="82"/>
      <c r="G26" s="82"/>
      <c r="H26" s="82"/>
    </row>
    <row r="27" spans="1:8" x14ac:dyDescent="0.25">
      <c r="A27" s="61" t="s">
        <v>23</v>
      </c>
      <c r="B27" s="61"/>
      <c r="C27" s="61"/>
      <c r="D27" s="61"/>
      <c r="E27" s="82" t="s">
        <v>24</v>
      </c>
      <c r="F27" s="82"/>
      <c r="G27" s="82"/>
      <c r="H27" s="82"/>
    </row>
    <row r="28" spans="1:8" ht="15.75" customHeight="1" x14ac:dyDescent="0.25">
      <c r="A28" s="61" t="s">
        <v>84</v>
      </c>
      <c r="B28" s="61"/>
      <c r="C28" s="61"/>
      <c r="D28" s="61"/>
      <c r="E28" s="82" t="s">
        <v>85</v>
      </c>
      <c r="F28" s="82"/>
      <c r="G28" s="82"/>
      <c r="H28" s="82"/>
    </row>
    <row r="29" spans="1:8" ht="15" customHeight="1" x14ac:dyDescent="0.25">
      <c r="A29" s="61" t="s">
        <v>33</v>
      </c>
      <c r="B29" s="61"/>
      <c r="C29" s="61"/>
      <c r="D29" s="61"/>
      <c r="E29" s="8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82"/>
      <c r="G29" s="82"/>
      <c r="H29" s="82"/>
    </row>
    <row r="30" spans="1:8" ht="15.75" customHeight="1" x14ac:dyDescent="0.25">
      <c r="A30" s="61" t="s">
        <v>96</v>
      </c>
      <c r="B30" s="61"/>
      <c r="C30" s="61"/>
      <c r="D30" s="61"/>
      <c r="E30" s="82" t="s">
        <v>34</v>
      </c>
      <c r="F30" s="82"/>
      <c r="G30" s="82"/>
      <c r="H30" s="82"/>
    </row>
    <row r="31" spans="1:8" s="21" customFormat="1" x14ac:dyDescent="0.25">
      <c r="A31" s="122" t="s">
        <v>97</v>
      </c>
      <c r="B31" s="122"/>
      <c r="C31" s="121" t="s">
        <v>29</v>
      </c>
      <c r="D31" s="121"/>
      <c r="E31" s="121"/>
      <c r="F31" s="121" t="s">
        <v>31</v>
      </c>
      <c r="G31" s="121"/>
      <c r="H31" s="121"/>
    </row>
    <row r="32" spans="1:8" s="21" customFormat="1" x14ac:dyDescent="0.25">
      <c r="A32" s="119" t="s">
        <v>25</v>
      </c>
      <c r="B32" s="119" t="s">
        <v>30</v>
      </c>
      <c r="C32" s="120" t="s">
        <v>30</v>
      </c>
      <c r="D32" s="120"/>
      <c r="E32" s="120"/>
      <c r="F32" s="120" t="s">
        <v>188</v>
      </c>
      <c r="G32" s="120"/>
      <c r="H32" s="120"/>
    </row>
    <row r="33" spans="1:8" x14ac:dyDescent="0.25">
      <c r="A33" s="119" t="s">
        <v>26</v>
      </c>
      <c r="B33" s="119" t="s">
        <v>30</v>
      </c>
      <c r="C33" s="120" t="s">
        <v>30</v>
      </c>
      <c r="D33" s="120"/>
      <c r="E33" s="120"/>
      <c r="F33" s="120" t="s">
        <v>197</v>
      </c>
      <c r="G33" s="120"/>
      <c r="H33" s="120"/>
    </row>
    <row r="34" spans="1:8" s="21" customFormat="1" x14ac:dyDescent="0.25">
      <c r="A34" s="119" t="s">
        <v>28</v>
      </c>
      <c r="B34" s="119" t="s">
        <v>30</v>
      </c>
      <c r="C34" s="120" t="s">
        <v>30</v>
      </c>
      <c r="D34" s="120"/>
      <c r="E34" s="120"/>
      <c r="F34" s="120" t="s">
        <v>195</v>
      </c>
      <c r="G34" s="120"/>
      <c r="H34" s="120"/>
    </row>
    <row r="35" spans="1:8" x14ac:dyDescent="0.25">
      <c r="A35" s="119" t="s">
        <v>27</v>
      </c>
      <c r="B35" s="119" t="s">
        <v>30</v>
      </c>
      <c r="C35" s="120" t="s">
        <v>30</v>
      </c>
      <c r="D35" s="120"/>
      <c r="E35" s="120"/>
      <c r="F35" s="120" t="s">
        <v>196</v>
      </c>
      <c r="G35" s="120"/>
      <c r="H35" s="120"/>
    </row>
    <row r="36" spans="1:8" x14ac:dyDescent="0.25">
      <c r="A36" s="61" t="s">
        <v>32</v>
      </c>
      <c r="B36" s="61"/>
      <c r="C36" s="61"/>
      <c r="D36" s="61"/>
      <c r="E36" s="61"/>
      <c r="F36" s="61"/>
      <c r="G36" s="61"/>
      <c r="H36" s="61"/>
    </row>
    <row r="37" spans="1:8" ht="15.75" customHeight="1" x14ac:dyDescent="0.25">
      <c r="A37" s="103" t="s">
        <v>177</v>
      </c>
      <c r="B37" s="103"/>
      <c r="C37" s="61" t="s">
        <v>223</v>
      </c>
      <c r="D37" s="61"/>
      <c r="E37" s="61"/>
      <c r="F37" s="61"/>
      <c r="G37" s="61"/>
      <c r="H37" s="61"/>
    </row>
    <row r="38" spans="1:8" x14ac:dyDescent="0.25">
      <c r="A38" s="103" t="s">
        <v>173</v>
      </c>
      <c r="B38" s="103"/>
      <c r="C38" s="164" t="s">
        <v>193</v>
      </c>
      <c r="D38" s="82"/>
      <c r="E38" s="82"/>
      <c r="F38" s="82"/>
      <c r="G38" s="82"/>
      <c r="H38" s="82"/>
    </row>
    <row r="39" spans="1:8" x14ac:dyDescent="0.25">
      <c r="A39" s="103" t="s">
        <v>35</v>
      </c>
      <c r="B39" s="103"/>
      <c r="C39" s="103"/>
      <c r="D39" s="103"/>
      <c r="E39" s="103"/>
      <c r="F39" s="103"/>
      <c r="G39" s="103"/>
      <c r="H39" s="103"/>
    </row>
    <row r="40" spans="1:8" x14ac:dyDescent="0.25">
      <c r="A40" s="61" t="s">
        <v>36</v>
      </c>
      <c r="B40" s="61"/>
      <c r="C40" s="61"/>
      <c r="D40" s="61"/>
      <c r="E40" s="123">
        <v>556</v>
      </c>
      <c r="F40" s="123"/>
      <c r="G40" s="123"/>
      <c r="H40" s="123"/>
    </row>
    <row r="41" spans="1:8" x14ac:dyDescent="0.25">
      <c r="A41" s="61" t="s">
        <v>37</v>
      </c>
      <c r="B41" s="61"/>
      <c r="C41" s="61"/>
      <c r="D41" s="61"/>
      <c r="E41" s="60">
        <v>1.1000000000000001</v>
      </c>
      <c r="F41" s="60"/>
      <c r="G41" s="60"/>
      <c r="H41" s="60"/>
    </row>
    <row r="42" spans="1:8" x14ac:dyDescent="0.25">
      <c r="A42" s="61" t="s">
        <v>38</v>
      </c>
      <c r="B42" s="61"/>
      <c r="C42" s="61"/>
      <c r="D42" s="61"/>
      <c r="E42" s="60">
        <f>E44/E40-E41</f>
        <v>2.6676798561151078</v>
      </c>
      <c r="F42" s="60"/>
      <c r="G42" s="60"/>
      <c r="H42" s="60"/>
    </row>
    <row r="43" spans="1:8" x14ac:dyDescent="0.25">
      <c r="A43" s="61" t="s">
        <v>39</v>
      </c>
      <c r="B43" s="61"/>
      <c r="C43" s="61"/>
      <c r="D43" s="61"/>
      <c r="E43" s="60">
        <f>E41+E42</f>
        <v>3.7676798561151079</v>
      </c>
      <c r="F43" s="60"/>
      <c r="G43" s="60"/>
      <c r="H43" s="60"/>
    </row>
    <row r="44" spans="1:8" x14ac:dyDescent="0.25">
      <c r="A44" s="61" t="s">
        <v>95</v>
      </c>
      <c r="B44" s="61"/>
      <c r="C44" s="61"/>
      <c r="D44" s="61"/>
      <c r="E44" s="79">
        <v>2094.83</v>
      </c>
      <c r="F44" s="79"/>
      <c r="G44" s="79"/>
      <c r="H44" s="79"/>
    </row>
    <row r="45" spans="1:8" x14ac:dyDescent="0.25">
      <c r="A45" s="83" t="s">
        <v>40</v>
      </c>
      <c r="B45" s="83"/>
      <c r="C45" s="83"/>
      <c r="D45" s="83"/>
      <c r="E45" s="83" t="s">
        <v>128</v>
      </c>
      <c r="F45" s="83"/>
      <c r="G45" s="83"/>
      <c r="H45" s="83"/>
    </row>
    <row r="46" spans="1:8" x14ac:dyDescent="0.25">
      <c r="A46" s="103" t="s">
        <v>41</v>
      </c>
      <c r="B46" s="103"/>
      <c r="C46" s="103"/>
      <c r="D46" s="103"/>
      <c r="E46" s="103"/>
      <c r="F46" s="103"/>
      <c r="G46" s="103"/>
      <c r="H46" s="103"/>
    </row>
    <row r="47" spans="1:8" ht="33.75" customHeight="1" x14ac:dyDescent="0.25">
      <c r="A47" s="74" t="s">
        <v>160</v>
      </c>
      <c r="B47" s="76"/>
      <c r="C47" s="165" t="s">
        <v>198</v>
      </c>
      <c r="D47" s="166"/>
      <c r="E47" s="166"/>
      <c r="F47" s="166"/>
      <c r="G47" s="166"/>
      <c r="H47" s="167"/>
    </row>
    <row r="48" spans="1:8" ht="15.75" customHeight="1" x14ac:dyDescent="0.25">
      <c r="A48" s="74" t="s">
        <v>42</v>
      </c>
      <c r="B48" s="76"/>
      <c r="C48" s="74" t="s">
        <v>220</v>
      </c>
      <c r="D48" s="75"/>
      <c r="E48" s="76"/>
      <c r="F48" s="17" t="s">
        <v>43</v>
      </c>
      <c r="G48" s="77">
        <v>44649</v>
      </c>
      <c r="H48" s="76"/>
    </row>
    <row r="49" spans="1:14" x14ac:dyDescent="0.25">
      <c r="A49" s="74" t="s">
        <v>44</v>
      </c>
      <c r="B49" s="76"/>
      <c r="C49" s="74" t="str">
        <f>C48</f>
        <v>ANP/NRV/BP/21-22/1470/9277/153</v>
      </c>
      <c r="D49" s="75"/>
      <c r="E49" s="76"/>
      <c r="F49" s="17" t="s">
        <v>43</v>
      </c>
      <c r="G49" s="77">
        <f>G48</f>
        <v>44649</v>
      </c>
      <c r="H49" s="78"/>
    </row>
    <row r="50" spans="1:14" s="22" customFormat="1" ht="15.75" customHeight="1" x14ac:dyDescent="0.25">
      <c r="A50" s="128" t="s">
        <v>164</v>
      </c>
      <c r="B50" s="129"/>
      <c r="C50" s="74" t="str">
        <f>C49</f>
        <v>ANP/NRV/BP/21-22/1470/9277/153</v>
      </c>
      <c r="D50" s="75"/>
      <c r="E50" s="76"/>
      <c r="F50" s="17" t="s">
        <v>43</v>
      </c>
      <c r="G50" s="77">
        <f>G49</f>
        <v>44649</v>
      </c>
      <c r="H50" s="78"/>
    </row>
    <row r="51" spans="1:14" s="22" customFormat="1" x14ac:dyDescent="0.25">
      <c r="A51" s="130"/>
      <c r="B51" s="131"/>
      <c r="C51" s="74" t="s">
        <v>199</v>
      </c>
      <c r="D51" s="75"/>
      <c r="E51" s="75"/>
      <c r="F51" s="75"/>
      <c r="G51" s="75"/>
      <c r="H51" s="76"/>
    </row>
    <row r="52" spans="1:14" x14ac:dyDescent="0.25">
      <c r="A52" s="84" t="s">
        <v>45</v>
      </c>
      <c r="B52" s="85"/>
      <c r="C52" s="84" t="s">
        <v>109</v>
      </c>
      <c r="D52" s="86"/>
      <c r="E52" s="85"/>
      <c r="F52" s="45" t="s">
        <v>43</v>
      </c>
      <c r="G52" s="89" t="s">
        <v>30</v>
      </c>
      <c r="H52" s="90"/>
    </row>
    <row r="53" spans="1:14" x14ac:dyDescent="0.25">
      <c r="A53" s="87" t="s">
        <v>47</v>
      </c>
      <c r="B53" s="87"/>
      <c r="C53" s="87"/>
      <c r="D53" s="87"/>
      <c r="E53" s="87"/>
      <c r="F53" s="87"/>
      <c r="G53" s="87"/>
      <c r="H53" s="87"/>
    </row>
    <row r="54" spans="1:14" x14ac:dyDescent="0.25">
      <c r="A54" s="88" t="s">
        <v>94</v>
      </c>
      <c r="B54" s="88"/>
      <c r="C54" s="88"/>
      <c r="D54" s="79">
        <f>E44</f>
        <v>2094.83</v>
      </c>
      <c r="E54" s="61"/>
      <c r="F54" s="61"/>
      <c r="G54" s="61"/>
      <c r="H54" s="61"/>
    </row>
    <row r="55" spans="1:14" x14ac:dyDescent="0.25">
      <c r="A55" s="82" t="s">
        <v>48</v>
      </c>
      <c r="B55" s="83"/>
      <c r="C55" s="83"/>
      <c r="D55" s="83" t="s">
        <v>210</v>
      </c>
      <c r="E55" s="83"/>
      <c r="F55" s="83"/>
      <c r="G55" s="83"/>
      <c r="H55" s="83"/>
      <c r="I55" s="23"/>
    </row>
    <row r="56" spans="1:14" x14ac:dyDescent="0.25">
      <c r="A56" s="80" t="s">
        <v>49</v>
      </c>
      <c r="B56" s="81"/>
      <c r="C56" s="127"/>
      <c r="D56" s="125" t="s">
        <v>199</v>
      </c>
      <c r="E56" s="126"/>
      <c r="F56" s="126"/>
      <c r="G56" s="126"/>
      <c r="H56" s="126"/>
    </row>
    <row r="57" spans="1:14" ht="15.75" customHeight="1" x14ac:dyDescent="0.25">
      <c r="A57" s="80" t="s">
        <v>92</v>
      </c>
      <c r="B57" s="81"/>
      <c r="C57" s="81"/>
      <c r="D57" s="82" t="s">
        <v>199</v>
      </c>
      <c r="E57" s="83"/>
      <c r="F57" s="83"/>
      <c r="G57" s="83"/>
      <c r="H57" s="83"/>
    </row>
    <row r="58" spans="1:14" ht="15.75" customHeight="1" x14ac:dyDescent="0.25">
      <c r="A58" s="61" t="s">
        <v>46</v>
      </c>
      <c r="B58" s="61"/>
      <c r="C58" s="61"/>
      <c r="D58" s="124" t="s">
        <v>224</v>
      </c>
      <c r="E58" s="124"/>
      <c r="F58" s="124"/>
      <c r="G58" s="124"/>
      <c r="H58" s="124"/>
      <c r="J58" s="24"/>
      <c r="K58" s="23"/>
      <c r="N58" s="23"/>
    </row>
    <row r="59" spans="1:14" ht="15.75" customHeight="1" x14ac:dyDescent="0.25">
      <c r="A59" s="61" t="s">
        <v>90</v>
      </c>
      <c r="B59" s="61"/>
      <c r="C59" s="61"/>
      <c r="D59" s="143" t="str">
        <f>(IF(G52="NA","60 Years After Completion",IF(G52&lt;&gt;"NA",""&amp;60-ROUNDDOWN((E3-G52)/360,0)&amp;" Years"," ")))</f>
        <v>60 Years After Completion</v>
      </c>
      <c r="E59" s="143"/>
      <c r="F59" s="143"/>
      <c r="G59" s="143"/>
      <c r="H59" s="143"/>
      <c r="N59" s="23"/>
    </row>
    <row r="60" spans="1:14" ht="15.75" customHeight="1" x14ac:dyDescent="0.25">
      <c r="A60" s="61" t="s">
        <v>91</v>
      </c>
      <c r="B60" s="61"/>
      <c r="C60" s="61"/>
      <c r="D60" s="82" t="s">
        <v>24</v>
      </c>
      <c r="E60" s="82"/>
      <c r="F60" s="82"/>
      <c r="G60" s="82"/>
      <c r="H60" s="82"/>
      <c r="J60" s="25"/>
      <c r="K60" s="25"/>
    </row>
    <row r="61" spans="1:14" x14ac:dyDescent="0.25">
      <c r="A61" s="61" t="s">
        <v>77</v>
      </c>
      <c r="B61" s="61"/>
      <c r="C61" s="61"/>
      <c r="D61" s="82" t="s">
        <v>212</v>
      </c>
      <c r="E61" s="82"/>
      <c r="F61" s="82"/>
      <c r="G61" s="82"/>
      <c r="H61" s="82"/>
    </row>
    <row r="62" spans="1:14" x14ac:dyDescent="0.25">
      <c r="A62" s="88" t="s">
        <v>157</v>
      </c>
      <c r="B62" s="88"/>
      <c r="C62" s="88"/>
      <c r="D62" s="82" t="s">
        <v>30</v>
      </c>
      <c r="E62" s="82"/>
      <c r="F62" s="82"/>
      <c r="G62" s="82"/>
      <c r="H62" s="82"/>
      <c r="I62" s="26"/>
      <c r="J62" s="26"/>
      <c r="K62" s="26"/>
      <c r="L62" s="26"/>
      <c r="M62" s="26"/>
      <c r="N62" s="26"/>
    </row>
    <row r="63" spans="1:14" ht="15.75" customHeight="1" x14ac:dyDescent="0.25">
      <c r="A63" s="171" t="s">
        <v>89</v>
      </c>
      <c r="B63" s="171"/>
      <c r="C63" s="171"/>
      <c r="D63" s="125" t="str">
        <f ca="1">(IF(G69&gt;95%,"Nothing",IF(G69&gt;0%,"Cement, Aggregate, Steel, etc",IF(G69=0%,"Work not yet Started"))))</f>
        <v>Cement, Aggregate, Steel, etc</v>
      </c>
      <c r="E63" s="125"/>
      <c r="F63" s="125"/>
      <c r="G63" s="125"/>
      <c r="H63" s="125"/>
      <c r="J63" s="25"/>
    </row>
    <row r="64" spans="1:14" ht="33.75" customHeight="1" thickBot="1" x14ac:dyDescent="0.3">
      <c r="A64" s="170" t="s">
        <v>122</v>
      </c>
      <c r="B64" s="170"/>
      <c r="C64" s="170"/>
      <c r="D64" s="125" t="str">
        <f ca="1">(IF(D63="Nothing","Yes",IF(D63="Cement, Aggregate, Steel, etc","Under Construction",IF(D63="Work not yet Started","Work not yet Started"))))</f>
        <v>Under Construction</v>
      </c>
      <c r="E64" s="125"/>
      <c r="F64" s="125" t="str">
        <f ca="1">(IF(D63="Nothing","Yes",IF(D63="Cement, Aggregate, Steel, etc","Under Construction",IF(D63="Work not yet Started","Work not yet Started"))))</f>
        <v>Under Construction</v>
      </c>
      <c r="G64" s="125"/>
      <c r="H64" s="125"/>
    </row>
    <row r="65" spans="1:13" ht="15.75" customHeight="1" x14ac:dyDescent="0.25">
      <c r="A65" s="145" t="s">
        <v>147</v>
      </c>
      <c r="B65" s="146"/>
      <c r="C65" s="147" t="str">
        <f>D57</f>
        <v>1B + Gr + 1st to 7th Floor</v>
      </c>
      <c r="D65" s="148"/>
      <c r="E65" s="148"/>
      <c r="F65" s="148"/>
      <c r="G65" s="148"/>
      <c r="H65" s="149"/>
      <c r="I65" s="47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 Completed, External Plaster upto 4 Floor Completed</v>
      </c>
      <c r="J65" s="48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External Plaster upto 4 Floor</v>
      </c>
    </row>
    <row r="66" spans="1:13" x14ac:dyDescent="0.25">
      <c r="A66" s="15" t="s">
        <v>149</v>
      </c>
      <c r="B66" s="53">
        <f>IF(AND(ISNUMBER(SEARCH("1B",C65))),1,IF(AND(ISNUMBER(SEARCH("2B",C65))),2,IF(AND(ISNUMBER(SEARCH("3B",C65))),3,IF(AND(ISNUMBER(SEARCH("4B",C65))),4,IF(ISNUMBER(SEARCH("5B",C65)),5,0)))))</f>
        <v>1</v>
      </c>
      <c r="C66" s="53" t="s">
        <v>74</v>
      </c>
      <c r="D66" s="53">
        <v>1</v>
      </c>
      <c r="E66" s="53" t="s">
        <v>73</v>
      </c>
      <c r="F66" s="53">
        <v>0</v>
      </c>
      <c r="G66" s="53" t="s">
        <v>83</v>
      </c>
      <c r="H66" s="16">
        <f ca="1">--TRIM(RIGHT(SUBSTITUTE(LEFT(C65,_xlfn.AGGREGATE(16,6,FIND({0,1,2,3,4,5,6,7,8,9},C65,ROW(INDIRECT("1:"&amp;LEN(C65)))),1))," ",REPT(" ",LEN(C65))),LEN(C65)))</f>
        <v>7</v>
      </c>
      <c r="I66" s="49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</v>
      </c>
      <c r="J66" s="50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3" ht="31.5" customHeight="1" x14ac:dyDescent="0.25">
      <c r="A67" s="144" t="s">
        <v>93</v>
      </c>
      <c r="B67" s="116"/>
      <c r="C67" s="168" t="str">
        <f ca="1">I65</f>
        <v>Excavation, Plinth, RCC Slab, Brickwork, Internal Plaster Completed, External Plaster upto 4 Floor Completed</v>
      </c>
      <c r="D67" s="168"/>
      <c r="E67" s="168"/>
      <c r="F67" s="168"/>
      <c r="G67" s="168"/>
      <c r="H67" s="169"/>
      <c r="I67" s="49" t="str">
        <f ca="1">IF(I66&lt;&gt;""," Completed","")</f>
        <v xml:space="preserve"> Completed</v>
      </c>
      <c r="J67" s="50" t="str">
        <f ca="1">IF(J65&lt;&gt;"","Completed","")</f>
        <v>Completed</v>
      </c>
    </row>
    <row r="68" spans="1:13" ht="15.75" customHeight="1" x14ac:dyDescent="0.25">
      <c r="A68" s="69" t="s">
        <v>50</v>
      </c>
      <c r="B68" s="70"/>
      <c r="C68" s="43" t="s">
        <v>146</v>
      </c>
      <c r="D68" s="43" t="s">
        <v>86</v>
      </c>
      <c r="E68" s="70" t="s">
        <v>88</v>
      </c>
      <c r="F68" s="70"/>
      <c r="G68" s="70" t="s">
        <v>87</v>
      </c>
      <c r="H68" s="172"/>
      <c r="I68" s="13" t="s">
        <v>148</v>
      </c>
      <c r="J68" s="27">
        <f ca="1">H66*25%</f>
        <v>1.75</v>
      </c>
    </row>
    <row r="69" spans="1:13" x14ac:dyDescent="0.25">
      <c r="A69" s="69" t="s">
        <v>135</v>
      </c>
      <c r="B69" s="70"/>
      <c r="C69" s="43">
        <f ca="1">J70</f>
        <v>7</v>
      </c>
      <c r="D69" s="18">
        <f ca="1">((100/H66)*C69)/100</f>
        <v>1</v>
      </c>
      <c r="E69" s="132">
        <f ca="1">(((C70/H66*10)+(40/(D66+F66+H66)*C71)+(7.5/(H66)*C72)+(7.5/(H66)*C73)+(10/H66*C74)+(10/H66*C75)+(5/H66*C76)+(5/H66*C77)+(5/H66*C78))/100)</f>
        <v>0.70714285714285707</v>
      </c>
      <c r="F69" s="133"/>
      <c r="G69" s="132">
        <f ca="1">((((C69/H66)*20)+((C70/H66)*25)+(30/(H66+F66+D66)*C71)+(5/H66*C72)+(5/H66*C73)+(5/H66*C74)+(5/H66*C75)+(0/H66*C76)+(0/H66*C77)+(5/H66*C78))/100)</f>
        <v>0.87857142857142856</v>
      </c>
      <c r="H69" s="138"/>
      <c r="I69" s="13" t="s">
        <v>104</v>
      </c>
      <c r="J69" s="28">
        <f ca="1">H66*50%</f>
        <v>3.5</v>
      </c>
    </row>
    <row r="70" spans="1:13" x14ac:dyDescent="0.25">
      <c r="A70" s="69" t="s">
        <v>51</v>
      </c>
      <c r="B70" s="70"/>
      <c r="C70" s="43">
        <f ca="1">J78</f>
        <v>7</v>
      </c>
      <c r="D70" s="18">
        <f ca="1">((100/H66)*C70)/100</f>
        <v>1</v>
      </c>
      <c r="E70" s="134"/>
      <c r="F70" s="135"/>
      <c r="G70" s="134"/>
      <c r="H70" s="139"/>
      <c r="I70" s="13" t="s">
        <v>105</v>
      </c>
      <c r="J70" s="28">
        <f ca="1">H66</f>
        <v>7</v>
      </c>
    </row>
    <row r="71" spans="1:13" ht="15.75" customHeight="1" x14ac:dyDescent="0.25">
      <c r="A71" s="69" t="s">
        <v>136</v>
      </c>
      <c r="B71" s="70"/>
      <c r="C71" s="43">
        <v>8</v>
      </c>
      <c r="D71" s="18">
        <f ca="1">((100/(D66+F66+H66))*C71)/100</f>
        <v>1</v>
      </c>
      <c r="E71" s="134"/>
      <c r="F71" s="135"/>
      <c r="G71" s="134"/>
      <c r="H71" s="139"/>
      <c r="I71" s="13" t="s">
        <v>106</v>
      </c>
      <c r="J71" s="29">
        <f ca="1">(IF(B66&gt;1,(H66/(B66+2)),H66/4))</f>
        <v>1.75</v>
      </c>
    </row>
    <row r="72" spans="1:13" ht="15.75" customHeight="1" x14ac:dyDescent="0.25">
      <c r="A72" s="69" t="s">
        <v>143</v>
      </c>
      <c r="B72" s="70" t="s">
        <v>137</v>
      </c>
      <c r="C72" s="43">
        <v>7</v>
      </c>
      <c r="D72" s="18">
        <f ca="1">((100/H66)*C72)/100</f>
        <v>1</v>
      </c>
      <c r="E72" s="134"/>
      <c r="F72" s="135"/>
      <c r="G72" s="134"/>
      <c r="H72" s="139"/>
      <c r="I72" s="13" t="s">
        <v>107</v>
      </c>
      <c r="J72" s="29">
        <f ca="1">(IF(B66&gt;1,(H66/(B66+2)+J71),H66/4+J71))</f>
        <v>3.5</v>
      </c>
    </row>
    <row r="73" spans="1:13" ht="15.75" customHeight="1" x14ac:dyDescent="0.25">
      <c r="A73" s="69" t="s">
        <v>144</v>
      </c>
      <c r="B73" s="70" t="s">
        <v>137</v>
      </c>
      <c r="C73" s="43">
        <v>7</v>
      </c>
      <c r="D73" s="18">
        <f ca="1">((100/H66)*C73)/100</f>
        <v>1</v>
      </c>
      <c r="E73" s="134"/>
      <c r="F73" s="135"/>
      <c r="G73" s="134"/>
      <c r="H73" s="139"/>
      <c r="I73" s="13" t="s">
        <v>155</v>
      </c>
      <c r="J73" s="29">
        <f>(IF(B66&gt;1,(H66/(B66+2)+J72),0))</f>
        <v>0</v>
      </c>
    </row>
    <row r="74" spans="1:13" ht="15" customHeight="1" x14ac:dyDescent="0.25">
      <c r="A74" s="189" t="s">
        <v>142</v>
      </c>
      <c r="B74" s="190" t="s">
        <v>139</v>
      </c>
      <c r="C74" s="43">
        <v>4</v>
      </c>
      <c r="D74" s="18">
        <f ca="1">((100/(H66))*C74)/100</f>
        <v>0.57142857142857151</v>
      </c>
      <c r="E74" s="134"/>
      <c r="F74" s="135"/>
      <c r="G74" s="134"/>
      <c r="H74" s="139"/>
      <c r="I74" s="13" t="s">
        <v>150</v>
      </c>
      <c r="J74" s="29">
        <f>(IF(B66&gt;2,(H66/(B66+2)+J73),0))</f>
        <v>0</v>
      </c>
    </row>
    <row r="75" spans="1:13" ht="15.75" customHeight="1" x14ac:dyDescent="0.25">
      <c r="A75" s="69" t="s">
        <v>138</v>
      </c>
      <c r="B75" s="70" t="s">
        <v>138</v>
      </c>
      <c r="C75" s="43">
        <v>0</v>
      </c>
      <c r="D75" s="18">
        <f ca="1">((100/H66)*C75)/100</f>
        <v>0</v>
      </c>
      <c r="E75" s="134"/>
      <c r="F75" s="135"/>
      <c r="G75" s="134"/>
      <c r="H75" s="139"/>
      <c r="I75" s="13" t="s">
        <v>151</v>
      </c>
      <c r="J75" s="30">
        <f>(IF(B66&gt;3,(H66/(B66+2)+J74),0))</f>
        <v>0</v>
      </c>
    </row>
    <row r="76" spans="1:13" ht="15.75" customHeight="1" x14ac:dyDescent="0.25">
      <c r="A76" s="69" t="s">
        <v>145</v>
      </c>
      <c r="B76" s="70"/>
      <c r="C76" s="43">
        <v>0</v>
      </c>
      <c r="D76" s="18">
        <f ca="1">((100/H66)*C76)/100</f>
        <v>0</v>
      </c>
      <c r="E76" s="134"/>
      <c r="F76" s="135"/>
      <c r="G76" s="134"/>
      <c r="H76" s="139"/>
      <c r="I76" s="13" t="s">
        <v>152</v>
      </c>
      <c r="J76" s="29">
        <f>(IF(B66&gt;4,(H66/(B66+2)+J75),0))</f>
        <v>0</v>
      </c>
    </row>
    <row r="77" spans="1:13" ht="15.75" customHeight="1" x14ac:dyDescent="0.25">
      <c r="A77" s="69" t="s">
        <v>140</v>
      </c>
      <c r="B77" s="70" t="s">
        <v>140</v>
      </c>
      <c r="C77" s="43">
        <v>0</v>
      </c>
      <c r="D77" s="18">
        <f ca="1">((100/(H66))*C77)/100</f>
        <v>0</v>
      </c>
      <c r="E77" s="134"/>
      <c r="F77" s="135"/>
      <c r="G77" s="134"/>
      <c r="H77" s="139"/>
      <c r="I77" s="13" t="s">
        <v>156</v>
      </c>
      <c r="J77" s="29">
        <f ca="1">(IF(B66=1,(H66/(B66+3)+J72),IF(B66=0,(H66/4+J72),IF(B66&gt;1,0))))</f>
        <v>5.25</v>
      </c>
    </row>
    <row r="78" spans="1:13" ht="16.5" thickBot="1" x14ac:dyDescent="0.3">
      <c r="A78" s="141" t="s">
        <v>141</v>
      </c>
      <c r="B78" s="142"/>
      <c r="C78" s="44">
        <v>0</v>
      </c>
      <c r="D78" s="19">
        <f ca="1">((100/(H66))*C78)/100</f>
        <v>0</v>
      </c>
      <c r="E78" s="136"/>
      <c r="F78" s="137"/>
      <c r="G78" s="136"/>
      <c r="H78" s="140"/>
      <c r="I78" s="14" t="s">
        <v>108</v>
      </c>
      <c r="J78" s="31">
        <f ca="1">(IF(B66&gt;1.5,(H66/(B66+2)+J72+MAX(0,J73-J72)+MAX(0,J74-J73)+MAX(0,J75-J74)+MAX(0,J76-J75)+MAX(0,J77-J76)),IF(B66=1,(H66/(B66+3)+J77),IF(B66=0,H66/4+J77))))</f>
        <v>7</v>
      </c>
    </row>
    <row r="79" spans="1:13" x14ac:dyDescent="0.25">
      <c r="A79" s="160" t="s">
        <v>166</v>
      </c>
      <c r="B79" s="160"/>
      <c r="C79" s="160"/>
      <c r="D79" s="160"/>
      <c r="E79" s="160"/>
      <c r="F79" s="155" t="s">
        <v>171</v>
      </c>
      <c r="G79" s="155"/>
      <c r="H79" s="155"/>
    </row>
    <row r="80" spans="1:13" x14ac:dyDescent="0.25">
      <c r="A80" s="61" t="s">
        <v>169</v>
      </c>
      <c r="B80" s="61"/>
      <c r="C80" s="61"/>
      <c r="D80" s="61"/>
      <c r="E80" s="61"/>
      <c r="F80" s="71">
        <v>5000</v>
      </c>
      <c r="G80" s="71"/>
      <c r="H80" s="71"/>
      <c r="K80" s="57" t="s">
        <v>213</v>
      </c>
      <c r="L80" s="57" t="s">
        <v>214</v>
      </c>
      <c r="M80" s="57" t="s">
        <v>215</v>
      </c>
    </row>
    <row r="81" spans="1:13" x14ac:dyDescent="0.25">
      <c r="A81" s="61" t="s">
        <v>168</v>
      </c>
      <c r="B81" s="61"/>
      <c r="C81" s="61"/>
      <c r="D81" s="61"/>
      <c r="E81" s="61"/>
      <c r="F81" s="71">
        <v>8500</v>
      </c>
      <c r="G81" s="71"/>
      <c r="H81" s="71"/>
      <c r="K81" s="57">
        <v>4200</v>
      </c>
      <c r="L81" s="57">
        <v>5500</v>
      </c>
      <c r="M81" s="57">
        <v>3900</v>
      </c>
    </row>
    <row r="82" spans="1:13" hidden="1" x14ac:dyDescent="0.25">
      <c r="A82" s="61" t="s">
        <v>170</v>
      </c>
      <c r="B82" s="61"/>
      <c r="C82" s="61"/>
      <c r="D82" s="61"/>
      <c r="E82" s="61"/>
      <c r="F82" s="71"/>
      <c r="G82" s="71"/>
      <c r="H82" s="71"/>
    </row>
    <row r="83" spans="1:13" s="32" customFormat="1" hidden="1" x14ac:dyDescent="0.25">
      <c r="A83" s="61" t="s">
        <v>167</v>
      </c>
      <c r="B83" s="61"/>
      <c r="C83" s="61"/>
      <c r="D83" s="61"/>
      <c r="E83" s="61"/>
      <c r="F83" s="71"/>
      <c r="G83" s="71"/>
      <c r="H83" s="71"/>
    </row>
    <row r="84" spans="1:13" s="32" customFormat="1" hidden="1" x14ac:dyDescent="0.25">
      <c r="A84" s="61" t="s">
        <v>98</v>
      </c>
      <c r="B84" s="61"/>
      <c r="C84" s="61"/>
      <c r="D84" s="61"/>
      <c r="E84" s="61"/>
      <c r="F84" s="71"/>
      <c r="G84" s="71"/>
      <c r="H84" s="71"/>
    </row>
    <row r="85" spans="1:13" s="32" customFormat="1" hidden="1" x14ac:dyDescent="0.25">
      <c r="A85" s="61" t="s">
        <v>99</v>
      </c>
      <c r="B85" s="61"/>
      <c r="C85" s="61"/>
      <c r="D85" s="61"/>
      <c r="E85" s="61"/>
      <c r="F85" s="71"/>
      <c r="G85" s="71"/>
      <c r="H85" s="71"/>
    </row>
    <row r="86" spans="1:13" s="32" customFormat="1" hidden="1" x14ac:dyDescent="0.25">
      <c r="A86" s="61" t="s">
        <v>172</v>
      </c>
      <c r="B86" s="61"/>
      <c r="C86" s="61"/>
      <c r="D86" s="61"/>
      <c r="E86" s="61"/>
      <c r="F86" s="71"/>
      <c r="G86" s="71"/>
      <c r="H86" s="71"/>
    </row>
    <row r="87" spans="1:13" s="32" customFormat="1" hidden="1" x14ac:dyDescent="0.25">
      <c r="A87" s="61" t="s">
        <v>100</v>
      </c>
      <c r="B87" s="61"/>
      <c r="C87" s="61"/>
      <c r="D87" s="61"/>
      <c r="E87" s="61"/>
      <c r="F87" s="71"/>
      <c r="G87" s="71"/>
      <c r="H87" s="71"/>
    </row>
    <row r="88" spans="1:13" s="32" customFormat="1" hidden="1" x14ac:dyDescent="0.25">
      <c r="A88" s="61" t="s">
        <v>101</v>
      </c>
      <c r="B88" s="61"/>
      <c r="C88" s="61"/>
      <c r="D88" s="61"/>
      <c r="E88" s="61"/>
      <c r="F88" s="71"/>
      <c r="G88" s="71"/>
      <c r="H88" s="71"/>
    </row>
    <row r="89" spans="1:13" s="32" customFormat="1" hidden="1" x14ac:dyDescent="0.25">
      <c r="A89" s="61" t="s">
        <v>102</v>
      </c>
      <c r="B89" s="61"/>
      <c r="C89" s="61"/>
      <c r="D89" s="61"/>
      <c r="E89" s="61"/>
      <c r="F89" s="71"/>
      <c r="G89" s="71"/>
      <c r="H89" s="71"/>
    </row>
    <row r="90" spans="1:13" s="32" customFormat="1" hidden="1" x14ac:dyDescent="0.25">
      <c r="A90" s="61" t="s">
        <v>103</v>
      </c>
      <c r="B90" s="61"/>
      <c r="C90" s="61"/>
      <c r="D90" s="61"/>
      <c r="E90" s="61"/>
      <c r="F90" s="71"/>
      <c r="G90" s="71"/>
      <c r="H90" s="71"/>
    </row>
    <row r="91" spans="1:13" x14ac:dyDescent="0.25">
      <c r="A91" s="61" t="s">
        <v>52</v>
      </c>
      <c r="B91" s="61"/>
      <c r="C91" s="61"/>
      <c r="D91" s="61"/>
      <c r="E91" s="61"/>
      <c r="F91" s="71">
        <v>200000</v>
      </c>
      <c r="G91" s="71"/>
      <c r="H91" s="71"/>
    </row>
    <row r="92" spans="1:13" s="33" customFormat="1" x14ac:dyDescent="0.25">
      <c r="A92" s="103" t="s">
        <v>53</v>
      </c>
      <c r="B92" s="103"/>
      <c r="C92" s="103"/>
      <c r="D92" s="103"/>
      <c r="E92" s="103"/>
      <c r="F92" s="71">
        <f>F80*0.8</f>
        <v>4000</v>
      </c>
      <c r="G92" s="71"/>
      <c r="H92" s="71"/>
    </row>
    <row r="93" spans="1:13" s="34" customFormat="1" ht="15.75" customHeight="1" x14ac:dyDescent="0.25">
      <c r="A93" s="102" t="s">
        <v>78</v>
      </c>
      <c r="B93" s="102"/>
      <c r="C93" s="102"/>
      <c r="D93" s="102"/>
      <c r="E93" s="102"/>
      <c r="F93" s="102"/>
      <c r="G93" s="102"/>
      <c r="H93" s="102"/>
    </row>
    <row r="94" spans="1:13" s="34" customFormat="1" ht="15.75" customHeight="1" x14ac:dyDescent="0.25">
      <c r="A94" s="66" t="s">
        <v>54</v>
      </c>
      <c r="B94" s="66"/>
      <c r="C94" s="94" t="s">
        <v>81</v>
      </c>
      <c r="D94" s="94"/>
      <c r="E94" s="106" t="s">
        <v>55</v>
      </c>
      <c r="F94" s="106"/>
      <c r="G94" s="66" t="s">
        <v>56</v>
      </c>
      <c r="H94" s="66"/>
    </row>
    <row r="95" spans="1:13" s="34" customFormat="1" x14ac:dyDescent="0.25">
      <c r="A95" s="105" t="s">
        <v>207</v>
      </c>
      <c r="B95" s="105"/>
      <c r="C95" s="96">
        <f>COUNT(D107:D113)</f>
        <v>7</v>
      </c>
      <c r="D95" s="97"/>
      <c r="E95" s="72">
        <f>SUM(D107:D113)</f>
        <v>1927.7785799999999</v>
      </c>
      <c r="F95" s="73"/>
      <c r="G95" s="72">
        <f>SUM(F107:F113)</f>
        <v>2931</v>
      </c>
      <c r="H95" s="73"/>
    </row>
    <row r="96" spans="1:13" s="34" customFormat="1" x14ac:dyDescent="0.25">
      <c r="A96" s="102" t="s">
        <v>159</v>
      </c>
      <c r="B96" s="102"/>
      <c r="C96" s="153">
        <f>SUM(C95)</f>
        <v>7</v>
      </c>
      <c r="D96" s="94"/>
      <c r="E96" s="154">
        <f>SUM(E95)</f>
        <v>1927.7785799999999</v>
      </c>
      <c r="F96" s="106"/>
      <c r="G96" s="66">
        <f>SUM(G95)</f>
        <v>2931</v>
      </c>
      <c r="H96" s="66"/>
      <c r="L96" s="35">
        <f>4500000/F121</f>
        <v>5968.1697612732096</v>
      </c>
    </row>
    <row r="97" spans="1:14" s="34" customFormat="1" x14ac:dyDescent="0.25">
      <c r="A97" s="102" t="s">
        <v>72</v>
      </c>
      <c r="B97" s="102"/>
      <c r="C97" s="102"/>
      <c r="D97" s="102"/>
      <c r="E97" s="102"/>
      <c r="F97" s="102"/>
      <c r="G97" s="102"/>
      <c r="H97" s="102"/>
    </row>
    <row r="98" spans="1:14" s="34" customFormat="1" ht="15.75" customHeight="1" x14ac:dyDescent="0.25">
      <c r="A98" s="66" t="s">
        <v>54</v>
      </c>
      <c r="B98" s="66"/>
      <c r="C98" s="94" t="s">
        <v>81</v>
      </c>
      <c r="D98" s="94"/>
      <c r="E98" s="106" t="s">
        <v>55</v>
      </c>
      <c r="F98" s="106"/>
      <c r="G98" s="66" t="s">
        <v>56</v>
      </c>
      <c r="H98" s="66"/>
    </row>
    <row r="99" spans="1:14" s="34" customFormat="1" x14ac:dyDescent="0.25">
      <c r="A99" s="105" t="s">
        <v>206</v>
      </c>
      <c r="B99" s="105"/>
      <c r="C99" s="96">
        <f>COUNT(D117)+COUNT(D119:D123)*6+COUNT(D125:D128)</f>
        <v>35</v>
      </c>
      <c r="D99" s="96"/>
      <c r="E99" s="72">
        <f>SUM(D117)+SUM(D119:D123)*6+SUM(D125:D128)</f>
        <v>17089.007129999998</v>
      </c>
      <c r="F99" s="72"/>
      <c r="G99" s="72">
        <f>SUM(F117)+SUM(F119:F123)*6+SUM(F125:F128)</f>
        <v>25002.210490000001</v>
      </c>
      <c r="H99" s="72"/>
    </row>
    <row r="100" spans="1:14" s="34" customFormat="1" ht="16.5" thickBot="1" x14ac:dyDescent="0.3">
      <c r="A100" s="162" t="s">
        <v>159</v>
      </c>
      <c r="B100" s="162"/>
      <c r="C100" s="98">
        <f>SUM(C99)</f>
        <v>35</v>
      </c>
      <c r="D100" s="98"/>
      <c r="E100" s="163">
        <f>SUM(E99)</f>
        <v>17089.007129999998</v>
      </c>
      <c r="F100" s="163"/>
      <c r="G100" s="152">
        <f>SUM(G99)</f>
        <v>25002.210490000001</v>
      </c>
      <c r="H100" s="152"/>
    </row>
    <row r="101" spans="1:14" s="34" customFormat="1" ht="16.5" thickBot="1" x14ac:dyDescent="0.3">
      <c r="A101" s="173" t="s">
        <v>178</v>
      </c>
      <c r="B101" s="174"/>
      <c r="C101" s="156">
        <f>C96+C100</f>
        <v>42</v>
      </c>
      <c r="D101" s="156"/>
      <c r="E101" s="157">
        <f>E96+E100</f>
        <v>19016.785709999996</v>
      </c>
      <c r="F101" s="157"/>
      <c r="G101" s="158">
        <f>G96+G100</f>
        <v>27933.210490000001</v>
      </c>
      <c r="H101" s="159"/>
    </row>
    <row r="102" spans="1:14" s="33" customFormat="1" x14ac:dyDescent="0.25">
      <c r="A102" s="155" t="s">
        <v>57</v>
      </c>
      <c r="B102" s="155"/>
      <c r="C102" s="155"/>
      <c r="D102" s="155"/>
      <c r="E102" s="155"/>
      <c r="F102" s="155"/>
      <c r="G102" s="155"/>
      <c r="H102" s="155"/>
    </row>
    <row r="103" spans="1:14" x14ac:dyDescent="0.25">
      <c r="A103" s="95" t="s">
        <v>58</v>
      </c>
      <c r="B103" s="95"/>
      <c r="C103" s="95"/>
      <c r="D103" s="95"/>
      <c r="E103" s="95"/>
      <c r="F103" s="95"/>
      <c r="G103" s="95"/>
      <c r="H103" s="95"/>
    </row>
    <row r="104" spans="1:14" ht="47.25" customHeight="1" x14ac:dyDescent="0.25">
      <c r="A104" s="42" t="s">
        <v>125</v>
      </c>
      <c r="B104" s="42" t="s">
        <v>124</v>
      </c>
      <c r="C104" s="42" t="s">
        <v>59</v>
      </c>
      <c r="D104" s="42" t="s">
        <v>60</v>
      </c>
      <c r="E104" s="52" t="s">
        <v>165</v>
      </c>
      <c r="F104" s="42" t="s">
        <v>216</v>
      </c>
      <c r="G104" s="67" t="s">
        <v>62</v>
      </c>
      <c r="H104" s="68"/>
    </row>
    <row r="105" spans="1:14" s="36" customFormat="1" x14ac:dyDescent="0.25">
      <c r="A105" s="99" t="s">
        <v>211</v>
      </c>
      <c r="B105" s="100"/>
      <c r="C105" s="100"/>
      <c r="D105" s="100"/>
      <c r="E105" s="100"/>
      <c r="F105" s="100"/>
      <c r="G105" s="100"/>
      <c r="H105" s="101"/>
      <c r="J105" s="35"/>
    </row>
    <row r="106" spans="1:14" s="36" customFormat="1" x14ac:dyDescent="0.25">
      <c r="A106" s="99" t="s">
        <v>200</v>
      </c>
      <c r="B106" s="100"/>
      <c r="C106" s="100"/>
      <c r="D106" s="100"/>
      <c r="E106" s="100"/>
      <c r="F106" s="100"/>
      <c r="G106" s="100"/>
      <c r="H106" s="101"/>
      <c r="J106" s="35"/>
    </row>
    <row r="107" spans="1:14" s="36" customFormat="1" ht="15.75" customHeight="1" x14ac:dyDescent="0.25">
      <c r="A107" s="63">
        <v>1</v>
      </c>
      <c r="B107" s="64"/>
      <c r="C107" s="41" t="s">
        <v>201</v>
      </c>
      <c r="D107" s="55">
        <f>(1.5*8.1+1.5*2.5+0.5*2.5*6.6)*(10.764)</f>
        <v>259.95059999999995</v>
      </c>
      <c r="E107" s="41">
        <v>0</v>
      </c>
      <c r="F107" s="56">
        <v>365</v>
      </c>
      <c r="G107" s="178" t="str">
        <f>A106</f>
        <v>Ground Floor For Commercial</v>
      </c>
      <c r="H107" s="179"/>
      <c r="I107" s="35">
        <f>9000000/F110</f>
        <v>20000</v>
      </c>
      <c r="J107" s="36">
        <v>365</v>
      </c>
      <c r="K107" s="36">
        <f>J107/D107</f>
        <v>1.4041129353038619</v>
      </c>
      <c r="L107" s="59">
        <f>8500*F107</f>
        <v>3102500</v>
      </c>
      <c r="M107" s="59"/>
      <c r="N107" s="35"/>
    </row>
    <row r="108" spans="1:14" s="36" customFormat="1" ht="15.75" customHeight="1" x14ac:dyDescent="0.25">
      <c r="A108" s="63">
        <f t="shared" ref="A108:A113" si="0">A107+1</f>
        <v>2</v>
      </c>
      <c r="B108" s="64"/>
      <c r="C108" s="41" t="s">
        <v>201</v>
      </c>
      <c r="D108" s="55">
        <f>(2.5*12.3+3.1*0.7)*(10.764)</f>
        <v>354.35088000000002</v>
      </c>
      <c r="E108" s="41">
        <v>0</v>
      </c>
      <c r="F108" s="56">
        <v>531</v>
      </c>
      <c r="G108" s="180"/>
      <c r="H108" s="181"/>
      <c r="I108" s="35"/>
      <c r="J108" s="36">
        <v>531</v>
      </c>
      <c r="K108" s="36">
        <f t="shared" ref="K108:K113" si="1">J108/D108</f>
        <v>1.4985146925555821</v>
      </c>
      <c r="L108" s="59">
        <f t="shared" ref="L108:L113" si="2">8500*F108</f>
        <v>4513500</v>
      </c>
      <c r="M108" s="59"/>
      <c r="N108" s="35"/>
    </row>
    <row r="109" spans="1:14" s="36" customFormat="1" ht="15.75" customHeight="1" x14ac:dyDescent="0.25">
      <c r="A109" s="63">
        <f t="shared" si="0"/>
        <v>3</v>
      </c>
      <c r="B109" s="64"/>
      <c r="C109" s="41" t="s">
        <v>201</v>
      </c>
      <c r="D109" s="55">
        <f>(2.7*10.7)*(10.764)</f>
        <v>310.97195999999997</v>
      </c>
      <c r="E109" s="41">
        <v>0</v>
      </c>
      <c r="F109" s="56">
        <v>480</v>
      </c>
      <c r="G109" s="180"/>
      <c r="H109" s="181"/>
      <c r="I109" s="35"/>
      <c r="J109" s="36">
        <v>480</v>
      </c>
      <c r="K109" s="36">
        <f t="shared" si="1"/>
        <v>1.5435475275648649</v>
      </c>
      <c r="L109" s="59">
        <f t="shared" si="2"/>
        <v>4080000</v>
      </c>
      <c r="M109" s="59"/>
      <c r="N109" s="35"/>
    </row>
    <row r="110" spans="1:14" s="36" customFormat="1" x14ac:dyDescent="0.25">
      <c r="A110" s="63">
        <f t="shared" si="0"/>
        <v>4</v>
      </c>
      <c r="B110" s="64"/>
      <c r="C110" s="41" t="s">
        <v>201</v>
      </c>
      <c r="D110" s="55">
        <f>(2.7*10.7-1.1*1.6)*(10.764)</f>
        <v>292.02731999999997</v>
      </c>
      <c r="E110" s="41">
        <v>0</v>
      </c>
      <c r="F110" s="56">
        <v>450</v>
      </c>
      <c r="G110" s="180"/>
      <c r="H110" s="181"/>
      <c r="I110" s="35"/>
      <c r="J110" s="36">
        <v>450</v>
      </c>
      <c r="K110" s="36">
        <f t="shared" si="1"/>
        <v>1.5409517164352979</v>
      </c>
      <c r="L110" s="59">
        <f t="shared" si="2"/>
        <v>3825000</v>
      </c>
      <c r="M110" s="59"/>
      <c r="N110" s="35"/>
    </row>
    <row r="111" spans="1:14" s="36" customFormat="1" ht="15.75" customHeight="1" x14ac:dyDescent="0.25">
      <c r="A111" s="63">
        <f t="shared" si="0"/>
        <v>5</v>
      </c>
      <c r="B111" s="64"/>
      <c r="C111" s="41" t="s">
        <v>201</v>
      </c>
      <c r="D111" s="55">
        <f>(2.5*9.05)*(10.764)</f>
        <v>243.53549999999998</v>
      </c>
      <c r="E111" s="41">
        <v>0</v>
      </c>
      <c r="F111" s="56">
        <v>375</v>
      </c>
      <c r="G111" s="180"/>
      <c r="H111" s="181"/>
      <c r="I111" s="35">
        <f>3500000/F111</f>
        <v>9333.3333333333339</v>
      </c>
      <c r="J111" s="36">
        <v>375</v>
      </c>
      <c r="K111" s="36">
        <f t="shared" si="1"/>
        <v>1.5398165770493419</v>
      </c>
      <c r="L111" s="59">
        <f t="shared" si="2"/>
        <v>3187500</v>
      </c>
      <c r="M111" s="59"/>
      <c r="N111" s="35"/>
    </row>
    <row r="112" spans="1:14" s="36" customFormat="1" ht="15.75" customHeight="1" x14ac:dyDescent="0.25">
      <c r="A112" s="63">
        <f t="shared" si="0"/>
        <v>6</v>
      </c>
      <c r="B112" s="64"/>
      <c r="C112" s="41" t="s">
        <v>201</v>
      </c>
      <c r="D112" s="55">
        <f>(3.1*7.8+0.6*6.2+1.2*2.4)*(10.764)</f>
        <v>331.31591999999995</v>
      </c>
      <c r="E112" s="41">
        <v>0</v>
      </c>
      <c r="F112" s="56">
        <v>520</v>
      </c>
      <c r="G112" s="180"/>
      <c r="H112" s="181"/>
      <c r="I112" s="35"/>
      <c r="J112" s="36">
        <v>520</v>
      </c>
      <c r="K112" s="36">
        <f t="shared" si="1"/>
        <v>1.5694989845341571</v>
      </c>
      <c r="L112" s="59">
        <f t="shared" si="2"/>
        <v>4420000</v>
      </c>
      <c r="M112" s="59"/>
      <c r="N112" s="35"/>
    </row>
    <row r="113" spans="1:14" s="36" customFormat="1" ht="15.75" customHeight="1" x14ac:dyDescent="0.25">
      <c r="A113" s="63">
        <f t="shared" si="0"/>
        <v>7</v>
      </c>
      <c r="B113" s="64"/>
      <c r="C113" s="41" t="s">
        <v>201</v>
      </c>
      <c r="D113" s="55">
        <f>(4.4*2.4+1.7*1.2)*(10.764)</f>
        <v>135.62640000000002</v>
      </c>
      <c r="E113" s="41">
        <v>0</v>
      </c>
      <c r="F113" s="56">
        <v>210</v>
      </c>
      <c r="G113" s="182"/>
      <c r="H113" s="183"/>
      <c r="I113" s="35"/>
      <c r="J113" s="36">
        <v>210</v>
      </c>
      <c r="K113" s="36">
        <f t="shared" si="1"/>
        <v>1.5483711135885048</v>
      </c>
      <c r="L113" s="59">
        <f t="shared" si="2"/>
        <v>1785000</v>
      </c>
      <c r="M113" s="59"/>
      <c r="N113" s="35"/>
    </row>
    <row r="114" spans="1:14" s="36" customFormat="1" x14ac:dyDescent="0.25">
      <c r="A114" s="63"/>
      <c r="B114" s="151"/>
      <c r="C114" s="151"/>
      <c r="D114" s="151"/>
      <c r="E114" s="151"/>
      <c r="F114" s="151"/>
      <c r="G114" s="151"/>
      <c r="H114" s="64"/>
      <c r="I114" s="35"/>
      <c r="N114" s="35"/>
    </row>
    <row r="115" spans="1:14" ht="47.25" customHeight="1" x14ac:dyDescent="0.25">
      <c r="A115" s="51" t="s">
        <v>126</v>
      </c>
      <c r="B115" s="51" t="s">
        <v>127</v>
      </c>
      <c r="C115" s="42" t="s">
        <v>59</v>
      </c>
      <c r="D115" s="42" t="s">
        <v>60</v>
      </c>
      <c r="E115" s="52" t="s">
        <v>61</v>
      </c>
      <c r="F115" s="42" t="s">
        <v>216</v>
      </c>
      <c r="G115" s="67" t="s">
        <v>62</v>
      </c>
      <c r="H115" s="68"/>
      <c r="I115" s="35"/>
    </row>
    <row r="116" spans="1:14" s="36" customFormat="1" x14ac:dyDescent="0.25">
      <c r="A116" s="99" t="s">
        <v>209</v>
      </c>
      <c r="B116" s="100"/>
      <c r="C116" s="100"/>
      <c r="D116" s="100"/>
      <c r="E116" s="100"/>
      <c r="F116" s="100"/>
      <c r="G116" s="100"/>
      <c r="H116" s="101"/>
      <c r="J116" s="55">
        <f>10.764</f>
        <v>10.763999999999999</v>
      </c>
    </row>
    <row r="117" spans="1:14" s="36" customFormat="1" x14ac:dyDescent="0.25">
      <c r="A117" s="63">
        <v>1</v>
      </c>
      <c r="B117" s="64"/>
      <c r="C117" s="54">
        <v>1</v>
      </c>
      <c r="D117" s="55">
        <f>(2.7*4.25+2.1*2.5+2.7*3.35+0.9*1.2+1.2*1.5+1*0.9)*(10.764)</f>
        <v>318.07619999999997</v>
      </c>
      <c r="E117" s="41">
        <v>0</v>
      </c>
      <c r="F117" s="41">
        <f>D117*1.45</f>
        <v>461.21048999999994</v>
      </c>
      <c r="G117" s="63" t="str">
        <f>A116</f>
        <v>Ground Floor For Part Residential &amp; Drivers Room</v>
      </c>
      <c r="H117" s="64"/>
      <c r="I117" s="35"/>
      <c r="K117" s="36">
        <f>3500000/F119</f>
        <v>4641.9098143236079</v>
      </c>
      <c r="L117" s="150"/>
      <c r="M117" s="150"/>
      <c r="N117" s="35"/>
    </row>
    <row r="118" spans="1:14" s="36" customFormat="1" x14ac:dyDescent="0.25">
      <c r="A118" s="99" t="s">
        <v>203</v>
      </c>
      <c r="B118" s="100"/>
      <c r="C118" s="100"/>
      <c r="D118" s="100"/>
      <c r="E118" s="100"/>
      <c r="F118" s="100"/>
      <c r="G118" s="100"/>
      <c r="H118" s="101"/>
      <c r="I118" s="35"/>
      <c r="M118" s="35">
        <f>4500000/F121</f>
        <v>5968.1697612732096</v>
      </c>
    </row>
    <row r="119" spans="1:14" s="36" customFormat="1" ht="15.75" customHeight="1" x14ac:dyDescent="0.25">
      <c r="A119" s="63" t="str">
        <f ca="1">(SUMPRODUCT(MID(0&amp;(LEFT(A118,SUM(LEN(A118)-LEN(SUBSTITUTE(A118,{"0","1","2"},""))))), LARGE(INDEX(ISNUMBER(--MID((LEFT(A118,SUM(LEN(A118)-LEN(SUBSTITUTE(A118,{"0","1","2"},""))))), ROW(INDIRECT("1:"&amp;LEN((LEFT(A118,SUM(LEN(A118)-LEN(SUBSTITUTE(A118,{"0","1","2"},"")))))))), 1)) * ROW(INDIRECT("1:"&amp;LEN((LEFT(A118,SUM(LEN(A118)-LEN(SUBSTITUTE(A118,{"0","1","2"},"")))))))), 0), ROW(INDIRECT("1:"&amp;LEN((LEFT(A118,SUM(LEN(A118)-LEN(SUBSTITUTE(A118,{"0","1","2"},"")))))))))+1, 1) * 10^ROW(INDIRECT("1:"&amp;LEN((LEFT(A118,SUM(LEN(A118)-LEN(SUBSTITUTE(A118,{"0","1","2"},""))))))))/10))*100+1&amp;""&amp;" to "&amp;""&amp;(SUMPRODUCT(MID(0&amp;(--TRIM(RIGHT(SUBSTITUTE(LEFT(A118,_xlfn.AGGREGATE(16,6,FIND({0,1,2,3,4,5,6,7,8,9},A118,ROW(INDIRECT("1:"&amp;LEN(A118)))),1))," ",REPT(" ",LEN(A118))),LEN(A118)))), LARGE(INDEX(ISNUMBER(--MID((--TRIM(RIGHT(SUBSTITUTE(LEFT(A118,_xlfn.AGGREGATE(16,6,FIND({0,1,2,3,4,5,6,7,8,9},A118,ROW(INDIRECT("1:"&amp;LEN(A118)))),1))," ",REPT(" ",LEN(A118))),LEN(A118)))), ROW(INDIRECT("1:"&amp;LEN((--TRIM(RIGHT(SUBSTITUTE(LEFT(A118,_xlfn.AGGREGATE(16,6,FIND({0,1,2,3,4,5,6,7,8,9},A118,ROW(INDIRECT("1:"&amp;LEN(A118)))),1))," ",REPT(" ",LEN(A118))),LEN(A118))))))), 1)) * ROW(INDIRECT("1:"&amp;LEN((--TRIM(RIGHT(SUBSTITUTE(LEFT(A118,_xlfn.AGGREGATE(16,6,FIND({0,1,2,3,4,5,6,7,8,9},A118,ROW(INDIRECT("1:"&amp;LEN(A118)))),1))," ",REPT(" ",LEN(A118))),LEN(A118))))))), 0), ROW(INDIRECT("1:"&amp;LEN((--TRIM(RIGHT(SUBSTITUTE(LEFT(A118,_xlfn.AGGREGATE(16,6,FIND({0,1,2,3,4,5,6,7,8,9},A118,ROW(INDIRECT("1:"&amp;LEN(A118)))),1))," ",REPT(" ",LEN(A118))),LEN(A118))))))))+1, 1) * 10^ROW(INDIRECT("1:"&amp;LEN((--TRIM(RIGHT(SUBSTITUTE(LEFT(A118,_xlfn.AGGREGATE(16,6,FIND({0,1,2,3,4,5,6,7,8,9},A118,ROW(INDIRECT("1:"&amp;LEN(A118)))),1))," ",REPT(" ",LEN(A118))),LEN(A118)))))))/10))*100+1</f>
        <v>101 to 601</v>
      </c>
      <c r="B119" s="64"/>
      <c r="C119" s="54">
        <v>2</v>
      </c>
      <c r="D119" s="55">
        <f>(5.1*2.7+3.5*2.1+2.7*3+2.7*3.35+1.75*1.2+1.2*1.8+1*0.9+0.75*(2.7+3))*(10.764)</f>
        <v>513.44280000000003</v>
      </c>
      <c r="E119" s="41">
        <v>0</v>
      </c>
      <c r="F119" s="56">
        <v>754</v>
      </c>
      <c r="G119" s="178" t="str">
        <f>A118</f>
        <v>1st to 6th Floor For Residential</v>
      </c>
      <c r="H119" s="179"/>
      <c r="I119" s="35">
        <f>4200000/F119</f>
        <v>5570.2917771883285</v>
      </c>
      <c r="J119" s="36">
        <v>754</v>
      </c>
      <c r="K119" s="36">
        <f>J119/D119</f>
        <v>1.468518012132997</v>
      </c>
      <c r="L119" s="36">
        <f>F119/D119</f>
        <v>1.468518012132997</v>
      </c>
      <c r="M119" s="36">
        <f>3300000/F119</f>
        <v>4376.6578249336872</v>
      </c>
    </row>
    <row r="120" spans="1:14" s="36" customFormat="1" ht="15.75" customHeight="1" x14ac:dyDescent="0.25">
      <c r="A120" s="63" t="str">
        <f ca="1">(SUMPRODUCT(MID(0&amp;(LEFT(A119,SUM(LEN(A119)-LEN(SUBSTITUTE(A119,{"0","1","2"},""))))), LARGE(INDEX(ISNUMBER(--MID((LEFT(A119,SUM(LEN(A119)-LEN(SUBSTITUTE(A119,{"0","1","2"},""))))), ROW(INDIRECT("1:"&amp;LEN((LEFT(A119,SUM(LEN(A119)-LEN(SUBSTITUTE(A119,{"0","1","2"},"")))))))), 1)) * ROW(INDIRECT("1:"&amp;LEN((LEFT(A119,SUM(LEN(A119)-LEN(SUBSTITUTE(A119,{"0","1","2"},"")))))))), 0), ROW(INDIRECT("1:"&amp;LEN((LEFT(A119,SUM(LEN(A119)-LEN(SUBSTITUTE(A119,{"0","1","2"},"")))))))))+1, 1) * 10^ROW(INDIRECT("1:"&amp;LEN((LEFT(A119,SUM(LEN(A119)-LEN(SUBSTITUTE(A119,{"0","1","2"},""))))))))/10))*1+1&amp;""&amp;" to "&amp;""&amp;(SUMPRODUCT(MID(0&amp;(--TRIM(RIGHT(SUBSTITUTE(LEFT(A119,_xlfn.AGGREGATE(16,6,FIND({0,1,2,3,4,5,6,7,8,9},A119,ROW(INDIRECT("1:"&amp;LEN(A119)))),1))," ",REPT(" ",LEN(A119))),LEN(A119)))), LARGE(INDEX(ISNUMBER(--MID((--TRIM(RIGHT(SUBSTITUTE(LEFT(A119,_xlfn.AGGREGATE(16,6,FIND({0,1,2,3,4,5,6,7,8,9},A119,ROW(INDIRECT("1:"&amp;LEN(A119)))),1))," ",REPT(" ",LEN(A119))),LEN(A119)))), ROW(INDIRECT("1:"&amp;LEN((--TRIM(RIGHT(SUBSTITUTE(LEFT(A119,_xlfn.AGGREGATE(16,6,FIND({0,1,2,3,4,5,6,7,8,9},A119,ROW(INDIRECT("1:"&amp;LEN(A119)))),1))," ",REPT(" ",LEN(A119))),LEN(A119))))))), 1)) * ROW(INDIRECT("1:"&amp;LEN((--TRIM(RIGHT(SUBSTITUTE(LEFT(A119,_xlfn.AGGREGATE(16,6,FIND({0,1,2,3,4,5,6,7,8,9},A119,ROW(INDIRECT("1:"&amp;LEN(A119)))),1))," ",REPT(" ",LEN(A119))),LEN(A119))))))), 0), ROW(INDIRECT("1:"&amp;LEN((--TRIM(RIGHT(SUBSTITUTE(LEFT(A119,_xlfn.AGGREGATE(16,6,FIND({0,1,2,3,4,5,6,7,8,9},A119,ROW(INDIRECT("1:"&amp;LEN(A119)))),1))," ",REPT(" ",LEN(A119))),LEN(A119))))))))+1, 1) * 10^ROW(INDIRECT("1:"&amp;LEN((--TRIM(RIGHT(SUBSTITUTE(LEFT(A119,_xlfn.AGGREGATE(16,6,FIND({0,1,2,3,4,5,6,7,8,9},A119,ROW(INDIRECT("1:"&amp;LEN(A119)))),1))," ",REPT(" ",LEN(A119))),LEN(A119)))))))/10))*1+1</f>
        <v>102 to 602</v>
      </c>
      <c r="B120" s="64"/>
      <c r="C120" s="54" t="s">
        <v>221</v>
      </c>
      <c r="D120" s="55">
        <f>(2.7*4.5+2.5*3.5+3.1*5.6+2.7*1+1.2*1.75+1.2*2.1+1.2*0.5+0.75*(2.7))*(10.764)</f>
        <v>518.87862000000007</v>
      </c>
      <c r="E120" s="41">
        <v>0</v>
      </c>
      <c r="F120" s="56">
        <v>754</v>
      </c>
      <c r="G120" s="180"/>
      <c r="H120" s="181"/>
      <c r="I120" s="58"/>
      <c r="J120" s="36">
        <v>754</v>
      </c>
      <c r="K120" s="36">
        <f t="shared" ref="K120:K128" si="3">J120/D120</f>
        <v>1.4531336827869299</v>
      </c>
      <c r="L120" s="36">
        <f t="shared" ref="L120:L123" si="4">F120/D120</f>
        <v>1.4531336827869299</v>
      </c>
    </row>
    <row r="121" spans="1:14" s="36" customFormat="1" ht="15.75" customHeight="1" x14ac:dyDescent="0.25">
      <c r="A121" s="63" t="str">
        <f ca="1">(SUMPRODUCT(MID(0&amp;(LEFT(A120,SUM(LEN(A120)-LEN(SUBSTITUTE(A120,{"0","1","2"},""))))), LARGE(INDEX(ISNUMBER(--MID((LEFT(A120,SUM(LEN(A120)-LEN(SUBSTITUTE(A120,{"0","1","2"},""))))), ROW(INDIRECT("1:"&amp;LEN((LEFT(A120,SUM(LEN(A120)-LEN(SUBSTITUTE(A120,{"0","1","2"},"")))))))), 1)) * ROW(INDIRECT("1:"&amp;LEN((LEFT(A120,SUM(LEN(A120)-LEN(SUBSTITUTE(A120,{"0","1","2"},"")))))))), 0), ROW(INDIRECT("1:"&amp;LEN((LEFT(A120,SUM(LEN(A120)-LEN(SUBSTITUTE(A120,{"0","1","2"},"")))))))))+1, 1) * 10^ROW(INDIRECT("1:"&amp;LEN((LEFT(A120,SUM(LEN(A120)-LEN(SUBSTITUTE(A120,{"0","1","2"},""))))))))/10))*1+1&amp;""&amp;" to "&amp;""&amp;(SUMPRODUCT(MID(0&amp;(--TRIM(RIGHT(SUBSTITUTE(LEFT(A120,_xlfn.AGGREGATE(16,6,FIND({0,1,2,3,4,5,6,7,8,9},A120,ROW(INDIRECT("1:"&amp;LEN(A120)))),1))," ",REPT(" ",LEN(A120))),LEN(A120)))), LARGE(INDEX(ISNUMBER(--MID((--TRIM(RIGHT(SUBSTITUTE(LEFT(A120,_xlfn.AGGREGATE(16,6,FIND({0,1,2,3,4,5,6,7,8,9},A120,ROW(INDIRECT("1:"&amp;LEN(A120)))),1))," ",REPT(" ",LEN(A120))),LEN(A120)))), ROW(INDIRECT("1:"&amp;LEN((--TRIM(RIGHT(SUBSTITUTE(LEFT(A120,_xlfn.AGGREGATE(16,6,FIND({0,1,2,3,4,5,6,7,8,9},A120,ROW(INDIRECT("1:"&amp;LEN(A120)))),1))," ",REPT(" ",LEN(A120))),LEN(A120))))))), 1)) * ROW(INDIRECT("1:"&amp;LEN((--TRIM(RIGHT(SUBSTITUTE(LEFT(A120,_xlfn.AGGREGATE(16,6,FIND({0,1,2,3,4,5,6,7,8,9},A120,ROW(INDIRECT("1:"&amp;LEN(A120)))),1))," ",REPT(" ",LEN(A120))),LEN(A120))))))), 0), ROW(INDIRECT("1:"&amp;LEN((--TRIM(RIGHT(SUBSTITUTE(LEFT(A120,_xlfn.AGGREGATE(16,6,FIND({0,1,2,3,4,5,6,7,8,9},A120,ROW(INDIRECT("1:"&amp;LEN(A120)))),1))," ",REPT(" ",LEN(A120))),LEN(A120))))))))+1, 1) * 10^ROW(INDIRECT("1:"&amp;LEN((--TRIM(RIGHT(SUBSTITUTE(LEFT(A120,_xlfn.AGGREGATE(16,6,FIND({0,1,2,3,4,5,6,7,8,9},A120,ROW(INDIRECT("1:"&amp;LEN(A120)))),1))," ",REPT(" ",LEN(A120))),LEN(A120)))))))/10))*1+1</f>
        <v>103 to 603</v>
      </c>
      <c r="B121" s="64"/>
      <c r="C121" s="54" t="s">
        <v>221</v>
      </c>
      <c r="D121" s="55">
        <f>(2.7*4.5+2.5*3.5+3.1*5.6+2.7*1+1.2*1.75+1.2*2.1+1.2*0.5+0.75*(2.7))*(10.764)</f>
        <v>518.87862000000007</v>
      </c>
      <c r="E121" s="41">
        <v>0</v>
      </c>
      <c r="F121" s="56">
        <v>754</v>
      </c>
      <c r="G121" s="180"/>
      <c r="H121" s="181"/>
      <c r="I121" s="58"/>
      <c r="J121" s="36">
        <v>754</v>
      </c>
      <c r="K121" s="36">
        <f t="shared" si="3"/>
        <v>1.4531336827869299</v>
      </c>
      <c r="L121" s="36">
        <f t="shared" si="4"/>
        <v>1.4531336827869299</v>
      </c>
    </row>
    <row r="122" spans="1:14" s="36" customFormat="1" ht="15.75" customHeight="1" x14ac:dyDescent="0.25">
      <c r="A122" s="63" t="str">
        <f ca="1">(SUMPRODUCT(MID(0&amp;(LEFT(A121,SUM(LEN(A121)-LEN(SUBSTITUTE(A121,{"0","1","2"},""))))), LARGE(INDEX(ISNUMBER(--MID((LEFT(A121,SUM(LEN(A121)-LEN(SUBSTITUTE(A121,{"0","1","2"},""))))), ROW(INDIRECT("1:"&amp;LEN((LEFT(A121,SUM(LEN(A121)-LEN(SUBSTITUTE(A121,{"0","1","2"},"")))))))), 1)) * ROW(INDIRECT("1:"&amp;LEN((LEFT(A121,SUM(LEN(A121)-LEN(SUBSTITUTE(A121,{"0","1","2"},"")))))))), 0), ROW(INDIRECT("1:"&amp;LEN((LEFT(A121,SUM(LEN(A121)-LEN(SUBSTITUTE(A121,{"0","1","2"},"")))))))))+1, 1) * 10^ROW(INDIRECT("1:"&amp;LEN((LEFT(A121,SUM(LEN(A121)-LEN(SUBSTITUTE(A121,{"0","1","2"},""))))))))/10))*1+1&amp;""&amp;" to "&amp;""&amp;(SUMPRODUCT(MID(0&amp;(--TRIM(RIGHT(SUBSTITUTE(LEFT(A121,_xlfn.AGGREGATE(16,6,FIND({0,1,2,3,4,5,6,7,8,9},A121,ROW(INDIRECT("1:"&amp;LEN(A121)))),1))," ",REPT(" ",LEN(A121))),LEN(A121)))), LARGE(INDEX(ISNUMBER(--MID((--TRIM(RIGHT(SUBSTITUTE(LEFT(A121,_xlfn.AGGREGATE(16,6,FIND({0,1,2,3,4,5,6,7,8,9},A121,ROW(INDIRECT("1:"&amp;LEN(A121)))),1))," ",REPT(" ",LEN(A121))),LEN(A121)))), ROW(INDIRECT("1:"&amp;LEN((--TRIM(RIGHT(SUBSTITUTE(LEFT(A121,_xlfn.AGGREGATE(16,6,FIND({0,1,2,3,4,5,6,7,8,9},A121,ROW(INDIRECT("1:"&amp;LEN(A121)))),1))," ",REPT(" ",LEN(A121))),LEN(A121))))))), 1)) * ROW(INDIRECT("1:"&amp;LEN((--TRIM(RIGHT(SUBSTITUTE(LEFT(A121,_xlfn.AGGREGATE(16,6,FIND({0,1,2,3,4,5,6,7,8,9},A121,ROW(INDIRECT("1:"&amp;LEN(A121)))),1))," ",REPT(" ",LEN(A121))),LEN(A121))))))), 0), ROW(INDIRECT("1:"&amp;LEN((--TRIM(RIGHT(SUBSTITUTE(LEFT(A121,_xlfn.AGGREGATE(16,6,FIND({0,1,2,3,4,5,6,7,8,9},A121,ROW(INDIRECT("1:"&amp;LEN(A121)))),1))," ",REPT(" ",LEN(A121))),LEN(A121))))))))+1, 1) * 10^ROW(INDIRECT("1:"&amp;LEN((--TRIM(RIGHT(SUBSTITUTE(LEFT(A121,_xlfn.AGGREGATE(16,6,FIND({0,1,2,3,4,5,6,7,8,9},A121,ROW(INDIRECT("1:"&amp;LEN(A121)))),1))," ",REPT(" ",LEN(A121))),LEN(A121)))))))/10))*1+1</f>
        <v>104 to 604</v>
      </c>
      <c r="B122" s="64"/>
      <c r="C122" s="54">
        <v>2</v>
      </c>
      <c r="D122" s="55">
        <f>(4.8*2.7+4.05*2.4+3.35*2.75+1.2*1.65+2.45*2.5+1.2*2.1+1.1*0.9+0.75*2.7)*(10.764)</f>
        <v>490.11182999999994</v>
      </c>
      <c r="E122" s="41">
        <v>0</v>
      </c>
      <c r="F122" s="41">
        <v>711</v>
      </c>
      <c r="G122" s="180"/>
      <c r="H122" s="181"/>
      <c r="I122" s="58"/>
      <c r="J122" s="36">
        <v>754</v>
      </c>
      <c r="K122" s="36">
        <f t="shared" si="3"/>
        <v>1.5384244040793713</v>
      </c>
      <c r="L122" s="36">
        <f t="shared" si="4"/>
        <v>1.4506893253321391</v>
      </c>
    </row>
    <row r="123" spans="1:14" s="36" customFormat="1" ht="15.75" customHeight="1" x14ac:dyDescent="0.25">
      <c r="A123" s="63" t="str">
        <f ca="1">(SUMPRODUCT(MID(0&amp;(LEFT(A122,SUM(LEN(A122)-LEN(SUBSTITUTE(A122,{"0","1","2"},""))))), LARGE(INDEX(ISNUMBER(--MID((LEFT(A122,SUM(LEN(A122)-LEN(SUBSTITUTE(A122,{"0","1","2"},""))))), ROW(INDIRECT("1:"&amp;LEN((LEFT(A122,SUM(LEN(A122)-LEN(SUBSTITUTE(A122,{"0","1","2"},"")))))))), 1)) * ROW(INDIRECT("1:"&amp;LEN((LEFT(A122,SUM(LEN(A122)-LEN(SUBSTITUTE(A122,{"0","1","2"},"")))))))), 0), ROW(INDIRECT("1:"&amp;LEN((LEFT(A122,SUM(LEN(A122)-LEN(SUBSTITUTE(A122,{"0","1","2"},"")))))))))+1, 1) * 10^ROW(INDIRECT("1:"&amp;LEN((LEFT(A122,SUM(LEN(A122)-LEN(SUBSTITUTE(A122,{"0","1","2"},""))))))))/10))*1+1&amp;""&amp;" to "&amp;""&amp;(SUMPRODUCT(MID(0&amp;(--TRIM(RIGHT(SUBSTITUTE(LEFT(A122,_xlfn.AGGREGATE(16,6,FIND({0,1,2,3,4,5,6,7,8,9},A122,ROW(INDIRECT("1:"&amp;LEN(A122)))),1))," ",REPT(" ",LEN(A122))),LEN(A122)))), LARGE(INDEX(ISNUMBER(--MID((--TRIM(RIGHT(SUBSTITUTE(LEFT(A122,_xlfn.AGGREGATE(16,6,FIND({0,1,2,3,4,5,6,7,8,9},A122,ROW(INDIRECT("1:"&amp;LEN(A122)))),1))," ",REPT(" ",LEN(A122))),LEN(A122)))), ROW(INDIRECT("1:"&amp;LEN((--TRIM(RIGHT(SUBSTITUTE(LEFT(A122,_xlfn.AGGREGATE(16,6,FIND({0,1,2,3,4,5,6,7,8,9},A122,ROW(INDIRECT("1:"&amp;LEN(A122)))),1))," ",REPT(" ",LEN(A122))),LEN(A122))))))), 1)) * ROW(INDIRECT("1:"&amp;LEN((--TRIM(RIGHT(SUBSTITUTE(LEFT(A122,_xlfn.AGGREGATE(16,6,FIND({0,1,2,3,4,5,6,7,8,9},A122,ROW(INDIRECT("1:"&amp;LEN(A122)))),1))," ",REPT(" ",LEN(A122))),LEN(A122))))))), 0), ROW(INDIRECT("1:"&amp;LEN((--TRIM(RIGHT(SUBSTITUTE(LEFT(A122,_xlfn.AGGREGATE(16,6,FIND({0,1,2,3,4,5,6,7,8,9},A122,ROW(INDIRECT("1:"&amp;LEN(A122)))),1))," ",REPT(" ",LEN(A122))),LEN(A122))))))))+1, 1) * 10^ROW(INDIRECT("1:"&amp;LEN((--TRIM(RIGHT(SUBSTITUTE(LEFT(A122,_xlfn.AGGREGATE(16,6,FIND({0,1,2,3,4,5,6,7,8,9},A122,ROW(INDIRECT("1:"&amp;LEN(A122)))),1))," ",REPT(" ",LEN(A122))),LEN(A122)))))))/10))*1+1</f>
        <v>105 to 605</v>
      </c>
      <c r="B123" s="64"/>
      <c r="C123" s="54" t="s">
        <v>222</v>
      </c>
      <c r="D123" s="55">
        <f>(2.7*4.25+1.2*1.5+4.85*3.35+0.9*1.2+1.4*0.9+0.75*(2.7+3))*(10.764)</f>
        <v>388.98405000000002</v>
      </c>
      <c r="E123" s="41">
        <v>0</v>
      </c>
      <c r="F123" s="36">
        <v>580</v>
      </c>
      <c r="G123" s="182"/>
      <c r="H123" s="183"/>
      <c r="I123" s="58"/>
      <c r="J123" s="36">
        <v>580</v>
      </c>
      <c r="K123" s="36">
        <f t="shared" si="3"/>
        <v>1.4910637081391898</v>
      </c>
      <c r="L123" s="36">
        <f t="shared" si="4"/>
        <v>1.4910637081391898</v>
      </c>
      <c r="M123" s="36">
        <f>2300000/F123</f>
        <v>3965.5172413793102</v>
      </c>
    </row>
    <row r="124" spans="1:14" s="36" customFormat="1" x14ac:dyDescent="0.25">
      <c r="A124" s="104" t="s">
        <v>204</v>
      </c>
      <c r="B124" s="104"/>
      <c r="C124" s="104"/>
      <c r="D124" s="104"/>
      <c r="E124" s="104"/>
      <c r="F124" s="104"/>
      <c r="G124" s="104"/>
      <c r="H124" s="104"/>
      <c r="I124" s="58"/>
      <c r="K124" s="36" t="e">
        <f t="shared" si="3"/>
        <v>#DIV/0!</v>
      </c>
      <c r="L124" s="150"/>
      <c r="M124" s="150"/>
    </row>
    <row r="125" spans="1:14" s="36" customFormat="1" x14ac:dyDescent="0.25">
      <c r="A125" s="65">
        <f>LEFT(A124,SUM(LEN(A124)-LEN(SUBSTITUTE(A124,{"0","1","2","3","4","5","6","7","8","9"},""))))*100+1</f>
        <v>701</v>
      </c>
      <c r="B125" s="65"/>
      <c r="C125" s="54">
        <v>2</v>
      </c>
      <c r="D125" s="55">
        <f>(5.1*2.7+3.5*2.1+2.7*3+2.7*3.35+1.75*1.2+1.2*1.8+1*0.9+0.75*(2.7+3))*(10.764)</f>
        <v>513.44280000000003</v>
      </c>
      <c r="E125" s="41">
        <v>0</v>
      </c>
      <c r="F125" s="56">
        <v>754</v>
      </c>
      <c r="G125" s="178" t="str">
        <f>A124</f>
        <v>7th Floor</v>
      </c>
      <c r="H125" s="179"/>
      <c r="I125" s="58"/>
      <c r="J125" s="36">
        <v>754</v>
      </c>
      <c r="K125" s="36">
        <f t="shared" si="3"/>
        <v>1.468518012132997</v>
      </c>
      <c r="N125" s="35"/>
    </row>
    <row r="126" spans="1:14" s="36" customFormat="1" x14ac:dyDescent="0.25">
      <c r="A126" s="65">
        <f>A125+1</f>
        <v>702</v>
      </c>
      <c r="B126" s="65"/>
      <c r="C126" s="54" t="s">
        <v>221</v>
      </c>
      <c r="D126" s="55">
        <f>(2.7*4.5+2.5*3.5+3.1*5.6+2.7*1+1.2*1.75+1.2*2.1+1.2*0.5+0.75*(2.7))*(10.764)</f>
        <v>518.87862000000007</v>
      </c>
      <c r="E126" s="41">
        <v>0</v>
      </c>
      <c r="F126" s="56">
        <v>754</v>
      </c>
      <c r="G126" s="180"/>
      <c r="H126" s="181"/>
      <c r="I126" s="35"/>
      <c r="J126" s="36">
        <v>754</v>
      </c>
      <c r="K126" s="36">
        <f t="shared" si="3"/>
        <v>1.4531336827869299</v>
      </c>
      <c r="N126" s="35"/>
    </row>
    <row r="127" spans="1:14" s="36" customFormat="1" x14ac:dyDescent="0.25">
      <c r="A127" s="65">
        <f>A126+1</f>
        <v>703</v>
      </c>
      <c r="B127" s="65"/>
      <c r="C127" s="54" t="s">
        <v>221</v>
      </c>
      <c r="D127" s="55">
        <f>(2.7*4.5+2.5*3.5+3.1*5.6+2.7*1+1.2*1.75+1.2*2.1+1.2*0.5+0.75*(2.7))*(10.764)</f>
        <v>518.87862000000007</v>
      </c>
      <c r="E127" s="41">
        <v>0</v>
      </c>
      <c r="F127" s="56">
        <v>754</v>
      </c>
      <c r="G127" s="180"/>
      <c r="H127" s="181"/>
      <c r="I127" s="35"/>
      <c r="J127" s="36">
        <v>754</v>
      </c>
      <c r="K127" s="36">
        <f t="shared" si="3"/>
        <v>1.4531336827869299</v>
      </c>
      <c r="N127" s="35"/>
    </row>
    <row r="128" spans="1:14" s="36" customFormat="1" x14ac:dyDescent="0.25">
      <c r="A128" s="65">
        <f>A127+1</f>
        <v>704</v>
      </c>
      <c r="B128" s="65"/>
      <c r="C128" s="54">
        <v>3</v>
      </c>
      <c r="D128" s="55">
        <f>(4.8*2.7+4.05*2.4+3.35*2.75+3.35*3.35+1.2*1.65+2.45*2.5+1.2*2.1+1.1*0.9+0.75*(2.7+3.35))*(10.764)</f>
        <v>637.9553699999999</v>
      </c>
      <c r="E128" s="41">
        <v>0</v>
      </c>
      <c r="F128" s="56">
        <v>961</v>
      </c>
      <c r="G128" s="180"/>
      <c r="H128" s="181"/>
      <c r="I128" s="35">
        <f>5500*F128</f>
        <v>5285500</v>
      </c>
      <c r="J128" s="36">
        <v>961</v>
      </c>
      <c r="K128" s="36">
        <f t="shared" si="3"/>
        <v>1.506374967891563</v>
      </c>
      <c r="N128" s="35"/>
    </row>
    <row r="129" spans="1:14" s="36" customFormat="1" x14ac:dyDescent="0.25">
      <c r="A129" s="65">
        <f>A128+1</f>
        <v>705</v>
      </c>
      <c r="B129" s="65"/>
      <c r="C129" s="175" t="s">
        <v>205</v>
      </c>
      <c r="D129" s="176"/>
      <c r="E129" s="176"/>
      <c r="F129" s="177"/>
      <c r="G129" s="182"/>
      <c r="H129" s="183"/>
      <c r="I129" s="35"/>
      <c r="N129" s="35"/>
    </row>
    <row r="130" spans="1:14" s="36" customFormat="1" hidden="1" x14ac:dyDescent="0.25">
      <c r="A130" s="99" t="s">
        <v>202</v>
      </c>
      <c r="B130" s="100"/>
      <c r="C130" s="100"/>
      <c r="D130" s="100"/>
      <c r="E130" s="100"/>
      <c r="F130" s="100"/>
      <c r="G130" s="100"/>
      <c r="H130" s="101"/>
      <c r="J130" s="35"/>
    </row>
    <row r="131" spans="1:14" s="36" customFormat="1" hidden="1" x14ac:dyDescent="0.25">
      <c r="A131" s="63">
        <v>1</v>
      </c>
      <c r="B131" s="64"/>
      <c r="C131" s="54"/>
      <c r="D131" s="41"/>
      <c r="E131" s="41">
        <v>0</v>
      </c>
      <c r="F131" s="41" t="e">
        <f>D131*((#REF!)+1)+(IF(E131&lt;101,E131,IF(E131&lt;201,E131/2,IF(E131&lt;=301,E131/3,E131/4))))</f>
        <v>#REF!</v>
      </c>
      <c r="G131" s="63" t="str">
        <f>A130</f>
        <v xml:space="preserve"> </v>
      </c>
      <c r="H131" s="64"/>
      <c r="I131" s="35"/>
      <c r="L131" s="150"/>
      <c r="M131" s="150"/>
      <c r="N131" s="35"/>
    </row>
    <row r="132" spans="1:14" s="36" customFormat="1" hidden="1" x14ac:dyDescent="0.25">
      <c r="A132" s="63">
        <f t="shared" ref="A132:A134" si="5">A131+1</f>
        <v>2</v>
      </c>
      <c r="B132" s="64"/>
      <c r="C132" s="54"/>
      <c r="D132" s="41"/>
      <c r="E132" s="41">
        <v>0</v>
      </c>
      <c r="F132" s="41" t="e">
        <f>D132*((#REF!)+1)+(IF(E132&lt;101,E132,IF(E132&lt;201,E132/2,IF(E132&lt;=301,E132/3,E132/4))))</f>
        <v>#REF!</v>
      </c>
      <c r="G132" s="63" t="str">
        <f t="shared" ref="G132:G134" si="6">G131</f>
        <v xml:space="preserve"> </v>
      </c>
      <c r="H132" s="64"/>
      <c r="I132" s="35"/>
      <c r="L132" s="150"/>
      <c r="M132" s="150"/>
      <c r="N132" s="35"/>
    </row>
    <row r="133" spans="1:14" s="36" customFormat="1" hidden="1" x14ac:dyDescent="0.25">
      <c r="A133" s="63">
        <f t="shared" si="5"/>
        <v>3</v>
      </c>
      <c r="B133" s="64"/>
      <c r="C133" s="54"/>
      <c r="D133" s="41"/>
      <c r="E133" s="41">
        <v>0</v>
      </c>
      <c r="F133" s="41" t="e">
        <f>D133*((#REF!)+1)+(IF(E133&lt;101,E133,IF(E133&lt;201,E133/2,IF(E133&lt;=301,E133/3,E133/4))))</f>
        <v>#REF!</v>
      </c>
      <c r="G133" s="63" t="str">
        <f t="shared" si="6"/>
        <v xml:space="preserve"> </v>
      </c>
      <c r="H133" s="64"/>
      <c r="I133" s="35"/>
      <c r="L133" s="150"/>
      <c r="M133" s="150"/>
      <c r="N133" s="35"/>
    </row>
    <row r="134" spans="1:14" s="36" customFormat="1" hidden="1" x14ac:dyDescent="0.25">
      <c r="A134" s="63">
        <f t="shared" si="5"/>
        <v>4</v>
      </c>
      <c r="B134" s="64"/>
      <c r="C134" s="54"/>
      <c r="D134" s="41"/>
      <c r="E134" s="41">
        <v>0</v>
      </c>
      <c r="F134" s="41" t="e">
        <f>D134*((#REF!)+1)+(IF(E134&lt;101,E134,IF(E134&lt;201,E134/2,IF(E134&lt;=301,E134/3,E134/4))))</f>
        <v>#REF!</v>
      </c>
      <c r="G134" s="63" t="str">
        <f t="shared" si="6"/>
        <v xml:space="preserve"> </v>
      </c>
      <c r="H134" s="64"/>
      <c r="I134" s="35"/>
      <c r="L134" s="150"/>
      <c r="M134" s="150"/>
      <c r="N134" s="35"/>
    </row>
    <row r="135" spans="1:14" s="36" customFormat="1" hidden="1" x14ac:dyDescent="0.25">
      <c r="A135" s="104" t="s">
        <v>123</v>
      </c>
      <c r="B135" s="104"/>
      <c r="C135" s="104"/>
      <c r="D135" s="104"/>
      <c r="E135" s="104"/>
      <c r="F135" s="104"/>
      <c r="G135" s="104"/>
      <c r="H135" s="104"/>
      <c r="I135" s="35"/>
      <c r="L135" s="150"/>
      <c r="M135" s="150"/>
    </row>
    <row r="136" spans="1:14" s="36" customFormat="1" hidden="1" x14ac:dyDescent="0.25">
      <c r="A136" s="65">
        <f>LEFT(A135,SUM(LEN(A135)-LEN(SUBSTITUTE(A135,{"0","1","2","3","4","5","6","7","8","9"},""))))*100+1</f>
        <v>201</v>
      </c>
      <c r="B136" s="65"/>
      <c r="C136" s="54"/>
      <c r="D136" s="41"/>
      <c r="E136" s="41">
        <v>0</v>
      </c>
      <c r="F136" s="41" t="e">
        <f>D136*((#REF!)+1)+(IF(E136&lt;101,E136,IF(E136&lt;201,E136/2,IF(E136&lt;=301,E136/3,E136/4))))</f>
        <v>#REF!</v>
      </c>
      <c r="G136" s="65" t="str">
        <f>A135</f>
        <v>2nd Floor</v>
      </c>
      <c r="H136" s="65"/>
      <c r="I136" s="35"/>
      <c r="N136" s="35"/>
    </row>
    <row r="137" spans="1:14" s="36" customFormat="1" hidden="1" x14ac:dyDescent="0.25">
      <c r="A137" s="65">
        <f>A136+1</f>
        <v>202</v>
      </c>
      <c r="B137" s="65"/>
      <c r="C137" s="54"/>
      <c r="D137" s="41"/>
      <c r="E137" s="41">
        <v>0</v>
      </c>
      <c r="F137" s="41" t="e">
        <f>D137*((#REF!)+1)+(IF(E137&lt;101,E137,IF(E137&lt;201,E137/2,IF(E137&lt;=301,E137/3,E137/4))))</f>
        <v>#REF!</v>
      </c>
      <c r="G137" s="65" t="str">
        <f>G136</f>
        <v>2nd Floor</v>
      </c>
      <c r="H137" s="65"/>
      <c r="I137" s="35"/>
      <c r="N137" s="35"/>
    </row>
    <row r="138" spans="1:14" s="36" customFormat="1" hidden="1" x14ac:dyDescent="0.25">
      <c r="A138" s="65">
        <f>A137+1</f>
        <v>203</v>
      </c>
      <c r="B138" s="65"/>
      <c r="C138" s="54"/>
      <c r="D138" s="41"/>
      <c r="E138" s="41">
        <v>0</v>
      </c>
      <c r="F138" s="41" t="e">
        <f>D138*((#REF!)+1)+(IF(E138&lt;101,E138,IF(E138&lt;201,E138/2,IF(E138&lt;=301,E138/3,E138/4))))</f>
        <v>#REF!</v>
      </c>
      <c r="G138" s="65" t="str">
        <f>G137</f>
        <v>2nd Floor</v>
      </c>
      <c r="H138" s="65"/>
      <c r="I138" s="35"/>
      <c r="N138" s="35"/>
    </row>
    <row r="139" spans="1:14" s="36" customFormat="1" hidden="1" x14ac:dyDescent="0.25">
      <c r="A139" s="65">
        <f>A138+1</f>
        <v>204</v>
      </c>
      <c r="B139" s="65"/>
      <c r="C139" s="54"/>
      <c r="D139" s="41"/>
      <c r="E139" s="41">
        <v>0</v>
      </c>
      <c r="F139" s="41" t="e">
        <f>D139*((#REF!)+1)+(IF(E139&lt;101,E139,IF(E139&lt;201,E139/2,IF(E139&lt;=301,E139/3,E139/4))))</f>
        <v>#REF!</v>
      </c>
      <c r="G139" s="65" t="str">
        <f>G138</f>
        <v>2nd Floor</v>
      </c>
      <c r="H139" s="65"/>
      <c r="I139" s="35"/>
      <c r="N139" s="35"/>
    </row>
    <row r="140" spans="1:14" s="36" customFormat="1" hidden="1" x14ac:dyDescent="0.25">
      <c r="A140" s="65">
        <f>A139+1</f>
        <v>205</v>
      </c>
      <c r="B140" s="65"/>
      <c r="C140" s="54"/>
      <c r="D140" s="41"/>
      <c r="E140" s="41">
        <v>0</v>
      </c>
      <c r="F140" s="41" t="e">
        <f>D140*((#REF!)+1)+(IF(E140&lt;101,E140,IF(E140&lt;201,E140/2,IF(E140&lt;=301,E140/3,E140/4))))</f>
        <v>#REF!</v>
      </c>
      <c r="G140" s="65" t="str">
        <f>G139</f>
        <v>2nd Floor</v>
      </c>
      <c r="H140" s="65"/>
      <c r="I140" s="35"/>
      <c r="N140" s="35"/>
    </row>
    <row r="141" spans="1:14" s="36" customFormat="1" ht="15.75" hidden="1" customHeight="1" x14ac:dyDescent="0.25">
      <c r="A141" s="99" t="s">
        <v>158</v>
      </c>
      <c r="B141" s="100"/>
      <c r="C141" s="100"/>
      <c r="D141" s="100"/>
      <c r="E141" s="100"/>
      <c r="F141" s="100"/>
      <c r="G141" s="100"/>
      <c r="H141" s="101"/>
      <c r="I141" s="35"/>
    </row>
    <row r="142" spans="1:14" s="36" customFormat="1" hidden="1" x14ac:dyDescent="0.25">
      <c r="A142" s="63" t="str">
        <f ca="1">(SUMPRODUCT(MID(0&amp;(LEFT(A141,SUM(LEN(A141)-LEN(SUBSTITUTE(A141,{"0","1","2"},""))))), LARGE(INDEX(ISNUMBER(--MID((LEFT(A141,SUM(LEN(A141)-LEN(SUBSTITUTE(A141,{"0","1","2"},""))))), ROW(INDIRECT("1:"&amp;LEN((LEFT(A141,SUM(LEN(A141)-LEN(SUBSTITUTE(A141,{"0","1","2"},"")))))))), 1)) * ROW(INDIRECT("1:"&amp;LEN((LEFT(A141,SUM(LEN(A141)-LEN(SUBSTITUTE(A141,{"0","1","2"},"")))))))), 0), ROW(INDIRECT("1:"&amp;LEN((LEFT(A141,SUM(LEN(A141)-LEN(SUBSTITUTE(A141,{"0","1","2"},"")))))))))+1, 1) * 10^ROW(INDIRECT("1:"&amp;LEN((LEFT(A141,SUM(LEN(A141)-LEN(SUBSTITUTE(A141,{"0","1","2"},""))))))))/10))*100+1&amp;""&amp;" ,.., "&amp;""&amp;(SUMPRODUCT(MID(0&amp;(--TRIM(RIGHT(SUBSTITUTE(LEFT(A141,_xlfn.AGGREGATE(16,6,FIND({0,1,2,3,4,5,6,7,8,9},A141,ROW(INDIRECT("1:"&amp;LEN(A141)))),1))," ",REPT(" ",LEN(A141))),LEN(A141)))), LARGE(INDEX(ISNUMBER(--MID((--TRIM(RIGHT(SUBSTITUTE(LEFT(A141,_xlfn.AGGREGATE(16,6,FIND({0,1,2,3,4,5,6,7,8,9},A141,ROW(INDIRECT("1:"&amp;LEN(A141)))),1))," ",REPT(" ",LEN(A141))),LEN(A141)))), ROW(INDIRECT("1:"&amp;LEN((--TRIM(RIGHT(SUBSTITUTE(LEFT(A141,_xlfn.AGGREGATE(16,6,FIND({0,1,2,3,4,5,6,7,8,9},A141,ROW(INDIRECT("1:"&amp;LEN(A141)))),1))," ",REPT(" ",LEN(A141))),LEN(A141))))))), 1)) * ROW(INDIRECT("1:"&amp;LEN((--TRIM(RIGHT(SUBSTITUTE(LEFT(A141,_xlfn.AGGREGATE(16,6,FIND({0,1,2,3,4,5,6,7,8,9},A141,ROW(INDIRECT("1:"&amp;LEN(A141)))),1))," ",REPT(" ",LEN(A141))),LEN(A141))))))), 0), ROW(INDIRECT("1:"&amp;LEN((--TRIM(RIGHT(SUBSTITUTE(LEFT(A141,_xlfn.AGGREGATE(16,6,FIND({0,1,2,3,4,5,6,7,8,9},A141,ROW(INDIRECT("1:"&amp;LEN(A141)))),1))," ",REPT(" ",LEN(A141))),LEN(A141))))))))+1, 1) * 10^ROW(INDIRECT("1:"&amp;LEN((--TRIM(RIGHT(SUBSTITUTE(LEFT(A141,_xlfn.AGGREGATE(16,6,FIND({0,1,2,3,4,5,6,7,8,9},A141,ROW(INDIRECT("1:"&amp;LEN(A141)))),1))," ",REPT(" ",LEN(A141))),LEN(A141)))))))/10))*100+1</f>
        <v>301 ,.., 1501</v>
      </c>
      <c r="B142" s="64"/>
      <c r="C142" s="54"/>
      <c r="D142" s="41"/>
      <c r="E142" s="41">
        <v>0</v>
      </c>
      <c r="F142" s="41" t="e">
        <f>D142*((#REF!)+1)+(IF(E142&lt;101,E142,IF(E142&lt;201,E142/2,IF(E142&lt;=301,E142/3,E142/4))))</f>
        <v>#REF!</v>
      </c>
      <c r="G142" s="63" t="str">
        <f>A141</f>
        <v>3rd, 5th, 7th, 9th, 11th, 13th, 15th Floor</v>
      </c>
      <c r="H142" s="64"/>
      <c r="I142" s="35"/>
    </row>
    <row r="143" spans="1:14" s="36" customFormat="1" hidden="1" x14ac:dyDescent="0.25">
      <c r="A143" s="63" t="str">
        <f ca="1">(SUMPRODUCT(MID(0&amp;(LEFT(A142,SUM(LEN(A142)-LEN(SUBSTITUTE(A142,{"0","1","2"},""))))), LARGE(INDEX(ISNUMBER(--MID((LEFT(A142,SUM(LEN(A142)-LEN(SUBSTITUTE(A142,{"0","1","2"},""))))), ROW(INDIRECT("1:"&amp;LEN((LEFT(A142,SUM(LEN(A142)-LEN(SUBSTITUTE(A142,{"0","1","2"},"")))))))), 1)) * ROW(INDIRECT("1:"&amp;LEN((LEFT(A142,SUM(LEN(A142)-LEN(SUBSTITUTE(A142,{"0","1","2"},"")))))))), 0), ROW(INDIRECT("1:"&amp;LEN((LEFT(A142,SUM(LEN(A142)-LEN(SUBSTITUTE(A142,{"0","1","2"},"")))))))))+1, 1) * 10^ROW(INDIRECT("1:"&amp;LEN((LEFT(A142,SUM(LEN(A142)-LEN(SUBSTITUTE(A142,{"0","1","2"},""))))))))/10))*1+1&amp;""&amp;" ,.., "&amp;""&amp;(SUMPRODUCT(MID(0&amp;(--TRIM(RIGHT(SUBSTITUTE(LEFT(A142,_xlfn.AGGREGATE(16,6,FIND({0,1,2,3,4,5,6,7,8,9},A142,ROW(INDIRECT("1:"&amp;LEN(A142)))),1))," ",REPT(" ",LEN(A142))),LEN(A142)))), LARGE(INDEX(ISNUMBER(--MID((--TRIM(RIGHT(SUBSTITUTE(LEFT(A142,_xlfn.AGGREGATE(16,6,FIND({0,1,2,3,4,5,6,7,8,9},A142,ROW(INDIRECT("1:"&amp;LEN(A142)))),1))," ",REPT(" ",LEN(A142))),LEN(A142)))), ROW(INDIRECT("1:"&amp;LEN((--TRIM(RIGHT(SUBSTITUTE(LEFT(A142,_xlfn.AGGREGATE(16,6,FIND({0,1,2,3,4,5,6,7,8,9},A142,ROW(INDIRECT("1:"&amp;LEN(A142)))),1))," ",REPT(" ",LEN(A142))),LEN(A142))))))), 1)) * ROW(INDIRECT("1:"&amp;LEN((--TRIM(RIGHT(SUBSTITUTE(LEFT(A142,_xlfn.AGGREGATE(16,6,FIND({0,1,2,3,4,5,6,7,8,9},A142,ROW(INDIRECT("1:"&amp;LEN(A142)))),1))," ",REPT(" ",LEN(A142))),LEN(A142))))))), 0), ROW(INDIRECT("1:"&amp;LEN((--TRIM(RIGHT(SUBSTITUTE(LEFT(A142,_xlfn.AGGREGATE(16,6,FIND({0,1,2,3,4,5,6,7,8,9},A142,ROW(INDIRECT("1:"&amp;LEN(A142)))),1))," ",REPT(" ",LEN(A142))),LEN(A142))))))))+1, 1) * 10^ROW(INDIRECT("1:"&amp;LEN((--TRIM(RIGHT(SUBSTITUTE(LEFT(A142,_xlfn.AGGREGATE(16,6,FIND({0,1,2,3,4,5,6,7,8,9},A142,ROW(INDIRECT("1:"&amp;LEN(A142)))),1))," ",REPT(" ",LEN(A142))),LEN(A142)))))))/10))*1+1</f>
        <v>302 ,.., 1502</v>
      </c>
      <c r="B143" s="64"/>
      <c r="C143" s="54"/>
      <c r="D143" s="41"/>
      <c r="E143" s="41">
        <v>0</v>
      </c>
      <c r="F143" s="41" t="e">
        <f>D143*((#REF!)+1)+(IF(E143&lt;101,E143,IF(E143&lt;201,E143/2,IF(E143&lt;=301,E143/3,E143/4))))</f>
        <v>#REF!</v>
      </c>
      <c r="G143" s="63" t="str">
        <f>G142</f>
        <v>3rd, 5th, 7th, 9th, 11th, 13th, 15th Floor</v>
      </c>
      <c r="H143" s="64"/>
      <c r="I143" s="35"/>
    </row>
    <row r="144" spans="1:14" s="36" customFormat="1" ht="15.75" hidden="1" customHeight="1" x14ac:dyDescent="0.25">
      <c r="A144" s="63" t="str">
        <f ca="1">(SUMPRODUCT(MID(0&amp;(LEFT(A143,SUM(LEN(A143)-LEN(SUBSTITUTE(A143,{"0","1","2"},""))))), LARGE(INDEX(ISNUMBER(--MID((LEFT(A143,SUM(LEN(A143)-LEN(SUBSTITUTE(A143,{"0","1","2"},""))))), ROW(INDIRECT("1:"&amp;LEN((LEFT(A143,SUM(LEN(A143)-LEN(SUBSTITUTE(A143,{"0","1","2"},"")))))))), 1)) * ROW(INDIRECT("1:"&amp;LEN((LEFT(A143,SUM(LEN(A143)-LEN(SUBSTITUTE(A143,{"0","1","2"},"")))))))), 0), ROW(INDIRECT("1:"&amp;LEN((LEFT(A143,SUM(LEN(A143)-LEN(SUBSTITUTE(A143,{"0","1","2"},"")))))))))+1, 1) * 10^ROW(INDIRECT("1:"&amp;LEN((LEFT(A143,SUM(LEN(A143)-LEN(SUBSTITUTE(A143,{"0","1","2"},""))))))))/10))*1+1&amp;""&amp;" ,.., "&amp;""&amp;(SUMPRODUCT(MID(0&amp;(--TRIM(RIGHT(SUBSTITUTE(LEFT(A143,_xlfn.AGGREGATE(16,6,FIND({0,1,2,3,4,5,6,7,8,9},A143,ROW(INDIRECT("1:"&amp;LEN(A143)))),1))," ",REPT(" ",LEN(A143))),LEN(A143)))), LARGE(INDEX(ISNUMBER(--MID((--TRIM(RIGHT(SUBSTITUTE(LEFT(A143,_xlfn.AGGREGATE(16,6,FIND({0,1,2,3,4,5,6,7,8,9},A143,ROW(INDIRECT("1:"&amp;LEN(A143)))),1))," ",REPT(" ",LEN(A143))),LEN(A143)))), ROW(INDIRECT("1:"&amp;LEN((--TRIM(RIGHT(SUBSTITUTE(LEFT(A143,_xlfn.AGGREGATE(16,6,FIND({0,1,2,3,4,5,6,7,8,9},A143,ROW(INDIRECT("1:"&amp;LEN(A143)))),1))," ",REPT(" ",LEN(A143))),LEN(A143))))))), 1)) * ROW(INDIRECT("1:"&amp;LEN((--TRIM(RIGHT(SUBSTITUTE(LEFT(A143,_xlfn.AGGREGATE(16,6,FIND({0,1,2,3,4,5,6,7,8,9},A143,ROW(INDIRECT("1:"&amp;LEN(A143)))),1))," ",REPT(" ",LEN(A143))),LEN(A143))))))), 0), ROW(INDIRECT("1:"&amp;LEN((--TRIM(RIGHT(SUBSTITUTE(LEFT(A143,_xlfn.AGGREGATE(16,6,FIND({0,1,2,3,4,5,6,7,8,9},A143,ROW(INDIRECT("1:"&amp;LEN(A143)))),1))," ",REPT(" ",LEN(A143))),LEN(A143))))))))+1, 1) * 10^ROW(INDIRECT("1:"&amp;LEN((--TRIM(RIGHT(SUBSTITUTE(LEFT(A143,_xlfn.AGGREGATE(16,6,FIND({0,1,2,3,4,5,6,7,8,9},A143,ROW(INDIRECT("1:"&amp;LEN(A143)))),1))," ",REPT(" ",LEN(A143))),LEN(A143)))))))/10))*1+1</f>
        <v>303 ,.., 1503</v>
      </c>
      <c r="B144" s="64"/>
      <c r="C144" s="54"/>
      <c r="D144" s="41"/>
      <c r="E144" s="41">
        <v>0</v>
      </c>
      <c r="F144" s="41" t="e">
        <f>D144*((#REF!)+1)+(IF(E144&lt;101,E144,IF(E144&lt;201,E144/2,IF(E144&lt;=301,E144/3,E144/4))))</f>
        <v>#REF!</v>
      </c>
      <c r="G144" s="63" t="str">
        <f>G143</f>
        <v>3rd, 5th, 7th, 9th, 11th, 13th, 15th Floor</v>
      </c>
      <c r="H144" s="64"/>
      <c r="I144" s="35"/>
    </row>
    <row r="145" spans="1:9" s="36" customFormat="1" ht="15.75" hidden="1" customHeight="1" x14ac:dyDescent="0.25">
      <c r="A145" s="63" t="str">
        <f ca="1">(SUMPRODUCT(MID(0&amp;(LEFT(A144,SUM(LEN(A144)-LEN(SUBSTITUTE(A144,{"0","1","2"},""))))), LARGE(INDEX(ISNUMBER(--MID((LEFT(A144,SUM(LEN(A144)-LEN(SUBSTITUTE(A144,{"0","1","2"},""))))), ROW(INDIRECT("1:"&amp;LEN((LEFT(A144,SUM(LEN(A144)-LEN(SUBSTITUTE(A144,{"0","1","2"},"")))))))), 1)) * ROW(INDIRECT("1:"&amp;LEN((LEFT(A144,SUM(LEN(A144)-LEN(SUBSTITUTE(A144,{"0","1","2"},"")))))))), 0), ROW(INDIRECT("1:"&amp;LEN((LEFT(A144,SUM(LEN(A144)-LEN(SUBSTITUTE(A144,{"0","1","2"},"")))))))))+1, 1) * 10^ROW(INDIRECT("1:"&amp;LEN((LEFT(A144,SUM(LEN(A144)-LEN(SUBSTITUTE(A144,{"0","1","2"},""))))))))/10))*1+1&amp;""&amp;" ,.., "&amp;""&amp;(SUMPRODUCT(MID(0&amp;(--TRIM(RIGHT(SUBSTITUTE(LEFT(A144,_xlfn.AGGREGATE(16,6,FIND({0,1,2,3,4,5,6,7,8,9},A144,ROW(INDIRECT("1:"&amp;LEN(A144)))),1))," ",REPT(" ",LEN(A144))),LEN(A144)))), LARGE(INDEX(ISNUMBER(--MID((--TRIM(RIGHT(SUBSTITUTE(LEFT(A144,_xlfn.AGGREGATE(16,6,FIND({0,1,2,3,4,5,6,7,8,9},A144,ROW(INDIRECT("1:"&amp;LEN(A144)))),1))," ",REPT(" ",LEN(A144))),LEN(A144)))), ROW(INDIRECT("1:"&amp;LEN((--TRIM(RIGHT(SUBSTITUTE(LEFT(A144,_xlfn.AGGREGATE(16,6,FIND({0,1,2,3,4,5,6,7,8,9},A144,ROW(INDIRECT("1:"&amp;LEN(A144)))),1))," ",REPT(" ",LEN(A144))),LEN(A144))))))), 1)) * ROW(INDIRECT("1:"&amp;LEN((--TRIM(RIGHT(SUBSTITUTE(LEFT(A144,_xlfn.AGGREGATE(16,6,FIND({0,1,2,3,4,5,6,7,8,9},A144,ROW(INDIRECT("1:"&amp;LEN(A144)))),1))," ",REPT(" ",LEN(A144))),LEN(A144))))))), 0), ROW(INDIRECT("1:"&amp;LEN((--TRIM(RIGHT(SUBSTITUTE(LEFT(A144,_xlfn.AGGREGATE(16,6,FIND({0,1,2,3,4,5,6,7,8,9},A144,ROW(INDIRECT("1:"&amp;LEN(A144)))),1))," ",REPT(" ",LEN(A144))),LEN(A144))))))))+1, 1) * 10^ROW(INDIRECT("1:"&amp;LEN((--TRIM(RIGHT(SUBSTITUTE(LEFT(A144,_xlfn.AGGREGATE(16,6,FIND({0,1,2,3,4,5,6,7,8,9},A144,ROW(INDIRECT("1:"&amp;LEN(A144)))),1))," ",REPT(" ",LEN(A144))),LEN(A144)))))))/10))*1+1</f>
        <v>304 ,.., 1504</v>
      </c>
      <c r="B145" s="64"/>
      <c r="C145" s="54"/>
      <c r="D145" s="41"/>
      <c r="E145" s="41">
        <v>0</v>
      </c>
      <c r="F145" s="41" t="e">
        <f>D145*((#REF!)+1)+(IF(E145&lt;101,E145,IF(E145&lt;201,E145/2,IF(E145&lt;=301,E145/3,E145/4))))</f>
        <v>#REF!</v>
      </c>
      <c r="G145" s="63" t="str">
        <f>G144</f>
        <v>3rd, 5th, 7th, 9th, 11th, 13th, 15th Floor</v>
      </c>
      <c r="H145" s="64"/>
      <c r="I145" s="35"/>
    </row>
    <row r="146" spans="1:9" s="36" customFormat="1" ht="15.75" hidden="1" customHeight="1" x14ac:dyDescent="0.25">
      <c r="A146" s="63" t="str">
        <f ca="1">(SUMPRODUCT(MID(0&amp;(LEFT(A145,SUM(LEN(A145)-LEN(SUBSTITUTE(A145,{"0","1","2"},""))))), LARGE(INDEX(ISNUMBER(--MID((LEFT(A145,SUM(LEN(A145)-LEN(SUBSTITUTE(A145,{"0","1","2"},""))))), ROW(INDIRECT("1:"&amp;LEN((LEFT(A145,SUM(LEN(A145)-LEN(SUBSTITUTE(A145,{"0","1","2"},"")))))))), 1)) * ROW(INDIRECT("1:"&amp;LEN((LEFT(A145,SUM(LEN(A145)-LEN(SUBSTITUTE(A145,{"0","1","2"},"")))))))), 0), ROW(INDIRECT("1:"&amp;LEN((LEFT(A145,SUM(LEN(A145)-LEN(SUBSTITUTE(A145,{"0","1","2"},"")))))))))+1, 1) * 10^ROW(INDIRECT("1:"&amp;LEN((LEFT(A145,SUM(LEN(A145)-LEN(SUBSTITUTE(A145,{"0","1","2"},""))))))))/10))*1+1&amp;""&amp;" ,.., "&amp;""&amp;(SUMPRODUCT(MID(0&amp;(--TRIM(RIGHT(SUBSTITUTE(LEFT(A145,_xlfn.AGGREGATE(16,6,FIND({0,1,2,3,4,5,6,7,8,9},A145,ROW(INDIRECT("1:"&amp;LEN(A145)))),1))," ",REPT(" ",LEN(A145))),LEN(A145)))), LARGE(INDEX(ISNUMBER(--MID((--TRIM(RIGHT(SUBSTITUTE(LEFT(A145,_xlfn.AGGREGATE(16,6,FIND({0,1,2,3,4,5,6,7,8,9},A145,ROW(INDIRECT("1:"&amp;LEN(A145)))),1))," ",REPT(" ",LEN(A145))),LEN(A145)))), ROW(INDIRECT("1:"&amp;LEN((--TRIM(RIGHT(SUBSTITUTE(LEFT(A145,_xlfn.AGGREGATE(16,6,FIND({0,1,2,3,4,5,6,7,8,9},A145,ROW(INDIRECT("1:"&amp;LEN(A145)))),1))," ",REPT(" ",LEN(A145))),LEN(A145))))))), 1)) * ROW(INDIRECT("1:"&amp;LEN((--TRIM(RIGHT(SUBSTITUTE(LEFT(A145,_xlfn.AGGREGATE(16,6,FIND({0,1,2,3,4,5,6,7,8,9},A145,ROW(INDIRECT("1:"&amp;LEN(A145)))),1))," ",REPT(" ",LEN(A145))),LEN(A145))))))), 0), ROW(INDIRECT("1:"&amp;LEN((--TRIM(RIGHT(SUBSTITUTE(LEFT(A145,_xlfn.AGGREGATE(16,6,FIND({0,1,2,3,4,5,6,7,8,9},A145,ROW(INDIRECT("1:"&amp;LEN(A145)))),1))," ",REPT(" ",LEN(A145))),LEN(A145))))))))+1, 1) * 10^ROW(INDIRECT("1:"&amp;LEN((--TRIM(RIGHT(SUBSTITUTE(LEFT(A145,_xlfn.AGGREGATE(16,6,FIND({0,1,2,3,4,5,6,7,8,9},A145,ROW(INDIRECT("1:"&amp;LEN(A145)))),1))," ",REPT(" ",LEN(A145))),LEN(A145)))))))/10))*1+1</f>
        <v>305 ,.., 1505</v>
      </c>
      <c r="B146" s="64"/>
      <c r="C146" s="54"/>
      <c r="D146" s="41"/>
      <c r="E146" s="41">
        <v>0</v>
      </c>
      <c r="F146" s="41" t="e">
        <f>D146*((#REF!)+1)+(IF(E146&lt;101,E146,IF(E146&lt;201,E146/2,IF(E146&lt;=301,E146/3,E146/4))))</f>
        <v>#REF!</v>
      </c>
      <c r="G146" s="63" t="str">
        <f>G145</f>
        <v>3rd, 5th, 7th, 9th, 11th, 13th, 15th Floor</v>
      </c>
      <c r="H146" s="64"/>
      <c r="I146" s="35"/>
    </row>
    <row r="147" spans="1:9" s="36" customFormat="1" hidden="1" x14ac:dyDescent="0.25">
      <c r="A147" s="99" t="s">
        <v>153</v>
      </c>
      <c r="B147" s="100"/>
      <c r="C147" s="100"/>
      <c r="D147" s="100"/>
      <c r="E147" s="100"/>
      <c r="F147" s="100"/>
      <c r="G147" s="100"/>
      <c r="H147" s="101"/>
      <c r="I147" s="35"/>
    </row>
    <row r="148" spans="1:9" s="36" customFormat="1" hidden="1" x14ac:dyDescent="0.25">
      <c r="A148" s="63" t="str">
        <f ca="1">(SUMPRODUCT(MID(0&amp;(LEFT(A147,SUM(LEN(A147)-LEN(SUBSTITUTE(A147,{"0","1","2"},""))))), LARGE(INDEX(ISNUMBER(--MID((LEFT(A147,SUM(LEN(A147)-LEN(SUBSTITUTE(A147,{"0","1","2"},""))))), ROW(INDIRECT("1:"&amp;LEN((LEFT(A147,SUM(LEN(A147)-LEN(SUBSTITUTE(A147,{"0","1","2"},"")))))))), 1)) * ROW(INDIRECT("1:"&amp;LEN((LEFT(A147,SUM(LEN(A147)-LEN(SUBSTITUTE(A147,{"0","1","2"},"")))))))), 0), ROW(INDIRECT("1:"&amp;LEN((LEFT(A147,SUM(LEN(A147)-LEN(SUBSTITUTE(A147,{"0","1","2"},"")))))))))+1, 1) * 10^ROW(INDIRECT("1:"&amp;LEN((LEFT(A147,SUM(LEN(A147)-LEN(SUBSTITUTE(A147,{"0","1","2"},""))))))))/10))*100+1&amp;""&amp;" to "&amp;""&amp;(SUMPRODUCT(MID(0&amp;(--TRIM(RIGHT(SUBSTITUTE(LEFT(A147,_xlfn.AGGREGATE(16,6,FIND({0,1,2,3,4,5,6,7,8,9},A147,ROW(INDIRECT("1:"&amp;LEN(A147)))),1))," ",REPT(" ",LEN(A147))),LEN(A147)))), LARGE(INDEX(ISNUMBER(--MID((--TRIM(RIGHT(SUBSTITUTE(LEFT(A147,_xlfn.AGGREGATE(16,6,FIND({0,1,2,3,4,5,6,7,8,9},A147,ROW(INDIRECT("1:"&amp;LEN(A147)))),1))," ",REPT(" ",LEN(A147))),LEN(A147)))), ROW(INDIRECT("1:"&amp;LEN((--TRIM(RIGHT(SUBSTITUTE(LEFT(A147,_xlfn.AGGREGATE(16,6,FIND({0,1,2,3,4,5,6,7,8,9},A147,ROW(INDIRECT("1:"&amp;LEN(A147)))),1))," ",REPT(" ",LEN(A147))),LEN(A147))))))), 1)) * ROW(INDIRECT("1:"&amp;LEN((--TRIM(RIGHT(SUBSTITUTE(LEFT(A147,_xlfn.AGGREGATE(16,6,FIND({0,1,2,3,4,5,6,7,8,9},A147,ROW(INDIRECT("1:"&amp;LEN(A147)))),1))," ",REPT(" ",LEN(A147))),LEN(A147))))))), 0), ROW(INDIRECT("1:"&amp;LEN((--TRIM(RIGHT(SUBSTITUTE(LEFT(A147,_xlfn.AGGREGATE(16,6,FIND({0,1,2,3,4,5,6,7,8,9},A147,ROW(INDIRECT("1:"&amp;LEN(A147)))),1))," ",REPT(" ",LEN(A147))),LEN(A147))))))))+1, 1) * 10^ROW(INDIRECT("1:"&amp;LEN((--TRIM(RIGHT(SUBSTITUTE(LEFT(A147,_xlfn.AGGREGATE(16,6,FIND({0,1,2,3,4,5,6,7,8,9},A147,ROW(INDIRECT("1:"&amp;LEN(A147)))),1))," ",REPT(" ",LEN(A147))),LEN(A147)))))))/10))*100+1</f>
        <v>201 to 501</v>
      </c>
      <c r="B148" s="64"/>
      <c r="C148" s="54"/>
      <c r="D148" s="41"/>
      <c r="E148" s="41">
        <v>0</v>
      </c>
      <c r="F148" s="41" t="e">
        <f>D148*((#REF!)+1)+(IF(E148&lt;101,E148,IF(E148&lt;201,E148/2,IF(E148&lt;=301,E148/3,E148/4))))</f>
        <v>#REF!</v>
      </c>
      <c r="G148" s="63" t="str">
        <f>A147</f>
        <v>2nd to 5th Floor</v>
      </c>
      <c r="H148" s="64"/>
      <c r="I148" s="35"/>
    </row>
    <row r="149" spans="1:9" s="36" customFormat="1" hidden="1" x14ac:dyDescent="0.25">
      <c r="A149" s="63" t="str">
        <f ca="1">(SUMPRODUCT(MID(0&amp;(LEFT(A148,SUM(LEN(A148)-LEN(SUBSTITUTE(A148,{"0","1","2"},""))))), LARGE(INDEX(ISNUMBER(--MID((LEFT(A148,SUM(LEN(A148)-LEN(SUBSTITUTE(A148,{"0","1","2"},""))))), ROW(INDIRECT("1:"&amp;LEN((LEFT(A148,SUM(LEN(A148)-LEN(SUBSTITUTE(A148,{"0","1","2"},"")))))))), 1)) * ROW(INDIRECT("1:"&amp;LEN((LEFT(A148,SUM(LEN(A148)-LEN(SUBSTITUTE(A148,{"0","1","2"},"")))))))), 0), ROW(INDIRECT("1:"&amp;LEN((LEFT(A148,SUM(LEN(A148)-LEN(SUBSTITUTE(A148,{"0","1","2"},"")))))))))+1, 1) * 10^ROW(INDIRECT("1:"&amp;LEN((LEFT(A148,SUM(LEN(A148)-LEN(SUBSTITUTE(A148,{"0","1","2"},""))))))))/10))*1+1&amp;""&amp;" to "&amp;""&amp;(SUMPRODUCT(MID(0&amp;(--TRIM(RIGHT(SUBSTITUTE(LEFT(A148,_xlfn.AGGREGATE(16,6,FIND({0,1,2,3,4,5,6,7,8,9},A148,ROW(INDIRECT("1:"&amp;LEN(A148)))),1))," ",REPT(" ",LEN(A148))),LEN(A148)))), LARGE(INDEX(ISNUMBER(--MID((--TRIM(RIGHT(SUBSTITUTE(LEFT(A148,_xlfn.AGGREGATE(16,6,FIND({0,1,2,3,4,5,6,7,8,9},A148,ROW(INDIRECT("1:"&amp;LEN(A148)))),1))," ",REPT(" ",LEN(A148))),LEN(A148)))), ROW(INDIRECT("1:"&amp;LEN((--TRIM(RIGHT(SUBSTITUTE(LEFT(A148,_xlfn.AGGREGATE(16,6,FIND({0,1,2,3,4,5,6,7,8,9},A148,ROW(INDIRECT("1:"&amp;LEN(A148)))),1))," ",REPT(" ",LEN(A148))),LEN(A148))))))), 1)) * ROW(INDIRECT("1:"&amp;LEN((--TRIM(RIGHT(SUBSTITUTE(LEFT(A148,_xlfn.AGGREGATE(16,6,FIND({0,1,2,3,4,5,6,7,8,9},A148,ROW(INDIRECT("1:"&amp;LEN(A148)))),1))," ",REPT(" ",LEN(A148))),LEN(A148))))))), 0), ROW(INDIRECT("1:"&amp;LEN((--TRIM(RIGHT(SUBSTITUTE(LEFT(A148,_xlfn.AGGREGATE(16,6,FIND({0,1,2,3,4,5,6,7,8,9},A148,ROW(INDIRECT("1:"&amp;LEN(A148)))),1))," ",REPT(" ",LEN(A148))),LEN(A148))))))))+1, 1) * 10^ROW(INDIRECT("1:"&amp;LEN((--TRIM(RIGHT(SUBSTITUTE(LEFT(A148,_xlfn.AGGREGATE(16,6,FIND({0,1,2,3,4,5,6,7,8,9},A148,ROW(INDIRECT("1:"&amp;LEN(A148)))),1))," ",REPT(" ",LEN(A148))),LEN(A148)))))))/10))*1+1</f>
        <v>202 to 502</v>
      </c>
      <c r="B149" s="64"/>
      <c r="C149" s="54"/>
      <c r="D149" s="41"/>
      <c r="E149" s="41">
        <v>0</v>
      </c>
      <c r="F149" s="41" t="e">
        <f>D149*((#REF!)+1)+(IF(E149&lt;101,E149,IF(E149&lt;201,E149/2,IF(E149&lt;=301,E149/3,E149/4))))</f>
        <v>#REF!</v>
      </c>
      <c r="G149" s="63" t="str">
        <f>G148</f>
        <v>2nd to 5th Floor</v>
      </c>
      <c r="H149" s="64"/>
      <c r="I149" s="35"/>
    </row>
    <row r="150" spans="1:9" s="36" customFormat="1" hidden="1" x14ac:dyDescent="0.25">
      <c r="A150" s="63" t="str">
        <f ca="1">(SUMPRODUCT(MID(0&amp;(LEFT(A149,SUM(LEN(A149)-LEN(SUBSTITUTE(A149,{"0","1","2"},""))))), LARGE(INDEX(ISNUMBER(--MID((LEFT(A149,SUM(LEN(A149)-LEN(SUBSTITUTE(A149,{"0","1","2"},""))))), ROW(INDIRECT("1:"&amp;LEN((LEFT(A149,SUM(LEN(A149)-LEN(SUBSTITUTE(A149,{"0","1","2"},"")))))))), 1)) * ROW(INDIRECT("1:"&amp;LEN((LEFT(A149,SUM(LEN(A149)-LEN(SUBSTITUTE(A149,{"0","1","2"},"")))))))), 0), ROW(INDIRECT("1:"&amp;LEN((LEFT(A149,SUM(LEN(A149)-LEN(SUBSTITUTE(A149,{"0","1","2"},"")))))))))+1, 1) * 10^ROW(INDIRECT("1:"&amp;LEN((LEFT(A149,SUM(LEN(A149)-LEN(SUBSTITUTE(A149,{"0","1","2"},""))))))))/10))*1+1&amp;""&amp;" to "&amp;""&amp;(SUMPRODUCT(MID(0&amp;(--TRIM(RIGHT(SUBSTITUTE(LEFT(A149,_xlfn.AGGREGATE(16,6,FIND({0,1,2,3,4,5,6,7,8,9},A149,ROW(INDIRECT("1:"&amp;LEN(A149)))),1))," ",REPT(" ",LEN(A149))),LEN(A149)))), LARGE(INDEX(ISNUMBER(--MID((--TRIM(RIGHT(SUBSTITUTE(LEFT(A149,_xlfn.AGGREGATE(16,6,FIND({0,1,2,3,4,5,6,7,8,9},A149,ROW(INDIRECT("1:"&amp;LEN(A149)))),1))," ",REPT(" ",LEN(A149))),LEN(A149)))), ROW(INDIRECT("1:"&amp;LEN((--TRIM(RIGHT(SUBSTITUTE(LEFT(A149,_xlfn.AGGREGATE(16,6,FIND({0,1,2,3,4,5,6,7,8,9},A149,ROW(INDIRECT("1:"&amp;LEN(A149)))),1))," ",REPT(" ",LEN(A149))),LEN(A149))))))), 1)) * ROW(INDIRECT("1:"&amp;LEN((--TRIM(RIGHT(SUBSTITUTE(LEFT(A149,_xlfn.AGGREGATE(16,6,FIND({0,1,2,3,4,5,6,7,8,9},A149,ROW(INDIRECT("1:"&amp;LEN(A149)))),1))," ",REPT(" ",LEN(A149))),LEN(A149))))))), 0), ROW(INDIRECT("1:"&amp;LEN((--TRIM(RIGHT(SUBSTITUTE(LEFT(A149,_xlfn.AGGREGATE(16,6,FIND({0,1,2,3,4,5,6,7,8,9},A149,ROW(INDIRECT("1:"&amp;LEN(A149)))),1))," ",REPT(" ",LEN(A149))),LEN(A149))))))))+1, 1) * 10^ROW(INDIRECT("1:"&amp;LEN((--TRIM(RIGHT(SUBSTITUTE(LEFT(A149,_xlfn.AGGREGATE(16,6,FIND({0,1,2,3,4,5,6,7,8,9},A149,ROW(INDIRECT("1:"&amp;LEN(A149)))),1))," ",REPT(" ",LEN(A149))),LEN(A149)))))))/10))*1+1</f>
        <v>203 to 503</v>
      </c>
      <c r="B150" s="64"/>
      <c r="C150" s="54"/>
      <c r="D150" s="41"/>
      <c r="E150" s="41">
        <v>0</v>
      </c>
      <c r="F150" s="41" t="e">
        <f>D150*((#REF!)+1)+(IF(E150&lt;101,E150,IF(E150&lt;201,E150/2,IF(E150&lt;=301,E150/3,E150/4))))</f>
        <v>#REF!</v>
      </c>
      <c r="G150" s="63" t="str">
        <f>G149</f>
        <v>2nd to 5th Floor</v>
      </c>
      <c r="H150" s="64"/>
      <c r="I150" s="35"/>
    </row>
    <row r="151" spans="1:9" s="36" customFormat="1" hidden="1" x14ac:dyDescent="0.25">
      <c r="A151" s="63" t="str">
        <f ca="1">(SUMPRODUCT(MID(0&amp;(LEFT(A150,SUM(LEN(A150)-LEN(SUBSTITUTE(A150,{"0","1","2"},""))))), LARGE(INDEX(ISNUMBER(--MID((LEFT(A150,SUM(LEN(A150)-LEN(SUBSTITUTE(A150,{"0","1","2"},""))))), ROW(INDIRECT("1:"&amp;LEN((LEFT(A150,SUM(LEN(A150)-LEN(SUBSTITUTE(A150,{"0","1","2"},"")))))))), 1)) * ROW(INDIRECT("1:"&amp;LEN((LEFT(A150,SUM(LEN(A150)-LEN(SUBSTITUTE(A150,{"0","1","2"},"")))))))), 0), ROW(INDIRECT("1:"&amp;LEN((LEFT(A150,SUM(LEN(A150)-LEN(SUBSTITUTE(A150,{"0","1","2"},"")))))))))+1, 1) * 10^ROW(INDIRECT("1:"&amp;LEN((LEFT(A150,SUM(LEN(A150)-LEN(SUBSTITUTE(A150,{"0","1","2"},""))))))))/10))*1+1&amp;""&amp;" to "&amp;""&amp;(SUMPRODUCT(MID(0&amp;(--TRIM(RIGHT(SUBSTITUTE(LEFT(A150,_xlfn.AGGREGATE(16,6,FIND({0,1,2,3,4,5,6,7,8,9},A150,ROW(INDIRECT("1:"&amp;LEN(A150)))),1))," ",REPT(" ",LEN(A150))),LEN(A150)))), LARGE(INDEX(ISNUMBER(--MID((--TRIM(RIGHT(SUBSTITUTE(LEFT(A150,_xlfn.AGGREGATE(16,6,FIND({0,1,2,3,4,5,6,7,8,9},A150,ROW(INDIRECT("1:"&amp;LEN(A150)))),1))," ",REPT(" ",LEN(A150))),LEN(A150)))), ROW(INDIRECT("1:"&amp;LEN((--TRIM(RIGHT(SUBSTITUTE(LEFT(A150,_xlfn.AGGREGATE(16,6,FIND({0,1,2,3,4,5,6,7,8,9},A150,ROW(INDIRECT("1:"&amp;LEN(A150)))),1))," ",REPT(" ",LEN(A150))),LEN(A150))))))), 1)) * ROW(INDIRECT("1:"&amp;LEN((--TRIM(RIGHT(SUBSTITUTE(LEFT(A150,_xlfn.AGGREGATE(16,6,FIND({0,1,2,3,4,5,6,7,8,9},A150,ROW(INDIRECT("1:"&amp;LEN(A150)))),1))," ",REPT(" ",LEN(A150))),LEN(A150))))))), 0), ROW(INDIRECT("1:"&amp;LEN((--TRIM(RIGHT(SUBSTITUTE(LEFT(A150,_xlfn.AGGREGATE(16,6,FIND({0,1,2,3,4,5,6,7,8,9},A150,ROW(INDIRECT("1:"&amp;LEN(A150)))),1))," ",REPT(" ",LEN(A150))),LEN(A150))))))))+1, 1) * 10^ROW(INDIRECT("1:"&amp;LEN((--TRIM(RIGHT(SUBSTITUTE(LEFT(A150,_xlfn.AGGREGATE(16,6,FIND({0,1,2,3,4,5,6,7,8,9},A150,ROW(INDIRECT("1:"&amp;LEN(A150)))),1))," ",REPT(" ",LEN(A150))),LEN(A150)))))))/10))*1+1</f>
        <v>204 to 504</v>
      </c>
      <c r="B151" s="64"/>
      <c r="C151" s="54"/>
      <c r="D151" s="41"/>
      <c r="E151" s="41">
        <v>0</v>
      </c>
      <c r="F151" s="41" t="e">
        <f>D151*((#REF!)+1)+(IF(E151&lt;101,E151,IF(E151&lt;201,E151/2,IF(E151&lt;=301,E151/3,E151/4))))</f>
        <v>#REF!</v>
      </c>
      <c r="G151" s="63" t="str">
        <f>G150</f>
        <v>2nd to 5th Floor</v>
      </c>
      <c r="H151" s="64"/>
      <c r="I151" s="35"/>
    </row>
    <row r="152" spans="1:9" s="36" customFormat="1" hidden="1" x14ac:dyDescent="0.25">
      <c r="A152" s="63" t="str">
        <f ca="1">(SUMPRODUCT(MID(0&amp;(LEFT(A151,SUM(LEN(A151)-LEN(SUBSTITUTE(A151,{"0","1","2"},""))))), LARGE(INDEX(ISNUMBER(--MID((LEFT(A151,SUM(LEN(A151)-LEN(SUBSTITUTE(A151,{"0","1","2"},""))))), ROW(INDIRECT("1:"&amp;LEN((LEFT(A151,SUM(LEN(A151)-LEN(SUBSTITUTE(A151,{"0","1","2"},"")))))))), 1)) * ROW(INDIRECT("1:"&amp;LEN((LEFT(A151,SUM(LEN(A151)-LEN(SUBSTITUTE(A151,{"0","1","2"},"")))))))), 0), ROW(INDIRECT("1:"&amp;LEN((LEFT(A151,SUM(LEN(A151)-LEN(SUBSTITUTE(A151,{"0","1","2"},"")))))))))+1, 1) * 10^ROW(INDIRECT("1:"&amp;LEN((LEFT(A151,SUM(LEN(A151)-LEN(SUBSTITUTE(A151,{"0","1","2"},""))))))))/10))*1+1&amp;""&amp;" to "&amp;""&amp;(SUMPRODUCT(MID(0&amp;(--TRIM(RIGHT(SUBSTITUTE(LEFT(A151,_xlfn.AGGREGATE(16,6,FIND({0,1,2,3,4,5,6,7,8,9},A151,ROW(INDIRECT("1:"&amp;LEN(A151)))),1))," ",REPT(" ",LEN(A151))),LEN(A151)))), LARGE(INDEX(ISNUMBER(--MID((--TRIM(RIGHT(SUBSTITUTE(LEFT(A151,_xlfn.AGGREGATE(16,6,FIND({0,1,2,3,4,5,6,7,8,9},A151,ROW(INDIRECT("1:"&amp;LEN(A151)))),1))," ",REPT(" ",LEN(A151))),LEN(A151)))), ROW(INDIRECT("1:"&amp;LEN((--TRIM(RIGHT(SUBSTITUTE(LEFT(A151,_xlfn.AGGREGATE(16,6,FIND({0,1,2,3,4,5,6,7,8,9},A151,ROW(INDIRECT("1:"&amp;LEN(A151)))),1))," ",REPT(" ",LEN(A151))),LEN(A151))))))), 1)) * ROW(INDIRECT("1:"&amp;LEN((--TRIM(RIGHT(SUBSTITUTE(LEFT(A151,_xlfn.AGGREGATE(16,6,FIND({0,1,2,3,4,5,6,7,8,9},A151,ROW(INDIRECT("1:"&amp;LEN(A151)))),1))," ",REPT(" ",LEN(A151))),LEN(A151))))))), 0), ROW(INDIRECT("1:"&amp;LEN((--TRIM(RIGHT(SUBSTITUTE(LEFT(A151,_xlfn.AGGREGATE(16,6,FIND({0,1,2,3,4,5,6,7,8,9},A151,ROW(INDIRECT("1:"&amp;LEN(A151)))),1))," ",REPT(" ",LEN(A151))),LEN(A151))))))))+1, 1) * 10^ROW(INDIRECT("1:"&amp;LEN((--TRIM(RIGHT(SUBSTITUTE(LEFT(A151,_xlfn.AGGREGATE(16,6,FIND({0,1,2,3,4,5,6,7,8,9},A151,ROW(INDIRECT("1:"&amp;LEN(A151)))),1))," ",REPT(" ",LEN(A151))),LEN(A151)))))))/10))*1+1</f>
        <v>205 to 505</v>
      </c>
      <c r="B152" s="64"/>
      <c r="C152" s="54"/>
      <c r="D152" s="41"/>
      <c r="E152" s="41">
        <v>0</v>
      </c>
      <c r="F152" s="41" t="e">
        <f>D152*((#REF!)+1)+(IF(E152&lt;101,E152,IF(E152&lt;201,E152/2,IF(E152&lt;=301,E152/3,E152/4))))</f>
        <v>#REF!</v>
      </c>
      <c r="G152" s="63" t="str">
        <f>G151</f>
        <v>2nd to 5th Floor</v>
      </c>
      <c r="H152" s="64"/>
      <c r="I152" s="35"/>
    </row>
    <row r="153" spans="1:9" s="36" customFormat="1" hidden="1" x14ac:dyDescent="0.25">
      <c r="A153" s="99" t="s">
        <v>154</v>
      </c>
      <c r="B153" s="100"/>
      <c r="C153" s="100"/>
      <c r="D153" s="100"/>
      <c r="E153" s="100"/>
      <c r="F153" s="100"/>
      <c r="G153" s="100"/>
      <c r="H153" s="101"/>
      <c r="I153" s="35"/>
    </row>
    <row r="154" spans="1:9" s="36" customFormat="1" hidden="1" x14ac:dyDescent="0.25">
      <c r="A154" s="63" t="str">
        <f ca="1">(SUMPRODUCT(MID(0&amp;(LEFT(A153,SUM(LEN(A153)-LEN(SUBSTITUTE(A153,{"0","1","2"},""))))), LARGE(INDEX(ISNUMBER(--MID((LEFT(A153,SUM(LEN(A153)-LEN(SUBSTITUTE(A153,{"0","1","2"},""))))), ROW(INDIRECT("1:"&amp;LEN((LEFT(A153,SUM(LEN(A153)-LEN(SUBSTITUTE(A153,{"0","1","2"},"")))))))), 1)) * ROW(INDIRECT("1:"&amp;LEN((LEFT(A153,SUM(LEN(A153)-LEN(SUBSTITUTE(A153,{"0","1","2"},"")))))))), 0), ROW(INDIRECT("1:"&amp;LEN((LEFT(A153,SUM(LEN(A153)-LEN(SUBSTITUTE(A153,{"0","1","2"},"")))))))))+1, 1) * 10^ROW(INDIRECT("1:"&amp;LEN((LEFT(A153,SUM(LEN(A153)-LEN(SUBSTITUTE(A153,{"0","1","2"},""))))))))/10))*100+1&amp;""&amp;" &amp; "&amp;""&amp;(SUMPRODUCT(MID(0&amp;(--TRIM(RIGHT(SUBSTITUTE(LEFT(A153,_xlfn.AGGREGATE(16,6,FIND({0,1,2,3,4,5,6,7,8,9},A153,ROW(INDIRECT("1:"&amp;LEN(A153)))),1))," ",REPT(" ",LEN(A153))),LEN(A153)))), LARGE(INDEX(ISNUMBER(--MID((--TRIM(RIGHT(SUBSTITUTE(LEFT(A153,_xlfn.AGGREGATE(16,6,FIND({0,1,2,3,4,5,6,7,8,9},A153,ROW(INDIRECT("1:"&amp;LEN(A153)))),1))," ",REPT(" ",LEN(A153))),LEN(A153)))), ROW(INDIRECT("1:"&amp;LEN((--TRIM(RIGHT(SUBSTITUTE(LEFT(A153,_xlfn.AGGREGATE(16,6,FIND({0,1,2,3,4,5,6,7,8,9},A153,ROW(INDIRECT("1:"&amp;LEN(A153)))),1))," ",REPT(" ",LEN(A153))),LEN(A153))))))), 1)) * ROW(INDIRECT("1:"&amp;LEN((--TRIM(RIGHT(SUBSTITUTE(LEFT(A153,_xlfn.AGGREGATE(16,6,FIND({0,1,2,3,4,5,6,7,8,9},A153,ROW(INDIRECT("1:"&amp;LEN(A153)))),1))," ",REPT(" ",LEN(A153))),LEN(A153))))))), 0), ROW(INDIRECT("1:"&amp;LEN((--TRIM(RIGHT(SUBSTITUTE(LEFT(A153,_xlfn.AGGREGATE(16,6,FIND({0,1,2,3,4,5,6,7,8,9},A153,ROW(INDIRECT("1:"&amp;LEN(A153)))),1))," ",REPT(" ",LEN(A153))),LEN(A153))))))))+1, 1) * 10^ROW(INDIRECT("1:"&amp;LEN((--TRIM(RIGHT(SUBSTITUTE(LEFT(A153,_xlfn.AGGREGATE(16,6,FIND({0,1,2,3,4,5,6,7,8,9},A153,ROW(INDIRECT("1:"&amp;LEN(A153)))),1))," ",REPT(" ",LEN(A153))),LEN(A153)))))))/10))*100+1</f>
        <v>201 &amp; 501</v>
      </c>
      <c r="B154" s="64"/>
      <c r="C154" s="54"/>
      <c r="D154" s="41"/>
      <c r="E154" s="41">
        <v>0</v>
      </c>
      <c r="F154" s="41" t="e">
        <f>D154*((#REF!)+1)+(IF(E154&lt;101,E154,IF(E154&lt;201,E154/2,IF(E154&lt;=301,E154/3,E154/4))))</f>
        <v>#REF!</v>
      </c>
      <c r="G154" s="63" t="str">
        <f>A153</f>
        <v>2nd &amp; 5th Floor</v>
      </c>
      <c r="H154" s="64"/>
      <c r="I154" s="35"/>
    </row>
    <row r="155" spans="1:9" s="36" customFormat="1" hidden="1" x14ac:dyDescent="0.25">
      <c r="A155" s="63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10^ROW(INDIRECT("1:"&amp;LEN((LEFT(A154,SUM(LEN(A154)-LEN(SUBSTITUTE(A154,{"0","1","2"},""))))))))/10))*1+1&amp;""&amp;" &amp;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",LEN(A154))),LEN(A154)))))))/10))*1+1</f>
        <v>202 &amp; 502</v>
      </c>
      <c r="B155" s="64"/>
      <c r="C155" s="54"/>
      <c r="D155" s="41"/>
      <c r="E155" s="41">
        <v>0</v>
      </c>
      <c r="F155" s="41" t="e">
        <f>D155*((#REF!)+1)+(IF(E155&lt;101,E155,IF(E155&lt;201,E155/2,IF(E155&lt;=301,E155/3,E155/4))))</f>
        <v>#REF!</v>
      </c>
      <c r="G155" s="63" t="str">
        <f t="shared" ref="G155:G158" si="7">G154</f>
        <v>2nd &amp; 5th Floor</v>
      </c>
      <c r="H155" s="64"/>
      <c r="I155" s="35"/>
    </row>
    <row r="156" spans="1:9" s="36" customFormat="1" hidden="1" x14ac:dyDescent="0.25">
      <c r="A156" s="63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10^ROW(INDIRECT("1:"&amp;LEN((LEFT(A155,SUM(LEN(A155)-LEN(SUBSTITUTE(A155,{"0","1","2"},""))))))))/10))*1+1&amp;""&amp;" &amp;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",LEN(A155))),LEN(A155)))))))/10))*1+1</f>
        <v>203 &amp; 503</v>
      </c>
      <c r="B156" s="64"/>
      <c r="C156" s="54"/>
      <c r="D156" s="41"/>
      <c r="E156" s="41">
        <v>0</v>
      </c>
      <c r="F156" s="41" t="e">
        <f>D156*((#REF!)+1)+(IF(E156&lt;101,E156,IF(E156&lt;201,E156/2,IF(E156&lt;=301,E156/3,E156/4))))</f>
        <v>#REF!</v>
      </c>
      <c r="G156" s="63" t="str">
        <f t="shared" si="7"/>
        <v>2nd &amp; 5th Floor</v>
      </c>
      <c r="H156" s="64"/>
      <c r="I156" s="35"/>
    </row>
    <row r="157" spans="1:9" s="36" customFormat="1" hidden="1" x14ac:dyDescent="0.25">
      <c r="A157" s="63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&amp;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204 &amp; 504</v>
      </c>
      <c r="B157" s="64"/>
      <c r="C157" s="54"/>
      <c r="D157" s="41"/>
      <c r="E157" s="41">
        <v>0</v>
      </c>
      <c r="F157" s="41" t="e">
        <f>D157*((#REF!)+1)+(IF(E157&lt;101,E157,IF(E157&lt;201,E157/2,IF(E157&lt;=301,E157/3,E157/4))))</f>
        <v>#REF!</v>
      </c>
      <c r="G157" s="63" t="str">
        <f t="shared" si="7"/>
        <v>2nd &amp; 5th Floor</v>
      </c>
      <c r="H157" s="64"/>
      <c r="I157" s="35"/>
    </row>
    <row r="158" spans="1:9" s="36" customFormat="1" hidden="1" x14ac:dyDescent="0.25">
      <c r="A158" s="63" t="str">
        <f ca="1">(SUMPRODUCT(MID(0&amp;(LEFT(A157,SUM(LEN(A157)-LEN(SUBSTITUTE(A157,{"0","1","2"},""))))), LARGE(INDEX(ISNUMBER(--MID((LEFT(A157,SUM(LEN(A157)-LEN(SUBSTITUTE(A157,{"0","1","2"},""))))), ROW(INDIRECT("1:"&amp;LEN((LEFT(A157,SUM(LEN(A157)-LEN(SUBSTITUTE(A157,{"0","1","2"},"")))))))), 1)) * ROW(INDIRECT("1:"&amp;LEN((LEFT(A157,SUM(LEN(A157)-LEN(SUBSTITUTE(A157,{"0","1","2"},"")))))))), 0), ROW(INDIRECT("1:"&amp;LEN((LEFT(A157,SUM(LEN(A157)-LEN(SUBSTITUTE(A157,{"0","1","2"},"")))))))))+1, 1) * 10^ROW(INDIRECT("1:"&amp;LEN((LEFT(A157,SUM(LEN(A157)-LEN(SUBSTITUTE(A157,{"0","1","2"},""))))))))/10))*1+1&amp;""&amp;" &amp; "&amp;""&amp;(SUMPRODUCT(MID(0&amp;(--TRIM(RIGHT(SUBSTITUTE(LEFT(A157,_xlfn.AGGREGATE(16,6,FIND({0,1,2,3,4,5,6,7,8,9},A157,ROW(INDIRECT("1:"&amp;LEN(A157)))),1)),"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",LEN(A157))),LEN(A157)))))))/10))*1+1</f>
        <v>205 &amp; 505</v>
      </c>
      <c r="B158" s="64"/>
      <c r="C158" s="54"/>
      <c r="D158" s="41"/>
      <c r="E158" s="41">
        <v>0</v>
      </c>
      <c r="F158" s="41" t="e">
        <f>D158*((#REF!)+1)+(IF(E158&lt;101,E158,IF(E158&lt;201,E158/2,IF(E158&lt;=301,E158/3,E158/4))))</f>
        <v>#REF!</v>
      </c>
      <c r="G158" s="63" t="str">
        <f t="shared" si="7"/>
        <v>2nd &amp; 5th Floor</v>
      </c>
      <c r="H158" s="64"/>
      <c r="I158" s="35"/>
    </row>
    <row r="159" spans="1:9" s="34" customFormat="1" x14ac:dyDescent="0.25">
      <c r="A159" s="161" t="s">
        <v>70</v>
      </c>
      <c r="B159" s="161"/>
      <c r="C159" s="161"/>
      <c r="D159" s="161"/>
      <c r="E159" s="161"/>
      <c r="F159" s="161"/>
      <c r="G159" s="161"/>
      <c r="H159" s="161"/>
    </row>
    <row r="160" spans="1:9" s="34" customFormat="1" x14ac:dyDescent="0.25">
      <c r="A160" s="46" t="s">
        <v>162</v>
      </c>
      <c r="B160" s="91" t="s">
        <v>229</v>
      </c>
      <c r="C160" s="92"/>
      <c r="D160" s="92"/>
      <c r="E160" s="92"/>
      <c r="F160" s="92"/>
      <c r="G160" s="92"/>
      <c r="H160" s="93"/>
    </row>
    <row r="161" spans="1:8" s="34" customFormat="1" x14ac:dyDescent="0.25">
      <c r="A161" s="46" t="s">
        <v>162</v>
      </c>
      <c r="B161" s="91" t="str">
        <f>(IF(F115="Saleable area Loading :","We have considered Saleable area of Flats as per our Calculation.","We considered Saleable area of Flat as per Builder area Sheet."))</f>
        <v>We considered Saleable area of Flat as per Builder area Sheet.</v>
      </c>
      <c r="C161" s="92"/>
      <c r="D161" s="92"/>
      <c r="E161" s="92"/>
      <c r="F161" s="92"/>
      <c r="G161" s="92"/>
      <c r="H161" s="93"/>
    </row>
    <row r="162" spans="1:8" s="34" customFormat="1" x14ac:dyDescent="0.25">
      <c r="A162" s="46" t="s">
        <v>162</v>
      </c>
      <c r="B162" s="91" t="str">
        <f>(IF(F104="Saleable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62" s="92"/>
      <c r="D162" s="92"/>
      <c r="E162" s="92"/>
      <c r="F162" s="92"/>
      <c r="G162" s="92"/>
      <c r="H162" s="93"/>
    </row>
    <row r="163" spans="1:8" s="34" customFormat="1" x14ac:dyDescent="0.25">
      <c r="A163" s="46" t="s">
        <v>162</v>
      </c>
      <c r="B163" s="112" t="s">
        <v>130</v>
      </c>
      <c r="C163" s="113"/>
      <c r="D163" s="113"/>
      <c r="E163" s="113"/>
      <c r="F163" s="113"/>
      <c r="G163" s="113"/>
      <c r="H163" s="114"/>
    </row>
    <row r="164" spans="1:8" s="34" customFormat="1" x14ac:dyDescent="0.25">
      <c r="A164" s="46" t="s">
        <v>162</v>
      </c>
      <c r="B164" s="112" t="s">
        <v>208</v>
      </c>
      <c r="C164" s="113"/>
      <c r="D164" s="113"/>
      <c r="E164" s="113"/>
      <c r="F164" s="113"/>
      <c r="G164" s="113"/>
      <c r="H164" s="114"/>
    </row>
    <row r="165" spans="1:8" s="34" customFormat="1" x14ac:dyDescent="0.25">
      <c r="A165" s="46" t="s">
        <v>162</v>
      </c>
      <c r="B165" s="112" t="s">
        <v>161</v>
      </c>
      <c r="C165" s="113"/>
      <c r="D165" s="113"/>
      <c r="E165" s="113"/>
      <c r="F165" s="113"/>
      <c r="G165" s="113"/>
      <c r="H165" s="114"/>
    </row>
    <row r="166" spans="1:8" s="34" customFormat="1" x14ac:dyDescent="0.25">
      <c r="A166" s="46" t="s">
        <v>162</v>
      </c>
      <c r="B166" s="112" t="s">
        <v>131</v>
      </c>
      <c r="C166" s="113"/>
      <c r="D166" s="113"/>
      <c r="E166" s="113"/>
      <c r="F166" s="113"/>
      <c r="G166" s="113"/>
      <c r="H166" s="114"/>
    </row>
    <row r="167" spans="1:8" s="34" customFormat="1" ht="34.5" customHeight="1" x14ac:dyDescent="0.25">
      <c r="A167" s="46" t="s">
        <v>162</v>
      </c>
      <c r="B167" s="112" t="s">
        <v>163</v>
      </c>
      <c r="C167" s="113"/>
      <c r="D167" s="113"/>
      <c r="E167" s="113"/>
      <c r="F167" s="113"/>
      <c r="G167" s="113"/>
      <c r="H167" s="114"/>
    </row>
    <row r="168" spans="1:8" s="34" customFormat="1" x14ac:dyDescent="0.25">
      <c r="A168" s="46" t="s">
        <v>162</v>
      </c>
      <c r="B168" s="112" t="s">
        <v>132</v>
      </c>
      <c r="C168" s="113"/>
      <c r="D168" s="113"/>
      <c r="E168" s="113"/>
      <c r="F168" s="113"/>
      <c r="G168" s="113"/>
      <c r="H168" s="114"/>
    </row>
    <row r="169" spans="1:8" s="34" customFormat="1" ht="32.25" customHeight="1" x14ac:dyDescent="0.25">
      <c r="A169" s="46" t="s">
        <v>162</v>
      </c>
      <c r="B169" s="109" t="s">
        <v>227</v>
      </c>
      <c r="C169" s="110"/>
      <c r="D169" s="110"/>
      <c r="E169" s="110"/>
      <c r="F169" s="110"/>
      <c r="G169" s="110"/>
      <c r="H169" s="111"/>
    </row>
    <row r="170" spans="1:8" s="34" customFormat="1" ht="53.25" customHeight="1" x14ac:dyDescent="0.25">
      <c r="A170" s="185" t="s">
        <v>162</v>
      </c>
      <c r="B170" s="186" t="s">
        <v>228</v>
      </c>
      <c r="C170" s="187"/>
      <c r="D170" s="187"/>
      <c r="E170" s="187"/>
      <c r="F170" s="187"/>
      <c r="G170" s="187"/>
      <c r="H170" s="188"/>
    </row>
    <row r="171" spans="1:8" x14ac:dyDescent="0.25">
      <c r="A171" s="87" t="s">
        <v>63</v>
      </c>
      <c r="B171" s="87"/>
      <c r="C171" s="87"/>
      <c r="D171" s="87"/>
      <c r="E171" s="87"/>
      <c r="F171" s="87"/>
      <c r="G171" s="87"/>
      <c r="H171" s="87"/>
    </row>
    <row r="172" spans="1:8" x14ac:dyDescent="0.25">
      <c r="A172" s="61" t="s">
        <v>64</v>
      </c>
      <c r="B172" s="61"/>
      <c r="C172" s="61"/>
      <c r="D172" s="61"/>
      <c r="E172" s="61"/>
      <c r="F172" s="61"/>
      <c r="G172" s="61"/>
      <c r="H172" s="61"/>
    </row>
    <row r="173" spans="1:8" ht="15.75" customHeight="1" x14ac:dyDescent="0.25">
      <c r="A173" s="62" t="s">
        <v>65</v>
      </c>
      <c r="B173" s="62"/>
      <c r="C173" s="62"/>
      <c r="D173" s="62"/>
      <c r="E173" s="62"/>
      <c r="F173" s="62"/>
      <c r="G173" s="62"/>
      <c r="H173" s="62"/>
    </row>
    <row r="174" spans="1:8" x14ac:dyDescent="0.25">
      <c r="A174" s="61" t="s">
        <v>66</v>
      </c>
      <c r="B174" s="61"/>
      <c r="C174" s="61"/>
      <c r="D174" s="61"/>
      <c r="E174" s="61"/>
      <c r="F174" s="61"/>
      <c r="G174" s="61"/>
      <c r="H174" s="61"/>
    </row>
    <row r="175" spans="1:8" x14ac:dyDescent="0.25">
      <c r="A175" s="61" t="s">
        <v>67</v>
      </c>
      <c r="B175" s="61"/>
      <c r="C175" s="61"/>
      <c r="D175" s="61"/>
      <c r="E175" s="61"/>
      <c r="F175" s="61"/>
      <c r="G175" s="61"/>
      <c r="H175" s="61"/>
    </row>
    <row r="176" spans="1:8" x14ac:dyDescent="0.25">
      <c r="A176" s="61" t="s">
        <v>133</v>
      </c>
      <c r="B176" s="61"/>
      <c r="C176" s="61"/>
      <c r="D176" s="61"/>
      <c r="E176" s="61"/>
      <c r="F176" s="61"/>
      <c r="G176" s="61"/>
      <c r="H176" s="61"/>
    </row>
    <row r="177" spans="1:8" x14ac:dyDescent="0.25">
      <c r="A177" s="88" t="s">
        <v>134</v>
      </c>
      <c r="B177" s="88"/>
      <c r="C177" s="88"/>
      <c r="D177" s="88"/>
      <c r="E177" s="88"/>
      <c r="F177" s="88"/>
      <c r="G177" s="88"/>
      <c r="H177" s="88"/>
    </row>
    <row r="178" spans="1:8" x14ac:dyDescent="0.25">
      <c r="A178" s="108" t="s">
        <v>80</v>
      </c>
      <c r="B178" s="108"/>
      <c r="C178" s="108" t="s">
        <v>226</v>
      </c>
      <c r="D178" s="108"/>
      <c r="E178" s="108" t="s">
        <v>110</v>
      </c>
      <c r="F178" s="108"/>
      <c r="G178" s="108" t="s">
        <v>225</v>
      </c>
      <c r="H178" s="108"/>
    </row>
    <row r="179" spans="1:8" x14ac:dyDescent="0.25">
      <c r="A179" s="107" t="s">
        <v>82</v>
      </c>
      <c r="B179" s="107"/>
      <c r="C179" s="107"/>
      <c r="D179" s="107"/>
      <c r="E179" s="107"/>
      <c r="F179" s="107"/>
      <c r="G179" s="107"/>
      <c r="H179" s="107"/>
    </row>
    <row r="180" spans="1:8" x14ac:dyDescent="0.25">
      <c r="A180" s="107"/>
      <c r="B180" s="107"/>
      <c r="C180" s="107"/>
      <c r="D180" s="107"/>
      <c r="E180" s="107"/>
      <c r="F180" s="107"/>
      <c r="G180" s="107"/>
      <c r="H180" s="107"/>
    </row>
    <row r="181" spans="1:8" x14ac:dyDescent="0.25">
      <c r="A181" s="107"/>
      <c r="B181" s="107"/>
      <c r="C181" s="107"/>
      <c r="D181" s="107"/>
      <c r="E181" s="107"/>
      <c r="F181" s="107"/>
      <c r="G181" s="107"/>
      <c r="H181" s="107"/>
    </row>
    <row r="182" spans="1:8" x14ac:dyDescent="0.25">
      <c r="A182" s="107"/>
      <c r="B182" s="107"/>
      <c r="C182" s="107"/>
      <c r="D182" s="107"/>
      <c r="E182" s="107"/>
      <c r="F182" s="107"/>
      <c r="G182" s="107"/>
      <c r="H182" s="107"/>
    </row>
    <row r="183" spans="1:8" x14ac:dyDescent="0.25">
      <c r="A183" s="37" t="s">
        <v>68</v>
      </c>
      <c r="B183" s="38"/>
      <c r="C183" s="38"/>
      <c r="D183" s="37" t="str">
        <f>E8</f>
        <v>Navsarthak Co-op Hsg Soc Ltd</v>
      </c>
      <c r="F183" s="38"/>
      <c r="G183" s="38"/>
      <c r="H183" s="38"/>
    </row>
    <row r="184" spans="1:8" x14ac:dyDescent="0.25">
      <c r="A184" s="38"/>
      <c r="B184" s="38"/>
      <c r="C184" s="38"/>
      <c r="D184" s="38"/>
      <c r="E184" s="38"/>
      <c r="F184" s="38"/>
      <c r="G184" s="38"/>
      <c r="H184" s="38"/>
    </row>
    <row r="185" spans="1:8" x14ac:dyDescent="0.25">
      <c r="A185" s="38"/>
      <c r="B185" s="38"/>
      <c r="C185" s="38"/>
      <c r="D185" s="38"/>
      <c r="E185" s="38"/>
      <c r="F185" s="38"/>
      <c r="G185" s="38"/>
      <c r="H185" s="38"/>
    </row>
    <row r="186" spans="1:8" ht="15" customHeight="1" x14ac:dyDescent="0.25"/>
    <row r="225" spans="1:1" x14ac:dyDescent="0.25">
      <c r="A225" s="40" t="s">
        <v>175</v>
      </c>
    </row>
    <row r="268" spans="1:1" x14ac:dyDescent="0.25">
      <c r="A268" s="40" t="s">
        <v>69</v>
      </c>
    </row>
  </sheetData>
  <mergeCells count="330">
    <mergeCell ref="A127:B127"/>
    <mergeCell ref="A128:B128"/>
    <mergeCell ref="A129:B129"/>
    <mergeCell ref="A121:B121"/>
    <mergeCell ref="A122:B122"/>
    <mergeCell ref="A123:B123"/>
    <mergeCell ref="G119:H123"/>
    <mergeCell ref="A124:H124"/>
    <mergeCell ref="L124:M124"/>
    <mergeCell ref="A116:H116"/>
    <mergeCell ref="A117:B117"/>
    <mergeCell ref="G117:H117"/>
    <mergeCell ref="L117:M117"/>
    <mergeCell ref="A118:H118"/>
    <mergeCell ref="A119:B119"/>
    <mergeCell ref="A120:B120"/>
    <mergeCell ref="A113:B113"/>
    <mergeCell ref="G107:H113"/>
    <mergeCell ref="A112:B112"/>
    <mergeCell ref="G139:H139"/>
    <mergeCell ref="G136:H136"/>
    <mergeCell ref="A83:E83"/>
    <mergeCell ref="A107:B107"/>
    <mergeCell ref="A108:B108"/>
    <mergeCell ref="A109:B109"/>
    <mergeCell ref="A85:E85"/>
    <mergeCell ref="F85:H85"/>
    <mergeCell ref="A86:E86"/>
    <mergeCell ref="A88:E88"/>
    <mergeCell ref="A87:E87"/>
    <mergeCell ref="A105:H105"/>
    <mergeCell ref="A106:H106"/>
    <mergeCell ref="G104:H104"/>
    <mergeCell ref="F89:H89"/>
    <mergeCell ref="E94:F94"/>
    <mergeCell ref="A94:B94"/>
    <mergeCell ref="A101:B101"/>
    <mergeCell ref="A125:B125"/>
    <mergeCell ref="C129:F129"/>
    <mergeCell ref="G125:H129"/>
    <mergeCell ref="G133:H133"/>
    <mergeCell ref="A111:B111"/>
    <mergeCell ref="A126:B126"/>
    <mergeCell ref="A38:B38"/>
    <mergeCell ref="C38:H38"/>
    <mergeCell ref="A47:B47"/>
    <mergeCell ref="C47:H47"/>
    <mergeCell ref="F81:H81"/>
    <mergeCell ref="A81:E81"/>
    <mergeCell ref="F82:H82"/>
    <mergeCell ref="F79:H79"/>
    <mergeCell ref="F84:H84"/>
    <mergeCell ref="C67:H67"/>
    <mergeCell ref="A70:B70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A55:C55"/>
    <mergeCell ref="L133:M133"/>
    <mergeCell ref="A82:E82"/>
    <mergeCell ref="A79:E79"/>
    <mergeCell ref="F83:H83"/>
    <mergeCell ref="B163:H163"/>
    <mergeCell ref="B164:H164"/>
    <mergeCell ref="G154:H154"/>
    <mergeCell ref="G152:H152"/>
    <mergeCell ref="A159:H159"/>
    <mergeCell ref="A151:B151"/>
    <mergeCell ref="A152:B152"/>
    <mergeCell ref="G150:H150"/>
    <mergeCell ref="A147:H147"/>
    <mergeCell ref="A141:H141"/>
    <mergeCell ref="A134:B134"/>
    <mergeCell ref="G144:H144"/>
    <mergeCell ref="G142:H142"/>
    <mergeCell ref="A131:B131"/>
    <mergeCell ref="A110:B110"/>
    <mergeCell ref="A149:B149"/>
    <mergeCell ref="A150:B150"/>
    <mergeCell ref="A84:E84"/>
    <mergeCell ref="A100:B100"/>
    <mergeCell ref="E100:F100"/>
    <mergeCell ref="L135:M135"/>
    <mergeCell ref="A114:H114"/>
    <mergeCell ref="A140:B140"/>
    <mergeCell ref="A137:B137"/>
    <mergeCell ref="A138:B138"/>
    <mergeCell ref="A90:E90"/>
    <mergeCell ref="G100:H100"/>
    <mergeCell ref="A96:B96"/>
    <mergeCell ref="C96:D96"/>
    <mergeCell ref="E96:F96"/>
    <mergeCell ref="G96:H96"/>
    <mergeCell ref="C98:D98"/>
    <mergeCell ref="G98:H98"/>
    <mergeCell ref="A102:H102"/>
    <mergeCell ref="G138:H138"/>
    <mergeCell ref="C101:D101"/>
    <mergeCell ref="E101:F101"/>
    <mergeCell ref="G101:H101"/>
    <mergeCell ref="L134:M134"/>
    <mergeCell ref="G131:H131"/>
    <mergeCell ref="L131:M131"/>
    <mergeCell ref="A132:B132"/>
    <mergeCell ref="L132:M132"/>
    <mergeCell ref="A133:B133"/>
    <mergeCell ref="A37:B37"/>
    <mergeCell ref="C37:H37"/>
    <mergeCell ref="A44:D44"/>
    <mergeCell ref="A76:B76"/>
    <mergeCell ref="C99:D99"/>
    <mergeCell ref="E99:F99"/>
    <mergeCell ref="G99:H99"/>
    <mergeCell ref="F86:H86"/>
    <mergeCell ref="A80:E80"/>
    <mergeCell ref="A59:C59"/>
    <mergeCell ref="E69:F78"/>
    <mergeCell ref="G69:H78"/>
    <mergeCell ref="A77:B77"/>
    <mergeCell ref="A78:B78"/>
    <mergeCell ref="D59:H59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D58:H58"/>
    <mergeCell ref="A42:D42"/>
    <mergeCell ref="E42:H42"/>
    <mergeCell ref="E43:H43"/>
    <mergeCell ref="E44:H44"/>
    <mergeCell ref="E45:H45"/>
    <mergeCell ref="A43:D43"/>
    <mergeCell ref="F35:H35"/>
    <mergeCell ref="A45:D45"/>
    <mergeCell ref="A46:H46"/>
    <mergeCell ref="D56:H56"/>
    <mergeCell ref="A56:C56"/>
    <mergeCell ref="G49:H49"/>
    <mergeCell ref="A50:B51"/>
    <mergeCell ref="A48:B48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58:B158"/>
    <mergeCell ref="G158:H158"/>
    <mergeCell ref="A157:B157"/>
    <mergeCell ref="G157:H157"/>
    <mergeCell ref="A179:H182"/>
    <mergeCell ref="A178:B178"/>
    <mergeCell ref="E178:F178"/>
    <mergeCell ref="C178:D178"/>
    <mergeCell ref="G178:H178"/>
    <mergeCell ref="A174:H174"/>
    <mergeCell ref="A177:H177"/>
    <mergeCell ref="A175:H175"/>
    <mergeCell ref="A171:H171"/>
    <mergeCell ref="A172:H172"/>
    <mergeCell ref="B169:H169"/>
    <mergeCell ref="B166:H166"/>
    <mergeCell ref="B162:H162"/>
    <mergeCell ref="B167:H167"/>
    <mergeCell ref="B165:H165"/>
    <mergeCell ref="B168:H168"/>
    <mergeCell ref="B170:H170"/>
    <mergeCell ref="G156:H156"/>
    <mergeCell ref="G155:H155"/>
    <mergeCell ref="A153:H153"/>
    <mergeCell ref="A154:B154"/>
    <mergeCell ref="A155:B155"/>
    <mergeCell ref="A93:H93"/>
    <mergeCell ref="A91:E91"/>
    <mergeCell ref="F91:H91"/>
    <mergeCell ref="A92:E92"/>
    <mergeCell ref="F92:H92"/>
    <mergeCell ref="A135:H135"/>
    <mergeCell ref="A99:B99"/>
    <mergeCell ref="A144:B144"/>
    <mergeCell ref="A95:B95"/>
    <mergeCell ref="A97:H97"/>
    <mergeCell ref="E98:F98"/>
    <mergeCell ref="G148:H148"/>
    <mergeCell ref="A146:B146"/>
    <mergeCell ref="G132:H132"/>
    <mergeCell ref="A139:B139"/>
    <mergeCell ref="G140:H140"/>
    <mergeCell ref="G146:H146"/>
    <mergeCell ref="G145:H145"/>
    <mergeCell ref="G143:H143"/>
    <mergeCell ref="D55:H55"/>
    <mergeCell ref="G52:H52"/>
    <mergeCell ref="C51:H51"/>
    <mergeCell ref="B160:H160"/>
    <mergeCell ref="B161:H161"/>
    <mergeCell ref="A148:B148"/>
    <mergeCell ref="F87:H87"/>
    <mergeCell ref="C94:D94"/>
    <mergeCell ref="G149:H149"/>
    <mergeCell ref="F90:H90"/>
    <mergeCell ref="F88:H88"/>
    <mergeCell ref="A143:B143"/>
    <mergeCell ref="A103:H103"/>
    <mergeCell ref="G94:H94"/>
    <mergeCell ref="A89:E89"/>
    <mergeCell ref="C95:D95"/>
    <mergeCell ref="E95:F95"/>
    <mergeCell ref="G137:H137"/>
    <mergeCell ref="C100:D100"/>
    <mergeCell ref="A130:H130"/>
    <mergeCell ref="A145:B145"/>
    <mergeCell ref="A142:B142"/>
    <mergeCell ref="G134:H134"/>
    <mergeCell ref="A156:B156"/>
    <mergeCell ref="E41:H41"/>
    <mergeCell ref="A41:D41"/>
    <mergeCell ref="A176:H176"/>
    <mergeCell ref="A173:H173"/>
    <mergeCell ref="G151:H151"/>
    <mergeCell ref="A136:B136"/>
    <mergeCell ref="A98:B98"/>
    <mergeCell ref="G115:H115"/>
    <mergeCell ref="A74:B74"/>
    <mergeCell ref="F80:H80"/>
    <mergeCell ref="G95:H95"/>
    <mergeCell ref="C48:E48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  <mergeCell ref="A53:H53"/>
    <mergeCell ref="A54:C54"/>
  </mergeCells>
  <hyperlinks>
    <hyperlink ref="C38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scale="94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92" max="7" man="1"/>
    <brk id="158" max="7" man="1"/>
    <brk id="182" max="16383" man="1"/>
    <brk id="224" max="16383" man="1"/>
    <brk id="26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0" zoomScale="85" zoomScaleNormal="85" workbookViewId="0">
      <selection activeCell="L16" sqref="L16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84" t="s">
        <v>111</v>
      </c>
      <c r="C3" s="184"/>
      <c r="D3" s="184"/>
      <c r="E3" s="184"/>
      <c r="F3" s="184"/>
      <c r="G3" s="184"/>
      <c r="H3" s="184"/>
    </row>
    <row r="4" spans="1:9" x14ac:dyDescent="0.25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2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2025-08-12T10:53:23Z</cp:lastPrinted>
  <dcterms:created xsi:type="dcterms:W3CDTF">2019-07-16T09:29:46Z</dcterms:created>
  <dcterms:modified xsi:type="dcterms:W3CDTF">2025-08-12T11:01:28Z</dcterms:modified>
</cp:coreProperties>
</file>