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769B24A6-B143-4D1E-A396-DB492A93A9A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C87" i="1" l="1"/>
  <c r="I149" i="1" l="1"/>
  <c r="I116" i="1"/>
  <c r="I115" i="1"/>
  <c r="D217" i="1"/>
  <c r="F217" i="1" s="1"/>
  <c r="D220" i="1"/>
  <c r="F220" i="1" s="1"/>
  <c r="D219" i="1"/>
  <c r="F219" i="1" s="1"/>
  <c r="D218" i="1"/>
  <c r="F218" i="1" s="1"/>
  <c r="A217" i="1"/>
  <c r="A218" i="1" s="1"/>
  <c r="A219" i="1" s="1"/>
  <c r="A220" i="1" s="1"/>
  <c r="G216" i="1"/>
  <c r="G217" i="1" s="1"/>
  <c r="G218" i="1" s="1"/>
  <c r="G219" i="1" s="1"/>
  <c r="G220" i="1" s="1"/>
  <c r="E42" i="1"/>
  <c r="D138" i="1" l="1"/>
  <c r="F138" i="1" s="1"/>
  <c r="D137" i="1"/>
  <c r="D136" i="1"/>
  <c r="D135" i="1"/>
  <c r="D134" i="1"/>
  <c r="D133" i="1"/>
  <c r="D131" i="1"/>
  <c r="D130" i="1"/>
  <c r="D129" i="1"/>
  <c r="D128" i="1"/>
  <c r="D127" i="1"/>
  <c r="D126" i="1"/>
  <c r="D125" i="1"/>
  <c r="D214" i="1"/>
  <c r="F214" i="1" s="1"/>
  <c r="D213" i="1"/>
  <c r="F213" i="1" s="1"/>
  <c r="D212" i="1"/>
  <c r="F212" i="1" s="1"/>
  <c r="D210" i="1"/>
  <c r="F210" i="1" s="1"/>
  <c r="D179" i="1"/>
  <c r="D178" i="1"/>
  <c r="D177" i="1"/>
  <c r="D176" i="1"/>
  <c r="D175" i="1"/>
  <c r="D169" i="1"/>
  <c r="F169" i="1" s="1"/>
  <c r="D168" i="1"/>
  <c r="F168" i="1" s="1"/>
  <c r="D166" i="1"/>
  <c r="F166" i="1" s="1"/>
  <c r="D165" i="1"/>
  <c r="F165" i="1" s="1"/>
  <c r="D164" i="1"/>
  <c r="F164" i="1" s="1"/>
  <c r="D162" i="1"/>
  <c r="F162" i="1" s="1"/>
  <c r="D161" i="1"/>
  <c r="F161" i="1" s="1"/>
  <c r="D159" i="1"/>
  <c r="F159" i="1" s="1"/>
  <c r="D158" i="1"/>
  <c r="F158" i="1" s="1"/>
  <c r="D156" i="1"/>
  <c r="D155" i="1"/>
  <c r="D154" i="1"/>
  <c r="D153" i="1"/>
  <c r="D152" i="1"/>
  <c r="D150" i="1"/>
  <c r="D149" i="1"/>
  <c r="D148" i="1"/>
  <c r="D147" i="1"/>
  <c r="G164" i="1"/>
  <c r="G165" i="1" s="1"/>
  <c r="G167" i="1" s="1"/>
  <c r="G168" i="1" s="1"/>
  <c r="G169" i="1" s="1"/>
  <c r="A211" i="1"/>
  <c r="A212" i="1" s="1"/>
  <c r="A213" i="1" s="1"/>
  <c r="A214" i="1" s="1"/>
  <c r="G210" i="1"/>
  <c r="G211" i="1" s="1"/>
  <c r="G212" i="1" s="1"/>
  <c r="G213" i="1" s="1"/>
  <c r="G214" i="1" s="1"/>
  <c r="A159" i="1"/>
  <c r="A160" i="1" s="1"/>
  <c r="A161" i="1" s="1"/>
  <c r="A162" i="1" s="1"/>
  <c r="G158" i="1"/>
  <c r="G159" i="1" s="1"/>
  <c r="G160" i="1" s="1"/>
  <c r="G161" i="1" s="1"/>
  <c r="G162" i="1" s="1"/>
  <c r="I133" i="1"/>
  <c r="G133" i="1"/>
  <c r="I126" i="1"/>
  <c r="I125" i="1"/>
  <c r="I43" i="1"/>
  <c r="I42" i="1"/>
  <c r="C116" i="1" l="1"/>
  <c r="E116" i="1"/>
  <c r="C115" i="1"/>
  <c r="E115" i="1"/>
  <c r="C111" i="1"/>
  <c r="E111" i="1"/>
  <c r="F177" i="1"/>
  <c r="F176" i="1"/>
  <c r="F156" i="1"/>
  <c r="F155" i="1"/>
  <c r="F154" i="1"/>
  <c r="F153" i="1"/>
  <c r="F150" i="1"/>
  <c r="F136" i="1"/>
  <c r="F135" i="1"/>
  <c r="F134" i="1"/>
  <c r="C110" i="1"/>
  <c r="K123" i="1"/>
  <c r="F179" i="1"/>
  <c r="F178" i="1"/>
  <c r="A176" i="1"/>
  <c r="A177" i="1" s="1"/>
  <c r="A178" i="1" s="1"/>
  <c r="A179" i="1" s="1"/>
  <c r="G175" i="1"/>
  <c r="G176" i="1" s="1"/>
  <c r="G177" i="1" s="1"/>
  <c r="G178" i="1" s="1"/>
  <c r="G179" i="1" s="1"/>
  <c r="A153" i="1"/>
  <c r="A154" i="1" s="1"/>
  <c r="A155" i="1" s="1"/>
  <c r="A156" i="1" s="1"/>
  <c r="G152" i="1"/>
  <c r="G153" i="1" s="1"/>
  <c r="G154" i="1" s="1"/>
  <c r="G155" i="1" s="1"/>
  <c r="G156" i="1" s="1"/>
  <c r="F152" i="1"/>
  <c r="J146" i="1"/>
  <c r="F184" i="1"/>
  <c r="F183" i="1"/>
  <c r="F182" i="1"/>
  <c r="A182" i="1"/>
  <c r="A183" i="1" s="1"/>
  <c r="A184" i="1" s="1"/>
  <c r="G181" i="1"/>
  <c r="G182" i="1" s="1"/>
  <c r="G183" i="1" s="1"/>
  <c r="G184" i="1" s="1"/>
  <c r="F181" i="1"/>
  <c r="F137" i="1"/>
  <c r="A134" i="1"/>
  <c r="A135" i="1" s="1"/>
  <c r="A136" i="1" s="1"/>
  <c r="A137" i="1" s="1"/>
  <c r="A138" i="1" s="1"/>
  <c r="F133" i="1"/>
  <c r="F131" i="1"/>
  <c r="F130" i="1"/>
  <c r="F129" i="1"/>
  <c r="C50" i="1"/>
  <c r="C112" i="1" l="1"/>
  <c r="E117" i="1"/>
  <c r="C117" i="1"/>
  <c r="G111" i="1"/>
  <c r="E110" i="1"/>
  <c r="E112" i="1" s="1"/>
  <c r="F175" i="1"/>
  <c r="G116" i="1" s="1"/>
  <c r="E43" i="1"/>
  <c r="E44" i="1" s="1"/>
  <c r="C118" i="1" l="1"/>
  <c r="E118" i="1"/>
  <c r="C15" i="1"/>
  <c r="E30" i="1" l="1"/>
  <c r="F147" i="1" l="1"/>
  <c r="F148" i="1"/>
  <c r="F149" i="1"/>
  <c r="A147" i="1"/>
  <c r="A148" i="1" s="1"/>
  <c r="A149" i="1" s="1"/>
  <c r="A150" i="1" s="1"/>
  <c r="G146" i="1"/>
  <c r="G115" i="1" l="1"/>
  <c r="G117" i="1" s="1"/>
  <c r="F107" i="1"/>
  <c r="F126" i="1" l="1"/>
  <c r="F127" i="1"/>
  <c r="F128" i="1"/>
  <c r="F125" i="1"/>
  <c r="G110" i="1" l="1"/>
  <c r="G112" i="1" s="1"/>
  <c r="G118" i="1" s="1"/>
  <c r="B223" i="1"/>
  <c r="A198" i="1"/>
  <c r="A192" i="1"/>
  <c r="A204" i="1"/>
  <c r="F208" i="1" l="1"/>
  <c r="F207" i="1"/>
  <c r="F206" i="1"/>
  <c r="F205" i="1"/>
  <c r="F204" i="1"/>
  <c r="F202" i="1"/>
  <c r="F201" i="1"/>
  <c r="F200" i="1"/>
  <c r="F199" i="1"/>
  <c r="F198" i="1"/>
  <c r="F196" i="1"/>
  <c r="F195" i="1"/>
  <c r="F194" i="1"/>
  <c r="F193" i="1"/>
  <c r="F192" i="1"/>
  <c r="F190" i="1"/>
  <c r="F189" i="1"/>
  <c r="F187" i="1"/>
  <c r="F186" i="1"/>
  <c r="F188" i="1"/>
  <c r="A199" i="1"/>
  <c r="A193" i="1"/>
  <c r="A205" i="1"/>
  <c r="B224" i="1" l="1"/>
  <c r="A200" i="1"/>
  <c r="A206" i="1"/>
  <c r="A19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1" i="1"/>
  <c r="G204" i="1"/>
  <c r="G205" i="1" s="1"/>
  <c r="G206" i="1" s="1"/>
  <c r="G207" i="1" s="1"/>
  <c r="G208" i="1" s="1"/>
  <c r="G198" i="1"/>
  <c r="G199" i="1" s="1"/>
  <c r="G200" i="1" s="1"/>
  <c r="G201" i="1" s="1"/>
  <c r="G202" i="1" s="1"/>
  <c r="G192" i="1"/>
  <c r="G193" i="1" s="1"/>
  <c r="G194" i="1" s="1"/>
  <c r="G195" i="1" s="1"/>
  <c r="G196" i="1" s="1"/>
  <c r="G186" i="1"/>
  <c r="G187" i="1" s="1"/>
  <c r="G188" i="1" s="1"/>
  <c r="G189" i="1" s="1"/>
  <c r="G190" i="1" s="1"/>
  <c r="A186" i="1"/>
  <c r="A187" i="1" s="1"/>
  <c r="A188" i="1" s="1"/>
  <c r="A189" i="1" s="1"/>
  <c r="A190" i="1" s="1"/>
  <c r="A126" i="1"/>
  <c r="A127" i="1" s="1"/>
  <c r="A128" i="1" s="1"/>
  <c r="A129" i="1" s="1"/>
  <c r="A130" i="1" s="1"/>
  <c r="A131" i="1" s="1"/>
  <c r="G125" i="1"/>
  <c r="J91" i="1"/>
  <c r="J90" i="1"/>
  <c r="J89" i="1"/>
  <c r="J88" i="1"/>
  <c r="J77" i="1"/>
  <c r="J76" i="1"/>
  <c r="J75" i="1"/>
  <c r="J74" i="1"/>
  <c r="D55" i="1"/>
  <c r="G50" i="1"/>
  <c r="E27" i="1"/>
  <c r="E25" i="1"/>
  <c r="E7" i="1"/>
  <c r="E3" i="1"/>
  <c r="A201" i="1"/>
  <c r="A207" i="1"/>
  <c r="H67" i="1"/>
  <c r="H81" i="1"/>
  <c r="A195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86" i="1"/>
  <c r="J87" i="1" s="1"/>
  <c r="J92" i="1" s="1"/>
  <c r="J93" i="1" s="1"/>
  <c r="C85" i="1" s="1"/>
  <c r="J84" i="1"/>
  <c r="J85" i="1"/>
  <c r="C84" i="1" s="1"/>
  <c r="J83" i="1"/>
  <c r="A208" i="1"/>
  <c r="A202" i="1"/>
  <c r="A196" i="1"/>
  <c r="J73" i="1" l="1"/>
  <c r="J78" i="1" s="1"/>
  <c r="J79" i="1" s="1"/>
  <c r="C71" i="1" s="1"/>
  <c r="G70" i="1" s="1"/>
  <c r="D64" i="1" s="1"/>
  <c r="D65" i="1" s="1"/>
  <c r="D86" i="1"/>
  <c r="D72" i="1"/>
  <c r="J68" i="1"/>
  <c r="D70" i="1"/>
  <c r="E84" i="1"/>
  <c r="D85" i="1"/>
  <c r="G84" i="1"/>
  <c r="D84" i="1"/>
  <c r="J81" i="1" s="1"/>
  <c r="E70" i="1" l="1"/>
  <c r="D71" i="1"/>
  <c r="I67" i="1" s="1"/>
  <c r="J67" i="1"/>
  <c r="I81" i="1"/>
  <c r="F65" i="1"/>
  <c r="I68" i="1" l="1"/>
  <c r="I66" i="1" s="1"/>
  <c r="C68" i="1" s="1"/>
  <c r="I82" i="1"/>
  <c r="I80" i="1" s="1"/>
  <c r="C82" i="1" s="1"/>
</calcChain>
</file>

<file path=xl/sharedStrings.xml><?xml version="1.0" encoding="utf-8"?>
<sst xmlns="http://schemas.openxmlformats.org/spreadsheetml/2006/main" count="391" uniqueCount="260">
  <si>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</si>
  <si>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</si>
  <si>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</si>
  <si>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</si>
  <si>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</si>
  <si>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</si>
  <si>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</si>
  <si>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</si>
  <si>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</si>
  <si>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</si>
  <si>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</si>
  <si>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</si>
  <si>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</si>
  <si>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</si>
  <si>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</si>
  <si>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</si>
  <si>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</si>
  <si>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</si>
  <si>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</si>
  <si>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</si>
  <si>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</si>
  <si>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</si>
  <si>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</si>
  <si>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</si>
  <si>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</si>
  <si>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</si>
  <si>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</si>
  <si>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</si>
  <si>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</si>
  <si>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</si>
  <si>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</si>
  <si>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</si>
  <si>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</si>
  <si>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</si>
  <si>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</si>
  <si>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</si>
  <si>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</si>
  <si>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</si>
  <si>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</si>
  <si>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</si>
  <si>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</si>
  <si>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</si>
  <si>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</si>
  <si>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</si>
  <si>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</si>
  <si>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</si>
  <si>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</si>
  <si>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</si>
  <si>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</si>
  <si>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</si>
  <si>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</si>
  <si>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</si>
  <si>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</si>
  <si>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</si>
  <si>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</si>
  <si>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</si>
  <si>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</si>
  <si>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</si>
  <si>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</si>
  <si>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</si>
  <si>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</si>
  <si>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</si>
  <si>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</si>
  <si>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</si>
  <si>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</si>
  <si>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</si>
  <si>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</si>
  <si>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</si>
  <si>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</si>
  <si>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</si>
  <si>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</si>
  <si>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</si>
  <si>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</si>
  <si>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</si>
  <si>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</si>
  <si>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</si>
  <si>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</si>
  <si>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</si>
  <si>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</si>
  <si>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</si>
  <si>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</si>
  <si>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</si>
  <si>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</si>
  <si>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</si>
  <si>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</si>
  <si>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</si>
  <si>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</si>
  <si>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</si>
  <si>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</si>
  <si>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</si>
  <si>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</si>
  <si>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</si>
  <si>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</si>
  <si>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</si>
  <si>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</si>
  <si>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</si>
  <si>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</si>
  <si>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</si>
  <si>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</si>
  <si>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</si>
  <si>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</si>
  <si>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</si>
  <si>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</si>
  <si>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</si>
  <si>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</si>
  <si>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</si>
  <si>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</si>
  <si>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</si>
  <si>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</si>
  <si>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</si>
  <si>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</si>
  <si>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</si>
  <si>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</si>
  <si>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</si>
  <si>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</si>
  <si>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</si>
  <si>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</si>
  <si>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</si>
  <si>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</si>
  <si>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</si>
  <si>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</si>
  <si>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</si>
  <si>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</si>
  <si>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</si>
  <si>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</si>
  <si>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</si>
  <si>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</si>
  <si>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</si>
  <si>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</si>
  <si>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</si>
  <si>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</si>
  <si>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</si>
  <si>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</si>
  <si>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</si>
  <si>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</si>
  <si>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</si>
  <si>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</si>
  <si>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</si>
  <si>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</si>
  <si>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</si>
  <si>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</si>
  <si>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</si>
  <si>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</si>
  <si>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</si>
  <si>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</si>
  <si>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</si>
  <si>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</si>
  <si>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</si>
  <si>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</si>
  <si>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</si>
  <si>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</si>
  <si>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</si>
  <si>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</si>
  <si>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</si>
  <si>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</si>
  <si>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</si>
  <si>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</si>
  <si>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</si>
  <si>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</si>
  <si>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</si>
  <si>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</si>
  <si>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</si>
  <si>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</si>
  <si>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</si>
  <si>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</si>
  <si>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</si>
  <si>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</si>
  <si>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</si>
  <si>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</si>
  <si>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</si>
  <si>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</si>
  <si>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</si>
  <si>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</si>
  <si>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</si>
  <si>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</si>
  <si>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</si>
  <si>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</si>
  <si>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</si>
  <si>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Axis Goregaon</t>
  </si>
  <si>
    <t>P51800049155</t>
  </si>
  <si>
    <t>Savvy Infrastructure Private Limited</t>
  </si>
  <si>
    <t>Merushikhar</t>
  </si>
  <si>
    <t>91-22-62396071</t>
  </si>
  <si>
    <t>Mr.Nikhil Shah 9324034825</t>
  </si>
  <si>
    <t>Wing A &amp; B</t>
  </si>
  <si>
    <t>Name / No of the Existing Building</t>
  </si>
  <si>
    <t>Karmayog</t>
  </si>
  <si>
    <t>CTS No</t>
  </si>
  <si>
    <t>Mogra</t>
  </si>
  <si>
    <t>Parsi Panchayat Road</t>
  </si>
  <si>
    <t>Latitude, Longitude</t>
  </si>
  <si>
    <t>Kaatyayni Heights</t>
  </si>
  <si>
    <t>Andheri</t>
  </si>
  <si>
    <t>Mumbai</t>
  </si>
  <si>
    <t>Jijamata Colony</t>
  </si>
  <si>
    <t>Andheri East</t>
  </si>
  <si>
    <t>1.1KM from Andheri Railway Station</t>
  </si>
  <si>
    <t>Vasudev Mishra Road</t>
  </si>
  <si>
    <t>Emerald Apartment</t>
  </si>
  <si>
    <t>Old Shopline</t>
  </si>
  <si>
    <t>2 Wings</t>
  </si>
  <si>
    <t>Municipal Corporation of Greater Mumbai</t>
  </si>
  <si>
    <t>Wing A</t>
  </si>
  <si>
    <t>Shop</t>
  </si>
  <si>
    <t>Wing B</t>
  </si>
  <si>
    <t>2.5BHK</t>
  </si>
  <si>
    <t>Refuge Area</t>
  </si>
  <si>
    <t>Fitness Center</t>
  </si>
  <si>
    <t>We considered Gross carpet area = Net carpet.</t>
  </si>
  <si>
    <t xml:space="preserve">Validity of CC is expired on 31/10/2023. Please provide latest CC.
</t>
  </si>
  <si>
    <t>As per RERA - 31/03/2026</t>
  </si>
  <si>
    <t>Wing A = St + 3P + Gr + 1st to 11th Upper Floor
Wing B = St + 3P + Gr + 1st to 7th(Pt) Upper Floor</t>
  </si>
  <si>
    <t>Ground Floor For Commercial, Entrance Lobby, Meter Room &amp; Parking</t>
  </si>
  <si>
    <t>Office</t>
  </si>
  <si>
    <t>3rd Podium Floor For Parking</t>
  </si>
  <si>
    <t>3.5BHK</t>
  </si>
  <si>
    <t>3BHK</t>
  </si>
  <si>
    <t>2BHK</t>
  </si>
  <si>
    <t>3rd Floor (Part Refuge Area)</t>
  </si>
  <si>
    <t>1BHK</t>
  </si>
  <si>
    <t>10th Floor (Part Refuge Area)</t>
  </si>
  <si>
    <t>-</t>
  </si>
  <si>
    <t>Grand Total</t>
  </si>
  <si>
    <t>As per plan dtd 10/08/2023, the wing A is reduced from the 13th floor to the 11th floor.</t>
  </si>
  <si>
    <t>As per Layout</t>
  </si>
  <si>
    <t>18.29 Mt. Wide Parsi Panshayat Road</t>
  </si>
  <si>
    <t>Other Plot</t>
  </si>
  <si>
    <t>P-6691/2021/(186A And Other)/K/E Ward/MOGRA/337/1/NEW</t>
  </si>
  <si>
    <t>Wing A &amp; B = Gr + P1 to P3 + 1st to 12th Floor</t>
  </si>
  <si>
    <t>Wing A &amp; B = St + 3P + R.G + 1st to 13th Upper Floor</t>
  </si>
  <si>
    <t>RG</t>
  </si>
  <si>
    <t>19.125614,72.854230</t>
  </si>
  <si>
    <t>https://maps.app.goo.gl/7JyDA8vJDniKhcrA6</t>
  </si>
  <si>
    <t>https://www.99acres.com/savvy-merushikhar-andheri-east-mumbai-andheri-dahisar-npxid-r405239#showModal</t>
  </si>
  <si>
    <t>High Speed Elevators, Open Space, Rain Water Harvesting System, Solar Panel Lamp, Parking, Garden, Childern Play Area, Gym, Swimming Pool etc.</t>
  </si>
  <si>
    <t>Wing A = Gr + P1 to P3 + 1st to 12th Floor</t>
  </si>
  <si>
    <t>Wing B = Gr + P1 to P3 + 1st to 12th Floor</t>
  </si>
  <si>
    <t>Building Details Floor Wise</t>
  </si>
  <si>
    <t xml:space="preserve">Details of Residential &amp; Commercial in Building   </t>
  </si>
  <si>
    <t>Ground Floor Parking &amp; Space For D.G Set</t>
  </si>
  <si>
    <t>1st Podium Floor For Commercial &amp; Parking</t>
  </si>
  <si>
    <t>1st to 3rd Podium Floor For Parking</t>
  </si>
  <si>
    <t>2nd Podium Floor For Meter Room, L.M.R &amp; Parking</t>
  </si>
  <si>
    <t>1st Floor For Fitness Center, R.G Area, Swimming Pool &amp; Parking</t>
  </si>
  <si>
    <t>1st Floor For Residential, R.G Area, Swimming Pool &amp; Part Fitness Center</t>
  </si>
  <si>
    <t>2nd, 4th to 9th, 11th &amp; 12th Floor For Residential</t>
  </si>
  <si>
    <t>We have updated revised approved plan on 06/05/2024</t>
  </si>
  <si>
    <t>Paved R.G &amp; A.O.S</t>
  </si>
  <si>
    <t>Flats - 111 Shops - 7, Offices - 6</t>
  </si>
  <si>
    <t>186, 187, 188, 189 &amp; Redevelopement of " Karmayog "</t>
  </si>
  <si>
    <t>Approved Plans, CC &amp; Sale Plans</t>
  </si>
  <si>
    <t xml:space="preserve">As the project is redevelopement project but rehab statement or rehab flats is not mentioned approved layout plan &amp; floor plan.
</t>
  </si>
  <si>
    <t>We have updated revised approved CC on 20/06/2024.</t>
  </si>
  <si>
    <t>P-6691/2021/(186A And Other)/K/E
Ward/MOGRA/FCC/2/Amend</t>
  </si>
  <si>
    <t>Further C.C. up to Top of 12th floor i.e. at 57.00 mts. AGL for Wing A and up to Top of 12th floor i.e. at 57.00 mts. AGL for Wing B, as per approved plan dated 03/05/2024</t>
  </si>
  <si>
    <t>On site we met Ms. Sejal 6354913540.</t>
  </si>
  <si>
    <t>We have updated latest CC from MCGM site. (On 14/05/2025)</t>
  </si>
  <si>
    <t>Construction work is in process at the time of Visit. (Internal Visit was not Allowed.)</t>
  </si>
  <si>
    <t>Pranita Mhatre</t>
  </si>
  <si>
    <t>Ganesh Wadkar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</si>
</sst>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5" fontId="7" fillId="0" borderId="0" xfId="1" applyNumberFormat="1" applyFont="1"/>
    <xf numFmtId="0" fontId="7" fillId="0" borderId="0" xfId="1" applyFont="1" applyAlignment="1">
      <alignment wrapText="1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69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169" fontId="6" fillId="0" borderId="7" xfId="1" applyNumberFormat="1" applyFont="1" applyBorder="1" applyAlignment="1" applyProtection="1">
      <alignment horizontal="center" vertical="center" wrapText="1"/>
      <protection locked="0"/>
    </xf>
    <xf numFmtId="169" fontId="6" fillId="0" borderId="20" xfId="1" applyNumberFormat="1" applyFont="1" applyBorder="1" applyAlignment="1" applyProtection="1">
      <alignment horizontal="center" vertical="center" wrapText="1"/>
      <protection locked="0"/>
    </xf>
    <xf numFmtId="169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979034</xdr:colOff>
      <xdr:row>0</xdr:row>
      <xdr:rowOff>545475</xdr:rowOff>
    </xdr:from>
    <xdr:to>
      <xdr:col>14</xdr:col>
      <xdr:colOff>549843</xdr:colOff>
      <xdr:row>11</xdr:row>
      <xdr:rowOff>102854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2063" y="545475"/>
          <a:ext cx="4546221" cy="1966644"/>
        </a:xfrm>
        <a:prstGeom prst="rect">
          <a:avLst/>
        </a:prstGeom>
      </xdr:spPr>
    </xdr:pic>
    <xdr:clientData/>
  </xdr:twoCellAnchor>
  <xdr:twoCellAnchor editAs="oneCell">
    <xdr:from>
      <xdr:col>8</xdr:col>
      <xdr:colOff>562843</xdr:colOff>
      <xdr:row>293</xdr:row>
      <xdr:rowOff>103044</xdr:rowOff>
    </xdr:from>
    <xdr:to>
      <xdr:col>13</xdr:col>
      <xdr:colOff>453738</xdr:colOff>
      <xdr:row>320</xdr:row>
      <xdr:rowOff>145474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7468" y="52242894"/>
          <a:ext cx="4015220" cy="54431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186933</xdr:colOff>
      <xdr:row>335</xdr:row>
      <xdr:rowOff>100853</xdr:rowOff>
    </xdr:from>
    <xdr:to>
      <xdr:col>7</xdr:col>
      <xdr:colOff>617910</xdr:colOff>
      <xdr:row>351</xdr:row>
      <xdr:rowOff>3146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933" y="61273765"/>
          <a:ext cx="6134771" cy="31295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148937</xdr:colOff>
      <xdr:row>296</xdr:row>
      <xdr:rowOff>137679</xdr:rowOff>
    </xdr:from>
    <xdr:to>
      <xdr:col>12</xdr:col>
      <xdr:colOff>98714</xdr:colOff>
      <xdr:row>305</xdr:row>
      <xdr:rowOff>68407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835612" y="52877604"/>
          <a:ext cx="2121477" cy="1730953"/>
        </a:xfrm>
        <a:prstGeom prst="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1146464</xdr:colOff>
      <xdr:row>305</xdr:row>
      <xdr:rowOff>154998</xdr:rowOff>
    </xdr:from>
    <xdr:to>
      <xdr:col>11</xdr:col>
      <xdr:colOff>619992</xdr:colOff>
      <xdr:row>314</xdr:row>
      <xdr:rowOff>154997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671089" y="54695148"/>
          <a:ext cx="2102428" cy="1800224"/>
        </a:xfrm>
        <a:prstGeom prst="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12</xdr:col>
      <xdr:colOff>159328</xdr:colOff>
      <xdr:row>297</xdr:row>
      <xdr:rowOff>120361</xdr:rowOff>
    </xdr:from>
    <xdr:ext cx="722442" cy="31149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017703" y="53060311"/>
          <a:ext cx="722442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</a:t>
          </a:r>
          <a:r>
            <a:rPr lang="en-IN" sz="1400" b="1" baseline="0"/>
            <a:t> A</a:t>
          </a:r>
          <a:endParaRPr lang="en-IN" sz="1400" b="1"/>
        </a:p>
      </xdr:txBody>
    </xdr:sp>
    <xdr:clientData/>
  </xdr:oneCellAnchor>
  <xdr:oneCellAnchor>
    <xdr:from>
      <xdr:col>11</xdr:col>
      <xdr:colOff>668483</xdr:colOff>
      <xdr:row>308</xdr:row>
      <xdr:rowOff>134215</xdr:rowOff>
    </xdr:from>
    <xdr:ext cx="714298" cy="311496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822008" y="55274440"/>
          <a:ext cx="714298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</a:t>
          </a:r>
          <a:r>
            <a:rPr lang="en-IN" sz="1400" b="1" baseline="0"/>
            <a:t> B</a:t>
          </a:r>
          <a:endParaRPr lang="en-IN" sz="1400" b="1"/>
        </a:p>
      </xdr:txBody>
    </xdr:sp>
    <xdr:clientData/>
  </xdr:oneCellAnchor>
  <xdr:twoCellAnchor>
    <xdr:from>
      <xdr:col>0</xdr:col>
      <xdr:colOff>191621</xdr:colOff>
      <xdr:row>351</xdr:row>
      <xdr:rowOff>170888</xdr:rowOff>
    </xdr:from>
    <xdr:to>
      <xdr:col>7</xdr:col>
      <xdr:colOff>660338</xdr:colOff>
      <xdr:row>374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91621" y="67074488"/>
          <a:ext cx="6313257" cy="4385872"/>
          <a:chOff x="193302" y="64669146"/>
          <a:chExt cx="6172511" cy="4471147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3302" y="64669146"/>
            <a:ext cx="6172511" cy="447114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 rot="20656726">
            <a:off x="3298483" y="66581701"/>
            <a:ext cx="607327" cy="1188296"/>
          </a:xfrm>
          <a:prstGeom prst="rect">
            <a:avLst/>
          </a:prstGeom>
          <a:noFill/>
          <a:ln w="57150">
            <a:solidFill>
              <a:srgbClr val="00FF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00FFFF"/>
              </a:solidFill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 rot="20564311">
            <a:off x="3409136" y="67859765"/>
            <a:ext cx="934743" cy="264560"/>
          </a:xfrm>
          <a:prstGeom prst="rect">
            <a:avLst/>
          </a:prstGeom>
          <a:solidFill>
            <a:srgbClr val="00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Merushikhar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2266767" y="65601073"/>
            <a:ext cx="512292" cy="1085133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1730289" y="65274655"/>
            <a:ext cx="1237968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b="1"/>
              <a:t>Kaatyayni Heights</a:t>
            </a:r>
            <a:endParaRPr lang="en-IN" sz="1100" b="1"/>
          </a:p>
        </xdr:txBody>
      </xdr:sp>
    </xdr:grpSp>
    <xdr:clientData/>
  </xdr:twoCellAnchor>
  <xdr:twoCellAnchor>
    <xdr:from>
      <xdr:col>1</xdr:col>
      <xdr:colOff>493060</xdr:colOff>
      <xdr:row>311</xdr:row>
      <xdr:rowOff>145677</xdr:rowOff>
    </xdr:from>
    <xdr:to>
      <xdr:col>6</xdr:col>
      <xdr:colOff>78443</xdr:colOff>
      <xdr:row>332</xdr:row>
      <xdr:rowOff>69850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277920" y="59124477"/>
          <a:ext cx="3844963" cy="4084693"/>
          <a:chOff x="1152168" y="52499559"/>
          <a:chExt cx="4271479" cy="5734357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-303"/>
          <a:stretch/>
        </xdr:blipFill>
        <xdr:spPr>
          <a:xfrm>
            <a:off x="1152168" y="52499559"/>
            <a:ext cx="4271479" cy="573435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1967092" y="53116289"/>
            <a:ext cx="2123718" cy="1746081"/>
          </a:xfrm>
          <a:prstGeom prst="rect">
            <a:avLst/>
          </a:prstGeom>
          <a:noFill/>
          <a:ln w="571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009020" y="54928853"/>
            <a:ext cx="2082246" cy="2041852"/>
          </a:xfrm>
          <a:prstGeom prst="rect">
            <a:avLst/>
          </a:prstGeom>
          <a:noFill/>
          <a:ln w="57150"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194516" y="53299767"/>
            <a:ext cx="748925" cy="345587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n-IN" sz="1400" b="1">
                <a:solidFill>
                  <a:srgbClr val="0070C0"/>
                </a:solidFill>
              </a:rPr>
              <a:t>Wing</a:t>
            </a:r>
            <a:r>
              <a:rPr lang="en-IN" sz="1400" b="1" baseline="0">
                <a:solidFill>
                  <a:srgbClr val="0070C0"/>
                </a:solidFill>
              </a:rPr>
              <a:t> A</a:t>
            </a:r>
            <a:endParaRPr lang="en-IN" sz="1400" b="1">
              <a:solidFill>
                <a:srgbClr val="0070C0"/>
              </a:solidFill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4118823" y="54991138"/>
            <a:ext cx="816903" cy="393848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IN" sz="1400" b="1">
                <a:solidFill>
                  <a:srgbClr val="7030A0"/>
                </a:solidFill>
              </a:rPr>
              <a:t>Wing</a:t>
            </a:r>
            <a:r>
              <a:rPr lang="en-IN" sz="1400" b="1" baseline="0">
                <a:solidFill>
                  <a:srgbClr val="7030A0"/>
                </a:solidFill>
              </a:rPr>
              <a:t> B</a:t>
            </a:r>
            <a:endParaRPr lang="en-IN" sz="1400" b="1">
              <a:solidFill>
                <a:srgbClr val="7030A0"/>
              </a:solidFill>
            </a:endParaRPr>
          </a:p>
        </xdr:txBody>
      </xdr:sp>
    </xdr:grpSp>
    <xdr:clientData/>
  </xdr:twoCellAnchor>
  <xdr:twoCellAnchor editAs="oneCell">
    <xdr:from>
      <xdr:col>8</xdr:col>
      <xdr:colOff>570062</xdr:colOff>
      <xdr:row>11</xdr:row>
      <xdr:rowOff>79719</xdr:rowOff>
    </xdr:from>
    <xdr:to>
      <xdr:col>23</xdr:col>
      <xdr:colOff>231329</xdr:colOff>
      <xdr:row>19</xdr:row>
      <xdr:rowOff>14999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3091" y="2690690"/>
          <a:ext cx="10318062" cy="1963544"/>
        </a:xfrm>
        <a:prstGeom prst="rect">
          <a:avLst/>
        </a:prstGeom>
      </xdr:spPr>
    </xdr:pic>
    <xdr:clientData/>
  </xdr:twoCellAnchor>
  <xdr:twoCellAnchor editAs="oneCell">
    <xdr:from>
      <xdr:col>1</xdr:col>
      <xdr:colOff>692729</xdr:colOff>
      <xdr:row>292</xdr:row>
      <xdr:rowOff>190500</xdr:rowOff>
    </xdr:from>
    <xdr:to>
      <xdr:col>6</xdr:col>
      <xdr:colOff>992</xdr:colOff>
      <xdr:row>310</xdr:row>
      <xdr:rowOff>145678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729" y="52286647"/>
          <a:ext cx="3462284" cy="35858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209550</xdr:colOff>
      <xdr:row>47</xdr:row>
      <xdr:rowOff>128691</xdr:rowOff>
    </xdr:from>
    <xdr:to>
      <xdr:col>21</xdr:col>
      <xdr:colOff>95250</xdr:colOff>
      <xdr:row>50</xdr:row>
      <xdr:rowOff>255172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34175" y="10549041"/>
          <a:ext cx="9334500" cy="1374256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51</xdr:row>
      <xdr:rowOff>733424</xdr:rowOff>
    </xdr:from>
    <xdr:to>
      <xdr:col>12</xdr:col>
      <xdr:colOff>152549</xdr:colOff>
      <xdr:row>58</xdr:row>
      <xdr:rowOff>23470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15275" y="12611099"/>
          <a:ext cx="2095649" cy="1471271"/>
        </a:xfrm>
        <a:prstGeom prst="rect">
          <a:avLst/>
        </a:prstGeom>
      </xdr:spPr>
    </xdr:pic>
    <xdr:clientData/>
  </xdr:twoCellAnchor>
  <xdr:twoCellAnchor>
    <xdr:from>
      <xdr:col>14</xdr:col>
      <xdr:colOff>321244</xdr:colOff>
      <xdr:row>247</xdr:row>
      <xdr:rowOff>27333</xdr:rowOff>
    </xdr:from>
    <xdr:to>
      <xdr:col>15</xdr:col>
      <xdr:colOff>377833</xdr:colOff>
      <xdr:row>248</xdr:row>
      <xdr:rowOff>94008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1829685" y="46184362"/>
          <a:ext cx="717736" cy="26838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B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438150</xdr:colOff>
      <xdr:row>108</xdr:row>
      <xdr:rowOff>76200</xdr:rowOff>
    </xdr:from>
    <xdr:to>
      <xdr:col>22</xdr:col>
      <xdr:colOff>20395</xdr:colOff>
      <xdr:row>110</xdr:row>
      <xdr:rowOff>190572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62775" y="23593425"/>
          <a:ext cx="9640645" cy="514422"/>
        </a:xfrm>
        <a:prstGeom prst="rect">
          <a:avLst/>
        </a:prstGeom>
      </xdr:spPr>
    </xdr:pic>
    <xdr:clientData/>
  </xdr:twoCellAnchor>
  <xdr:twoCellAnchor>
    <xdr:from>
      <xdr:col>9</xdr:col>
      <xdr:colOff>616404</xdr:colOff>
      <xdr:row>254</xdr:row>
      <xdr:rowOff>13607</xdr:rowOff>
    </xdr:from>
    <xdr:to>
      <xdr:col>18</xdr:col>
      <xdr:colOff>453718</xdr:colOff>
      <xdr:row>280</xdr:row>
      <xdr:rowOff>194742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36EABF3A-45AC-4877-87A8-9CBC532E66E3}"/>
            </a:ext>
          </a:extLst>
        </xdr:cNvPr>
        <xdr:cNvGrpSpPr/>
      </xdr:nvGrpSpPr>
      <xdr:grpSpPr>
        <a:xfrm>
          <a:off x="8510724" y="47699567"/>
          <a:ext cx="6474334" cy="5332255"/>
          <a:chOff x="304800" y="527958"/>
          <a:chExt cx="6306150" cy="5376342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5FEA10F2-7A81-401C-8875-2E1942F3AF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527958"/>
            <a:ext cx="302235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FEAEC3B5-4B26-46AD-97D9-A0E4FB4C9B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6049" y="527958"/>
            <a:ext cx="3084901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32B0AE68-D233-42FD-82BE-CC74F35DBF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4800" y="3924300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1253B279-01C2-4AA9-A342-EDA4BBC0C6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7000" y="3924300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4BC8F49B-24BA-4D91-AF7B-5F7845E63E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6901" y="3914968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C24B0B99-87AA-4F44-B96D-E2D5F1D445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900" y="3924300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9" name="TextBox 122">
            <a:extLst>
              <a:ext uri="{FF2B5EF4-FFF2-40B4-BE49-F238E27FC236}">
                <a16:creationId xmlns:a16="http://schemas.microsoft.com/office/drawing/2014/main" id="{D96F678F-DE2B-4F91-9221-BA21E745FF2A}"/>
              </a:ext>
            </a:extLst>
          </xdr:cNvPr>
          <xdr:cNvSpPr txBox="1"/>
        </xdr:nvSpPr>
        <xdr:spPr>
          <a:xfrm>
            <a:off x="1282632" y="745353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80" name="TextBox 123">
            <a:extLst>
              <a:ext uri="{FF2B5EF4-FFF2-40B4-BE49-F238E27FC236}">
                <a16:creationId xmlns:a16="http://schemas.microsoft.com/office/drawing/2014/main" id="{AB1DA1B6-23F7-4C80-A968-7D7C2DFDE1CC}"/>
              </a:ext>
            </a:extLst>
          </xdr:cNvPr>
          <xdr:cNvSpPr txBox="1"/>
        </xdr:nvSpPr>
        <xdr:spPr>
          <a:xfrm>
            <a:off x="2378886" y="1147965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81" name="TextBox 124">
            <a:extLst>
              <a:ext uri="{FF2B5EF4-FFF2-40B4-BE49-F238E27FC236}">
                <a16:creationId xmlns:a16="http://schemas.microsoft.com/office/drawing/2014/main" id="{360C2098-1712-40EF-B64B-4D76D3AEC740}"/>
              </a:ext>
            </a:extLst>
          </xdr:cNvPr>
          <xdr:cNvSpPr txBox="1"/>
        </xdr:nvSpPr>
        <xdr:spPr>
          <a:xfrm>
            <a:off x="4709390" y="560687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82" name="TextBox 125">
            <a:extLst>
              <a:ext uri="{FF2B5EF4-FFF2-40B4-BE49-F238E27FC236}">
                <a16:creationId xmlns:a16="http://schemas.microsoft.com/office/drawing/2014/main" id="{7CEF6A37-7866-4FAB-B6CA-1F3CADFD7124}"/>
              </a:ext>
            </a:extLst>
          </xdr:cNvPr>
          <xdr:cNvSpPr txBox="1"/>
        </xdr:nvSpPr>
        <xdr:spPr>
          <a:xfrm>
            <a:off x="605647" y="3952695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83" name="TextBox 126">
            <a:extLst>
              <a:ext uri="{FF2B5EF4-FFF2-40B4-BE49-F238E27FC236}">
                <a16:creationId xmlns:a16="http://schemas.microsoft.com/office/drawing/2014/main" id="{50ABE353-DF41-4C18-9F6D-75D812722CF6}"/>
              </a:ext>
            </a:extLst>
          </xdr:cNvPr>
          <xdr:cNvSpPr txBox="1"/>
        </xdr:nvSpPr>
        <xdr:spPr>
          <a:xfrm>
            <a:off x="2118840" y="3991168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190500</xdr:colOff>
      <xdr:row>48</xdr:row>
      <xdr:rowOff>85725</xdr:rowOff>
    </xdr:from>
    <xdr:to>
      <xdr:col>18</xdr:col>
      <xdr:colOff>267774</xdr:colOff>
      <xdr:row>51</xdr:row>
      <xdr:rowOff>752740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80FCC56-4AEC-48F1-BB01-EDE6184C4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715125" y="10734675"/>
          <a:ext cx="7697274" cy="1895740"/>
        </a:xfrm>
        <a:prstGeom prst="rect">
          <a:avLst/>
        </a:prstGeom>
      </xdr:spPr>
    </xdr:pic>
    <xdr:clientData/>
  </xdr:twoCellAnchor>
  <xdr:twoCellAnchor>
    <xdr:from>
      <xdr:col>0</xdr:col>
      <xdr:colOff>217714</xdr:colOff>
      <xdr:row>252</xdr:row>
      <xdr:rowOff>32657</xdr:rowOff>
    </xdr:from>
    <xdr:to>
      <xdr:col>7</xdr:col>
      <xdr:colOff>653143</xdr:colOff>
      <xdr:row>291</xdr:row>
      <xdr:rowOff>0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91A7EBF6-4ABA-996B-2830-B592E7955C72}"/>
            </a:ext>
          </a:extLst>
        </xdr:cNvPr>
        <xdr:cNvGrpSpPr/>
      </xdr:nvGrpSpPr>
      <xdr:grpSpPr>
        <a:xfrm>
          <a:off x="217714" y="47329997"/>
          <a:ext cx="6279969" cy="7686403"/>
          <a:chOff x="217714" y="47015400"/>
          <a:chExt cx="6302829" cy="7609114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5BC5899F-2251-AD21-61D7-4FECD4E14869}"/>
              </a:ext>
            </a:extLst>
          </xdr:cNvPr>
          <xdr:cNvGrpSpPr/>
        </xdr:nvGrpSpPr>
        <xdr:grpSpPr>
          <a:xfrm>
            <a:off x="217714" y="47015400"/>
            <a:ext cx="6302829" cy="7609114"/>
            <a:chOff x="-258484" y="-938945"/>
            <a:chExt cx="7460792" cy="8744896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5272098A-6818-F249-96CF-4BFC14A27C5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44241" y="5645951"/>
              <a:ext cx="2158002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DDEEBD0E-714E-4F21-52EF-1C1F7627BB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14209" y="-938945"/>
              <a:ext cx="3629581" cy="370814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EC79F199-F75B-E516-E230-A0C7B42E776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258484" y="5645951"/>
              <a:ext cx="2158002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313A9F18-CE78-3FD7-F7DC-73D5303C762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42475" y="2879655"/>
              <a:ext cx="2561138" cy="265584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67447C80-5A93-ED6F-DD40-C608462F22B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29000" y="2879655"/>
              <a:ext cx="2659984" cy="265584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4580864-FCAD-172F-6232-2F4BE6F9CC5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35580" y="5645951"/>
              <a:ext cx="2866728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7" name="TextBox 123">
            <a:extLst>
              <a:ext uri="{FF2B5EF4-FFF2-40B4-BE49-F238E27FC236}">
                <a16:creationId xmlns:a16="http://schemas.microsoft.com/office/drawing/2014/main" id="{B5E0FEAE-8B13-4103-9A54-4AA12341AE41}"/>
              </a:ext>
            </a:extLst>
          </xdr:cNvPr>
          <xdr:cNvSpPr txBox="1"/>
        </xdr:nvSpPr>
        <xdr:spPr>
          <a:xfrm>
            <a:off x="2198914" y="47461715"/>
            <a:ext cx="899366" cy="36241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8" name="TextBox 123">
            <a:extLst>
              <a:ext uri="{FF2B5EF4-FFF2-40B4-BE49-F238E27FC236}">
                <a16:creationId xmlns:a16="http://schemas.microsoft.com/office/drawing/2014/main" id="{C7DED82B-8A77-A282-10C1-393CA401BDCE}"/>
              </a:ext>
            </a:extLst>
          </xdr:cNvPr>
          <xdr:cNvSpPr txBox="1"/>
        </xdr:nvSpPr>
        <xdr:spPr>
          <a:xfrm>
            <a:off x="3853542" y="47940686"/>
            <a:ext cx="899366" cy="36241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0000"/>
                </a:solidFill>
              </a:rPr>
              <a:t>Wing B</a:t>
            </a:r>
            <a:endParaRPr lang="en-IN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39" name="TextBox 123">
            <a:extLst>
              <a:ext uri="{FF2B5EF4-FFF2-40B4-BE49-F238E27FC236}">
                <a16:creationId xmlns:a16="http://schemas.microsoft.com/office/drawing/2014/main" id="{2319A148-B18B-C93B-9EBE-9CC308BDB93E}"/>
              </a:ext>
            </a:extLst>
          </xdr:cNvPr>
          <xdr:cNvSpPr txBox="1"/>
        </xdr:nvSpPr>
        <xdr:spPr>
          <a:xfrm>
            <a:off x="2438398" y="50487943"/>
            <a:ext cx="899366" cy="36241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0000"/>
                </a:solidFill>
              </a:rPr>
              <a:t>Wing A</a:t>
            </a:r>
            <a:endParaRPr lang="en-IN" sz="14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7JyDA8vJDniKhcrA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5"/>
  <sheetViews>
    <sheetView tabSelected="1" view="pageBreakPreview" zoomScaleNormal="100" zoomScaleSheetLayoutView="100" workbookViewId="0">
      <selection activeCell="I3" sqref="I3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75" t="s">
        <v>177</v>
      </c>
      <c r="B1" s="175"/>
      <c r="C1" s="175"/>
      <c r="D1" s="175"/>
      <c r="E1" s="175"/>
      <c r="F1" s="175"/>
      <c r="G1" s="175"/>
      <c r="H1" s="175"/>
    </row>
    <row r="2" spans="1:8" ht="16.5" customHeight="1" x14ac:dyDescent="0.3">
      <c r="A2" s="129" t="s">
        <v>0</v>
      </c>
      <c r="B2" s="129"/>
      <c r="C2" s="129"/>
      <c r="D2" s="129"/>
      <c r="E2" s="129"/>
      <c r="F2" s="129"/>
      <c r="G2" s="129"/>
      <c r="H2" s="129"/>
    </row>
    <row r="3" spans="1:8" x14ac:dyDescent="0.3">
      <c r="A3" s="140" t="s">
        <v>1</v>
      </c>
      <c r="B3" s="140"/>
      <c r="C3" s="140"/>
      <c r="D3" s="140"/>
      <c r="E3" s="140" t="str">
        <f ca="1">TEXT(TODAY(),"DD/MM/YYYY")</f>
        <v>14/08/2025</v>
      </c>
      <c r="F3" s="140"/>
      <c r="G3" s="140"/>
      <c r="H3" s="140"/>
    </row>
    <row r="4" spans="1:8" ht="15" customHeight="1" x14ac:dyDescent="0.3">
      <c r="A4" s="140" t="s">
        <v>2</v>
      </c>
      <c r="B4" s="140"/>
      <c r="C4" s="140"/>
      <c r="D4" s="140"/>
      <c r="E4" s="140" t="s">
        <v>178</v>
      </c>
      <c r="F4" s="140"/>
      <c r="G4" s="140"/>
      <c r="H4" s="140"/>
    </row>
    <row r="5" spans="1:8" x14ac:dyDescent="0.3">
      <c r="A5" s="140" t="s">
        <v>3</v>
      </c>
      <c r="B5" s="140"/>
      <c r="C5" s="140"/>
      <c r="D5" s="140"/>
      <c r="E5" s="176">
        <v>45881</v>
      </c>
      <c r="F5" s="140"/>
      <c r="G5" s="140"/>
      <c r="H5" s="140"/>
    </row>
    <row r="6" spans="1:8" ht="16.5" customHeight="1" x14ac:dyDescent="0.3">
      <c r="A6" s="140" t="s">
        <v>4</v>
      </c>
      <c r="B6" s="140"/>
      <c r="C6" s="140"/>
      <c r="D6" s="140"/>
      <c r="E6" s="140" t="s">
        <v>180</v>
      </c>
      <c r="F6" s="140"/>
      <c r="G6" s="140"/>
      <c r="H6" s="140"/>
    </row>
    <row r="7" spans="1:8" ht="15" customHeight="1" x14ac:dyDescent="0.3">
      <c r="A7" s="140" t="s">
        <v>5</v>
      </c>
      <c r="B7" s="140"/>
      <c r="C7" s="140"/>
      <c r="D7" s="140"/>
      <c r="E7" s="140" t="str">
        <f>E6</f>
        <v>Savvy Infrastructure Private Limited</v>
      </c>
      <c r="F7" s="140"/>
      <c r="G7" s="140"/>
      <c r="H7" s="140"/>
    </row>
    <row r="8" spans="1:8" x14ac:dyDescent="0.3">
      <c r="A8" s="140" t="s">
        <v>6</v>
      </c>
      <c r="B8" s="140"/>
      <c r="C8" s="140"/>
      <c r="D8" s="140"/>
      <c r="E8" s="120" t="s">
        <v>181</v>
      </c>
      <c r="F8" s="120"/>
      <c r="G8" s="120"/>
      <c r="H8" s="120"/>
    </row>
    <row r="9" spans="1:8" x14ac:dyDescent="0.3">
      <c r="A9" s="140" t="s">
        <v>174</v>
      </c>
      <c r="B9" s="140"/>
      <c r="C9" s="140"/>
      <c r="D9" s="140"/>
      <c r="E9" s="140" t="s">
        <v>182</v>
      </c>
      <c r="F9" s="140"/>
      <c r="G9" s="140"/>
      <c r="H9" s="140"/>
    </row>
    <row r="10" spans="1:8" hidden="1" x14ac:dyDescent="0.3">
      <c r="A10" s="140" t="s">
        <v>175</v>
      </c>
      <c r="B10" s="140"/>
      <c r="C10" s="140"/>
      <c r="D10" s="140"/>
      <c r="E10" s="140" t="s">
        <v>183</v>
      </c>
      <c r="F10" s="140"/>
      <c r="G10" s="140"/>
      <c r="H10" s="140"/>
    </row>
    <row r="11" spans="1:8" x14ac:dyDescent="0.3">
      <c r="A11" s="140" t="s">
        <v>7</v>
      </c>
      <c r="B11" s="140"/>
      <c r="C11" s="140"/>
      <c r="D11" s="140"/>
      <c r="E11" s="140" t="s">
        <v>184</v>
      </c>
      <c r="F11" s="140"/>
      <c r="G11" s="140"/>
      <c r="H11" s="140"/>
    </row>
    <row r="12" spans="1:8" x14ac:dyDescent="0.3">
      <c r="A12" s="140" t="s">
        <v>185</v>
      </c>
      <c r="B12" s="140"/>
      <c r="C12" s="140"/>
      <c r="D12" s="140"/>
      <c r="E12" s="140" t="s">
        <v>186</v>
      </c>
      <c r="F12" s="140"/>
      <c r="G12" s="140"/>
      <c r="H12" s="140"/>
    </row>
    <row r="13" spans="1:8" x14ac:dyDescent="0.3">
      <c r="A13" s="91" t="s">
        <v>8</v>
      </c>
      <c r="B13" s="91"/>
      <c r="C13" s="91"/>
      <c r="D13" s="91"/>
      <c r="E13" s="132" t="s">
        <v>250</v>
      </c>
      <c r="F13" s="132"/>
      <c r="G13" s="132"/>
      <c r="H13" s="132"/>
    </row>
    <row r="14" spans="1:8" x14ac:dyDescent="0.3">
      <c r="A14" s="91" t="s">
        <v>9</v>
      </c>
      <c r="B14" s="91"/>
      <c r="C14" s="91"/>
      <c r="D14" s="91"/>
      <c r="E14" s="132" t="s">
        <v>179</v>
      </c>
      <c r="F14" s="140"/>
      <c r="G14" s="140"/>
      <c r="H14" s="140"/>
    </row>
    <row r="15" spans="1:8" ht="48.75" customHeight="1" x14ac:dyDescent="0.3">
      <c r="A15" s="132" t="s">
        <v>10</v>
      </c>
      <c r="B15" s="132"/>
      <c r="C15" s="13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Merushikhar, CTS No.186, 187, 188, 189 &amp; Redevelopement of " Karmayog ", near Kaatyayni Heights, Parsi Panchayat Road, Jijamata Colony, Mogra, Andheri East, Andheri, Mumbai - 400053.</v>
      </c>
      <c r="D15" s="132"/>
      <c r="E15" s="132"/>
      <c r="F15" s="132"/>
      <c r="G15" s="132"/>
      <c r="H15" s="132"/>
    </row>
    <row r="16" spans="1:8" x14ac:dyDescent="0.3">
      <c r="A16" s="132" t="s">
        <v>187</v>
      </c>
      <c r="B16" s="132"/>
      <c r="C16" s="132" t="s">
        <v>249</v>
      </c>
      <c r="D16" s="132"/>
      <c r="E16" s="132"/>
      <c r="F16" s="132"/>
      <c r="G16" s="132"/>
      <c r="H16" s="132"/>
    </row>
    <row r="17" spans="1:8" ht="15.75" customHeight="1" x14ac:dyDescent="0.3">
      <c r="A17" s="132" t="s">
        <v>173</v>
      </c>
      <c r="B17" s="132"/>
      <c r="C17" s="132" t="s">
        <v>194</v>
      </c>
      <c r="D17" s="132"/>
      <c r="E17" s="132"/>
      <c r="F17" s="132"/>
      <c r="G17" s="132"/>
      <c r="H17" s="132"/>
    </row>
    <row r="18" spans="1:8" ht="15.75" customHeight="1" x14ac:dyDescent="0.3">
      <c r="A18" s="132" t="s">
        <v>11</v>
      </c>
      <c r="B18" s="132"/>
      <c r="C18" s="140" t="s">
        <v>189</v>
      </c>
      <c r="D18" s="140"/>
      <c r="E18" s="132" t="s">
        <v>72</v>
      </c>
      <c r="F18" s="132"/>
      <c r="G18" s="132" t="s">
        <v>188</v>
      </c>
      <c r="H18" s="132"/>
    </row>
    <row r="19" spans="1:8" x14ac:dyDescent="0.3">
      <c r="A19" s="140" t="s">
        <v>13</v>
      </c>
      <c r="B19" s="140"/>
      <c r="C19" s="132" t="s">
        <v>195</v>
      </c>
      <c r="D19" s="132"/>
      <c r="E19" s="132" t="s">
        <v>12</v>
      </c>
      <c r="F19" s="132"/>
      <c r="G19" s="174" t="s">
        <v>193</v>
      </c>
      <c r="H19" s="174"/>
    </row>
    <row r="20" spans="1:8" x14ac:dyDescent="0.3">
      <c r="A20" s="91" t="s">
        <v>73</v>
      </c>
      <c r="B20" s="91"/>
      <c r="C20" s="132" t="s">
        <v>192</v>
      </c>
      <c r="D20" s="132"/>
      <c r="E20" s="133" t="s">
        <v>14</v>
      </c>
      <c r="F20" s="133"/>
      <c r="G20" s="132">
        <v>400053</v>
      </c>
      <c r="H20" s="132"/>
    </row>
    <row r="21" spans="1:8" ht="32.25" customHeight="1" x14ac:dyDescent="0.3">
      <c r="A21" s="91" t="s">
        <v>127</v>
      </c>
      <c r="B21" s="91"/>
      <c r="C21" s="132" t="s">
        <v>191</v>
      </c>
      <c r="D21" s="132"/>
      <c r="E21" s="133" t="s">
        <v>15</v>
      </c>
      <c r="F21" s="133"/>
      <c r="G21" s="132" t="s">
        <v>196</v>
      </c>
      <c r="H21" s="132"/>
    </row>
    <row r="22" spans="1:8" ht="15" customHeight="1" x14ac:dyDescent="0.3">
      <c r="A22" s="133" t="s">
        <v>76</v>
      </c>
      <c r="B22" s="133"/>
      <c r="C22" s="133"/>
      <c r="D22" s="133"/>
      <c r="E22" s="140" t="s">
        <v>16</v>
      </c>
      <c r="F22" s="140"/>
      <c r="G22" s="140"/>
      <c r="H22" s="140"/>
    </row>
    <row r="23" spans="1:8" ht="18.75" customHeight="1" x14ac:dyDescent="0.3">
      <c r="A23" s="133"/>
      <c r="B23" s="133"/>
      <c r="C23" s="133"/>
      <c r="D23" s="133"/>
      <c r="E23" s="140"/>
      <c r="F23" s="140"/>
      <c r="G23" s="140"/>
      <c r="H23" s="140"/>
    </row>
    <row r="24" spans="1:8" ht="15" customHeight="1" x14ac:dyDescent="0.3">
      <c r="A24" s="133" t="s">
        <v>17</v>
      </c>
      <c r="B24" s="133"/>
      <c r="C24" s="133"/>
      <c r="D24" s="133"/>
      <c r="E24" s="132" t="s">
        <v>18</v>
      </c>
      <c r="F24" s="132"/>
      <c r="G24" s="132"/>
      <c r="H24" s="132"/>
    </row>
    <row r="25" spans="1:8" ht="15" customHeight="1" x14ac:dyDescent="0.3">
      <c r="A25" s="91" t="s">
        <v>19</v>
      </c>
      <c r="B25" s="91"/>
      <c r="C25" s="91"/>
      <c r="D25" s="91"/>
      <c r="E25" s="132" t="str">
        <f>IF(AND(G19="Mumbai"),"Upper Class","Middle Class")</f>
        <v>Upper Class</v>
      </c>
      <c r="F25" s="132"/>
      <c r="G25" s="132"/>
      <c r="H25" s="132"/>
    </row>
    <row r="26" spans="1:8" x14ac:dyDescent="0.3">
      <c r="A26" s="91" t="s">
        <v>20</v>
      </c>
      <c r="B26" s="91"/>
      <c r="C26" s="91"/>
      <c r="D26" s="91"/>
      <c r="E26" s="132" t="s">
        <v>21</v>
      </c>
      <c r="F26" s="132"/>
      <c r="G26" s="132"/>
      <c r="H26" s="132"/>
    </row>
    <row r="27" spans="1:8" ht="15.75" customHeight="1" x14ac:dyDescent="0.3">
      <c r="A27" s="91" t="s">
        <v>22</v>
      </c>
      <c r="B27" s="91"/>
      <c r="C27" s="91"/>
      <c r="D27" s="91"/>
      <c r="E27" s="132" t="str">
        <f>IF(AND(G19="Mumbai"),"Developed","Developing")</f>
        <v>Developed</v>
      </c>
      <c r="F27" s="132"/>
      <c r="G27" s="132"/>
      <c r="H27" s="132"/>
    </row>
    <row r="28" spans="1:8" x14ac:dyDescent="0.3">
      <c r="A28" s="91" t="s">
        <v>23</v>
      </c>
      <c r="B28" s="91"/>
      <c r="C28" s="91"/>
      <c r="D28" s="91"/>
      <c r="E28" s="132" t="s">
        <v>24</v>
      </c>
      <c r="F28" s="132"/>
      <c r="G28" s="132"/>
      <c r="H28" s="132"/>
    </row>
    <row r="29" spans="1:8" ht="15.75" customHeight="1" x14ac:dyDescent="0.3">
      <c r="A29" s="91" t="s">
        <v>81</v>
      </c>
      <c r="B29" s="91"/>
      <c r="C29" s="91"/>
      <c r="D29" s="91"/>
      <c r="E29" s="132" t="s">
        <v>82</v>
      </c>
      <c r="F29" s="132"/>
      <c r="G29" s="132"/>
      <c r="H29" s="132"/>
    </row>
    <row r="30" spans="1:8" ht="15" customHeight="1" x14ac:dyDescent="0.3">
      <c r="A30" s="140" t="s">
        <v>32</v>
      </c>
      <c r="B30" s="140"/>
      <c r="C30" s="140"/>
      <c r="D30" s="140"/>
      <c r="E30" s="13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32"/>
      <c r="G30" s="132"/>
      <c r="H30" s="132"/>
    </row>
    <row r="31" spans="1:8" ht="15.75" customHeight="1" x14ac:dyDescent="0.3">
      <c r="A31" s="140" t="s">
        <v>93</v>
      </c>
      <c r="B31" s="140"/>
      <c r="C31" s="140"/>
      <c r="D31" s="140"/>
      <c r="E31" s="132" t="s">
        <v>33</v>
      </c>
      <c r="F31" s="132"/>
      <c r="G31" s="132"/>
      <c r="H31" s="132"/>
    </row>
    <row r="32" spans="1:8" s="22" customFormat="1" x14ac:dyDescent="0.3">
      <c r="A32" s="173" t="s">
        <v>94</v>
      </c>
      <c r="B32" s="173"/>
      <c r="C32" s="172" t="s">
        <v>224</v>
      </c>
      <c r="D32" s="172"/>
      <c r="E32" s="172"/>
      <c r="F32" s="172" t="s">
        <v>30</v>
      </c>
      <c r="G32" s="172"/>
      <c r="H32" s="172"/>
    </row>
    <row r="33" spans="1:11" s="22" customFormat="1" x14ac:dyDescent="0.3">
      <c r="A33" s="165" t="s">
        <v>25</v>
      </c>
      <c r="B33" s="165" t="s">
        <v>29</v>
      </c>
      <c r="C33" s="166" t="s">
        <v>226</v>
      </c>
      <c r="D33" s="166"/>
      <c r="E33" s="166"/>
      <c r="F33" s="166" t="s">
        <v>199</v>
      </c>
      <c r="G33" s="166"/>
      <c r="H33" s="166"/>
    </row>
    <row r="34" spans="1:11" x14ac:dyDescent="0.3">
      <c r="A34" s="165" t="s">
        <v>26</v>
      </c>
      <c r="B34" s="165" t="s">
        <v>29</v>
      </c>
      <c r="C34" s="166" t="s">
        <v>247</v>
      </c>
      <c r="D34" s="166"/>
      <c r="E34" s="166"/>
      <c r="F34" s="166" t="s">
        <v>197</v>
      </c>
      <c r="G34" s="166"/>
      <c r="H34" s="166"/>
    </row>
    <row r="35" spans="1:11" s="22" customFormat="1" x14ac:dyDescent="0.3">
      <c r="A35" s="165" t="s">
        <v>28</v>
      </c>
      <c r="B35" s="165" t="s">
        <v>29</v>
      </c>
      <c r="C35" s="166" t="s">
        <v>225</v>
      </c>
      <c r="D35" s="166"/>
      <c r="E35" s="166"/>
      <c r="F35" s="166" t="s">
        <v>189</v>
      </c>
      <c r="G35" s="166"/>
      <c r="H35" s="166"/>
    </row>
    <row r="36" spans="1:11" x14ac:dyDescent="0.3">
      <c r="A36" s="165" t="s">
        <v>27</v>
      </c>
      <c r="B36" s="165" t="s">
        <v>29</v>
      </c>
      <c r="C36" s="166" t="s">
        <v>230</v>
      </c>
      <c r="D36" s="166"/>
      <c r="E36" s="166"/>
      <c r="F36" s="166" t="s">
        <v>198</v>
      </c>
      <c r="G36" s="166"/>
      <c r="H36" s="166"/>
      <c r="K36" s="22"/>
    </row>
    <row r="37" spans="1:11" x14ac:dyDescent="0.3">
      <c r="A37" s="91" t="s">
        <v>31</v>
      </c>
      <c r="B37" s="91"/>
      <c r="C37" s="91"/>
      <c r="D37" s="91"/>
      <c r="E37" s="91"/>
      <c r="F37" s="91"/>
      <c r="G37" s="91"/>
      <c r="H37" s="91"/>
    </row>
    <row r="38" spans="1:11" ht="15.75" customHeight="1" x14ac:dyDescent="0.3">
      <c r="A38" s="112" t="s">
        <v>190</v>
      </c>
      <c r="B38" s="112"/>
      <c r="C38" s="167" t="s">
        <v>231</v>
      </c>
      <c r="D38" s="168"/>
      <c r="E38" s="168"/>
      <c r="F38" s="168"/>
      <c r="G38" s="168"/>
      <c r="H38" s="169"/>
    </row>
    <row r="39" spans="1:11" x14ac:dyDescent="0.3">
      <c r="A39" s="112" t="s">
        <v>172</v>
      </c>
      <c r="B39" s="112"/>
      <c r="C39" s="171" t="s">
        <v>232</v>
      </c>
      <c r="D39" s="132"/>
      <c r="E39" s="132"/>
      <c r="F39" s="132"/>
      <c r="G39" s="132"/>
      <c r="H39" s="132"/>
    </row>
    <row r="40" spans="1:11" x14ac:dyDescent="0.3">
      <c r="A40" s="112" t="s">
        <v>34</v>
      </c>
      <c r="B40" s="112"/>
      <c r="C40" s="112"/>
      <c r="D40" s="112"/>
      <c r="E40" s="112"/>
      <c r="F40" s="112"/>
      <c r="G40" s="112"/>
      <c r="H40" s="112"/>
    </row>
    <row r="41" spans="1:11" x14ac:dyDescent="0.3">
      <c r="A41" s="91" t="s">
        <v>35</v>
      </c>
      <c r="B41" s="91"/>
      <c r="C41" s="91"/>
      <c r="D41" s="91"/>
      <c r="E41" s="170">
        <v>3076.23</v>
      </c>
      <c r="F41" s="170"/>
      <c r="G41" s="170"/>
      <c r="H41" s="170"/>
      <c r="I41" s="21">
        <v>3078.08</v>
      </c>
    </row>
    <row r="42" spans="1:11" x14ac:dyDescent="0.3">
      <c r="A42" s="91" t="s">
        <v>36</v>
      </c>
      <c r="B42" s="91"/>
      <c r="C42" s="91"/>
      <c r="D42" s="91"/>
      <c r="E42" s="138">
        <f>3076.23/E41</f>
        <v>1</v>
      </c>
      <c r="F42" s="138"/>
      <c r="G42" s="138"/>
      <c r="H42" s="138"/>
      <c r="I42" s="21">
        <f>5297.95/E41</f>
        <v>1.7222216804335175</v>
      </c>
    </row>
    <row r="43" spans="1:11" x14ac:dyDescent="0.3">
      <c r="A43" s="91" t="s">
        <v>37</v>
      </c>
      <c r="B43" s="91"/>
      <c r="C43" s="91"/>
      <c r="D43" s="91"/>
      <c r="E43" s="138">
        <f>E45/E41-E42</f>
        <v>2.3861967408158686</v>
      </c>
      <c r="F43" s="138"/>
      <c r="G43" s="138"/>
      <c r="H43" s="138"/>
      <c r="I43" s="56">
        <f>E45/E41</f>
        <v>3.3861967408158686</v>
      </c>
    </row>
    <row r="44" spans="1:11" x14ac:dyDescent="0.3">
      <c r="A44" s="91" t="s">
        <v>38</v>
      </c>
      <c r="B44" s="91"/>
      <c r="C44" s="91"/>
      <c r="D44" s="91"/>
      <c r="E44" s="138">
        <f>E42+E43</f>
        <v>3.3861967408158686</v>
      </c>
      <c r="F44" s="138"/>
      <c r="G44" s="138"/>
      <c r="H44" s="138"/>
    </row>
    <row r="45" spans="1:11" x14ac:dyDescent="0.3">
      <c r="A45" s="91" t="s">
        <v>92</v>
      </c>
      <c r="B45" s="91"/>
      <c r="C45" s="91"/>
      <c r="D45" s="91"/>
      <c r="E45" s="139">
        <v>10416.719999999999</v>
      </c>
      <c r="F45" s="139"/>
      <c r="G45" s="139"/>
      <c r="H45" s="139"/>
    </row>
    <row r="46" spans="1:11" x14ac:dyDescent="0.3">
      <c r="A46" s="140" t="s">
        <v>39</v>
      </c>
      <c r="B46" s="140"/>
      <c r="C46" s="140"/>
      <c r="D46" s="140"/>
      <c r="E46" s="140" t="s">
        <v>200</v>
      </c>
      <c r="F46" s="140"/>
      <c r="G46" s="140"/>
      <c r="H46" s="140"/>
    </row>
    <row r="47" spans="1:11" x14ac:dyDescent="0.3">
      <c r="A47" s="112" t="s">
        <v>40</v>
      </c>
      <c r="B47" s="112"/>
      <c r="C47" s="112"/>
      <c r="D47" s="112"/>
      <c r="E47" s="112"/>
      <c r="F47" s="112"/>
      <c r="G47" s="112"/>
      <c r="H47" s="112"/>
    </row>
    <row r="48" spans="1:11" ht="33.75" customHeight="1" x14ac:dyDescent="0.3">
      <c r="A48" s="77" t="s">
        <v>159</v>
      </c>
      <c r="B48" s="78"/>
      <c r="C48" s="79" t="s">
        <v>201</v>
      </c>
      <c r="D48" s="80"/>
      <c r="E48" s="80"/>
      <c r="F48" s="80"/>
      <c r="G48" s="80"/>
      <c r="H48" s="81"/>
    </row>
    <row r="49" spans="1:14" ht="32.25" customHeight="1" x14ac:dyDescent="0.3">
      <c r="A49" s="77" t="s">
        <v>41</v>
      </c>
      <c r="B49" s="78"/>
      <c r="C49" s="77" t="s">
        <v>227</v>
      </c>
      <c r="D49" s="180"/>
      <c r="E49" s="78"/>
      <c r="F49" s="18" t="s">
        <v>42</v>
      </c>
      <c r="G49" s="145">
        <v>45415</v>
      </c>
      <c r="H49" s="78"/>
    </row>
    <row r="50" spans="1:14" ht="32.25" customHeight="1" x14ac:dyDescent="0.3">
      <c r="A50" s="77" t="s">
        <v>43</v>
      </c>
      <c r="B50" s="78"/>
      <c r="C50" s="77" t="str">
        <f>C49</f>
        <v>P-6691/2021/(186A And Other)/K/E Ward/MOGRA/337/1/NEW</v>
      </c>
      <c r="D50" s="180"/>
      <c r="E50" s="78"/>
      <c r="F50" s="18" t="s">
        <v>42</v>
      </c>
      <c r="G50" s="145">
        <f>G49</f>
        <v>45415</v>
      </c>
      <c r="H50" s="146"/>
    </row>
    <row r="51" spans="1:14" s="23" customFormat="1" ht="32.25" customHeight="1" x14ac:dyDescent="0.3">
      <c r="A51" s="147" t="s">
        <v>163</v>
      </c>
      <c r="B51" s="148"/>
      <c r="C51" s="77" t="s">
        <v>253</v>
      </c>
      <c r="D51" s="180"/>
      <c r="E51" s="78"/>
      <c r="F51" s="18" t="s">
        <v>42</v>
      </c>
      <c r="G51" s="145">
        <v>45763</v>
      </c>
      <c r="H51" s="146"/>
    </row>
    <row r="52" spans="1:14" s="23" customFormat="1" ht="78.599999999999994" customHeight="1" x14ac:dyDescent="0.3">
      <c r="A52" s="149"/>
      <c r="B52" s="150"/>
      <c r="C52" s="77" t="s">
        <v>254</v>
      </c>
      <c r="D52" s="180"/>
      <c r="E52" s="78"/>
      <c r="F52" s="18" t="s">
        <v>126</v>
      </c>
      <c r="G52" s="145">
        <v>45961</v>
      </c>
      <c r="H52" s="78"/>
    </row>
    <row r="53" spans="1:14" x14ac:dyDescent="0.3">
      <c r="A53" s="181" t="s">
        <v>44</v>
      </c>
      <c r="B53" s="182"/>
      <c r="C53" s="181" t="s">
        <v>106</v>
      </c>
      <c r="D53" s="183"/>
      <c r="E53" s="182"/>
      <c r="F53" s="46" t="s">
        <v>42</v>
      </c>
      <c r="G53" s="184" t="s">
        <v>29</v>
      </c>
      <c r="H53" s="185"/>
    </row>
    <row r="54" spans="1:14" x14ac:dyDescent="0.3">
      <c r="A54" s="179" t="s">
        <v>46</v>
      </c>
      <c r="B54" s="179"/>
      <c r="C54" s="179"/>
      <c r="D54" s="179"/>
      <c r="E54" s="179"/>
      <c r="F54" s="179"/>
      <c r="G54" s="179"/>
      <c r="H54" s="179"/>
    </row>
    <row r="55" spans="1:14" x14ac:dyDescent="0.3">
      <c r="A55" s="133" t="s">
        <v>91</v>
      </c>
      <c r="B55" s="133"/>
      <c r="C55" s="133"/>
      <c r="D55" s="91">
        <f>E45</f>
        <v>10416.719999999999</v>
      </c>
      <c r="E55" s="91"/>
      <c r="F55" s="91"/>
      <c r="G55" s="91"/>
      <c r="H55" s="91"/>
    </row>
    <row r="56" spans="1:14" x14ac:dyDescent="0.3">
      <c r="A56" s="132" t="s">
        <v>47</v>
      </c>
      <c r="B56" s="140"/>
      <c r="C56" s="140"/>
      <c r="D56" s="140" t="s">
        <v>248</v>
      </c>
      <c r="E56" s="140"/>
      <c r="F56" s="140"/>
      <c r="G56" s="140"/>
      <c r="H56" s="140"/>
      <c r="I56" s="24"/>
    </row>
    <row r="57" spans="1:14" ht="15" customHeight="1" x14ac:dyDescent="0.3">
      <c r="A57" s="142" t="s">
        <v>48</v>
      </c>
      <c r="B57" s="143"/>
      <c r="C57" s="144"/>
      <c r="D57" s="135" t="s">
        <v>228</v>
      </c>
      <c r="E57" s="141"/>
      <c r="F57" s="141"/>
      <c r="G57" s="141"/>
      <c r="H57" s="141"/>
      <c r="I57" s="57" t="s">
        <v>211</v>
      </c>
    </row>
    <row r="58" spans="1:14" ht="15.75" customHeight="1" x14ac:dyDescent="0.3">
      <c r="A58" s="142" t="s">
        <v>89</v>
      </c>
      <c r="B58" s="143"/>
      <c r="C58" s="143"/>
      <c r="D58" s="135" t="s">
        <v>228</v>
      </c>
      <c r="E58" s="141"/>
      <c r="F58" s="141"/>
      <c r="G58" s="141"/>
      <c r="H58" s="141"/>
      <c r="I58" s="65" t="s">
        <v>229</v>
      </c>
      <c r="J58" s="66"/>
      <c r="K58" s="66"/>
      <c r="L58" s="66"/>
      <c r="M58" s="67"/>
    </row>
    <row r="59" spans="1:14" ht="15.75" customHeight="1" x14ac:dyDescent="0.3">
      <c r="A59" s="91" t="s">
        <v>45</v>
      </c>
      <c r="B59" s="91"/>
      <c r="C59" s="91"/>
      <c r="D59" s="132" t="s">
        <v>210</v>
      </c>
      <c r="E59" s="132"/>
      <c r="F59" s="132"/>
      <c r="G59" s="132"/>
      <c r="H59" s="132"/>
      <c r="J59" s="25"/>
      <c r="K59" s="24"/>
      <c r="N59" s="24"/>
    </row>
    <row r="60" spans="1:14" ht="15.75" customHeight="1" x14ac:dyDescent="0.3">
      <c r="A60" s="91" t="s">
        <v>87</v>
      </c>
      <c r="B60" s="91"/>
      <c r="C60" s="91"/>
      <c r="D60" s="194" t="str">
        <f>(IF(G53="NA","60 Years After Completion",IF(G53&lt;&gt;"NA",""&amp;60-ROUNDDOWN((E3-G53)/360,0)&amp;" Years"," ")))</f>
        <v>60 Years After Completion</v>
      </c>
      <c r="E60" s="194"/>
      <c r="F60" s="194"/>
      <c r="G60" s="194"/>
      <c r="H60" s="194"/>
      <c r="N60" s="24"/>
    </row>
    <row r="61" spans="1:14" ht="15.75" customHeight="1" x14ac:dyDescent="0.3">
      <c r="A61" s="91" t="s">
        <v>88</v>
      </c>
      <c r="B61" s="91"/>
      <c r="C61" s="91"/>
      <c r="D61" s="133" t="s">
        <v>24</v>
      </c>
      <c r="E61" s="133"/>
      <c r="F61" s="133"/>
      <c r="G61" s="133"/>
      <c r="H61" s="133"/>
      <c r="K61" s="26"/>
    </row>
    <row r="62" spans="1:14" ht="47.25" customHeight="1" x14ac:dyDescent="0.3">
      <c r="A62" s="91" t="s">
        <v>74</v>
      </c>
      <c r="B62" s="91"/>
      <c r="C62" s="91"/>
      <c r="D62" s="132" t="s">
        <v>234</v>
      </c>
      <c r="E62" s="133"/>
      <c r="F62" s="133"/>
      <c r="G62" s="133"/>
      <c r="H62" s="133"/>
      <c r="I62" s="26" t="s">
        <v>233</v>
      </c>
    </row>
    <row r="63" spans="1:14" x14ac:dyDescent="0.3">
      <c r="A63" s="133" t="s">
        <v>155</v>
      </c>
      <c r="B63" s="133"/>
      <c r="C63" s="133"/>
      <c r="D63" s="133" t="s">
        <v>29</v>
      </c>
      <c r="E63" s="133"/>
      <c r="F63" s="133"/>
      <c r="G63" s="133"/>
      <c r="H63" s="133"/>
      <c r="I63" s="27"/>
      <c r="J63" s="27"/>
      <c r="K63" s="27"/>
      <c r="L63" s="27"/>
      <c r="M63" s="27"/>
      <c r="N63" s="27"/>
    </row>
    <row r="64" spans="1:14" ht="15.75" customHeight="1" x14ac:dyDescent="0.3">
      <c r="A64" s="136" t="s">
        <v>86</v>
      </c>
      <c r="B64" s="136"/>
      <c r="C64" s="136"/>
      <c r="D64" s="135" t="str">
        <f ca="1">(IF(G70&gt;95%,"Nothing",IF(G70&gt;0%,"Cement, Aggregate, Steel, etc",IF(G70=0%,"Work not yet Started"))))</f>
        <v>Cement, Aggregate, Steel, etc</v>
      </c>
      <c r="E64" s="135"/>
      <c r="F64" s="135"/>
      <c r="G64" s="135"/>
      <c r="H64" s="135"/>
      <c r="J64" s="26"/>
    </row>
    <row r="65" spans="1:10" ht="33.75" customHeight="1" thickBot="1" x14ac:dyDescent="0.35">
      <c r="A65" s="134" t="s">
        <v>119</v>
      </c>
      <c r="B65" s="134"/>
      <c r="C65" s="134"/>
      <c r="D65" s="135" t="str">
        <f ca="1">(IF(D64="Nothing","Yes",IF(D64="Cement, Aggregate, Steel, etc","Under Construction",IF(D64="Work not yet Started","Work not yet Started"))))</f>
        <v>Under Construction</v>
      </c>
      <c r="E65" s="135"/>
      <c r="F65" s="135" t="str">
        <f ca="1">(IF(D64="Nothing","Yes",IF(D64="Cement, Aggregate, Steel, etc","Under Construction",IF(D64="Work not yet Started","Work not yet Started"))))</f>
        <v>Under Construction</v>
      </c>
      <c r="G65" s="135"/>
      <c r="H65" s="135"/>
    </row>
    <row r="66" spans="1:10" ht="15.75" customHeight="1" x14ac:dyDescent="0.3">
      <c r="A66" s="151" t="s">
        <v>145</v>
      </c>
      <c r="B66" s="152"/>
      <c r="C66" s="153" t="s">
        <v>235</v>
      </c>
      <c r="D66" s="154"/>
      <c r="E66" s="154"/>
      <c r="F66" s="154"/>
      <c r="G66" s="154"/>
      <c r="H66" s="155"/>
      <c r="I66" s="48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7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7 Floor</v>
      </c>
    </row>
    <row r="67" spans="1:10" x14ac:dyDescent="0.3">
      <c r="A67" s="16" t="s">
        <v>147</v>
      </c>
      <c r="B67" s="52">
        <v>0</v>
      </c>
      <c r="C67" s="52" t="s">
        <v>71</v>
      </c>
      <c r="D67" s="52">
        <v>1</v>
      </c>
      <c r="E67" s="52" t="s">
        <v>70</v>
      </c>
      <c r="F67" s="52">
        <v>3</v>
      </c>
      <c r="G67" s="52" t="s">
        <v>80</v>
      </c>
      <c r="H67" s="17">
        <f ca="1">--TRIM(RIGHT(SUBSTITUTE(LEFT(C66,_xlfn.AGGREGATE(16,6,FIND({0,1,2,3,4,5,6,7,8,9},C66,ROW(INDIRECT("1:"&amp;LEN(C66)))),1))," ",REPT(" ",LEN(C66))),LEN(C66)))</f>
        <v>12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6.75" customHeight="1" x14ac:dyDescent="0.3">
      <c r="A68" s="119" t="s">
        <v>90</v>
      </c>
      <c r="B68" s="120"/>
      <c r="C68" s="121" t="str">
        <f ca="1">I66</f>
        <v>Excavation, Plinth, RCC Slab, Brickwork, Internal Plaster, External Plaster Completed, Flooring upto 7 Floor Completed</v>
      </c>
      <c r="D68" s="121"/>
      <c r="E68" s="121"/>
      <c r="F68" s="121"/>
      <c r="G68" s="121"/>
      <c r="H68" s="122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3">
      <c r="A69" s="130" t="s">
        <v>49</v>
      </c>
      <c r="B69" s="131"/>
      <c r="C69" s="44" t="s">
        <v>144</v>
      </c>
      <c r="D69" s="44" t="s">
        <v>83</v>
      </c>
      <c r="E69" s="131" t="s">
        <v>85</v>
      </c>
      <c r="F69" s="131"/>
      <c r="G69" s="131" t="s">
        <v>84</v>
      </c>
      <c r="H69" s="137"/>
      <c r="I69" s="14" t="s">
        <v>146</v>
      </c>
      <c r="J69" s="28">
        <f ca="1">H67*25%</f>
        <v>3</v>
      </c>
    </row>
    <row r="70" spans="1:10" x14ac:dyDescent="0.3">
      <c r="A70" s="130" t="s">
        <v>133</v>
      </c>
      <c r="B70" s="131"/>
      <c r="C70" s="44">
        <f ca="1">J71</f>
        <v>12</v>
      </c>
      <c r="D70" s="19">
        <f ca="1">((100/H67)*C70)/100</f>
        <v>1</v>
      </c>
      <c r="E70" s="156">
        <f ca="1">(((C71/H67*10)+(40/(D67+F67+H67)*C72)+(7.5/(H67)*C73)+(7.5/(H67)*C74)+(10/H67*C75)+(10/H67*C76)+(5/H67*C77)+(5/H67*C78)+(5/H67*C79))/100)</f>
        <v>0.80833333333333324</v>
      </c>
      <c r="F70" s="157"/>
      <c r="G70" s="156">
        <f ca="1">((((C70/H67)*20)+((C71/H67)*25)+(30/(H67+F67+D67)*C72)+(5/H67*C73)+(5/H67*C74)+(5/H67*C75)+(5/H67*C76)+(0/H67*C77)+(0/H67*C78)+(5/H67*C79))/100)</f>
        <v>0.9291666666666667</v>
      </c>
      <c r="H70" s="162"/>
      <c r="I70" s="14" t="s">
        <v>101</v>
      </c>
      <c r="J70" s="29">
        <f ca="1">H67*50%</f>
        <v>6</v>
      </c>
    </row>
    <row r="71" spans="1:10" x14ac:dyDescent="0.3">
      <c r="A71" s="130" t="s">
        <v>50</v>
      </c>
      <c r="B71" s="131"/>
      <c r="C71" s="55">
        <f ca="1">J79</f>
        <v>12</v>
      </c>
      <c r="D71" s="19">
        <f ca="1">((100/H67)*C71)/100</f>
        <v>1</v>
      </c>
      <c r="E71" s="158"/>
      <c r="F71" s="159"/>
      <c r="G71" s="158"/>
      <c r="H71" s="163"/>
      <c r="I71" s="14" t="s">
        <v>102</v>
      </c>
      <c r="J71" s="29">
        <f ca="1">H67</f>
        <v>12</v>
      </c>
    </row>
    <row r="72" spans="1:10" ht="15.75" customHeight="1" x14ac:dyDescent="0.3">
      <c r="A72" s="130" t="s">
        <v>134</v>
      </c>
      <c r="B72" s="131"/>
      <c r="C72" s="44">
        <v>16</v>
      </c>
      <c r="D72" s="19">
        <f ca="1">((100/(D67+F67+H67))*C72)/100</f>
        <v>1</v>
      </c>
      <c r="E72" s="158"/>
      <c r="F72" s="159"/>
      <c r="G72" s="158"/>
      <c r="H72" s="163"/>
      <c r="I72" s="14" t="s">
        <v>103</v>
      </c>
      <c r="J72" s="30">
        <f ca="1">(IF(B67&gt;1,(H67/(B67+2)),H67/4))</f>
        <v>3</v>
      </c>
    </row>
    <row r="73" spans="1:10" ht="15.75" customHeight="1" x14ac:dyDescent="0.3">
      <c r="A73" s="130" t="s">
        <v>141</v>
      </c>
      <c r="B73" s="131" t="s">
        <v>135</v>
      </c>
      <c r="C73" s="44">
        <f>C72-D67-F67</f>
        <v>12</v>
      </c>
      <c r="D73" s="19">
        <f ca="1">((100/H67)*C73)/100</f>
        <v>1</v>
      </c>
      <c r="E73" s="158"/>
      <c r="F73" s="159"/>
      <c r="G73" s="158"/>
      <c r="H73" s="163"/>
      <c r="I73" s="14" t="s">
        <v>104</v>
      </c>
      <c r="J73" s="30">
        <f ca="1">(IF(B67&gt;1,(H67/(B67+2)+J72),H67/4+J72))</f>
        <v>6</v>
      </c>
    </row>
    <row r="74" spans="1:10" ht="15.75" customHeight="1" x14ac:dyDescent="0.3">
      <c r="A74" s="130" t="s">
        <v>142</v>
      </c>
      <c r="B74" s="131" t="s">
        <v>135</v>
      </c>
      <c r="C74" s="55">
        <v>12</v>
      </c>
      <c r="D74" s="19">
        <f ca="1">((100/H67)*C74)/100</f>
        <v>1</v>
      </c>
      <c r="E74" s="158"/>
      <c r="F74" s="159"/>
      <c r="G74" s="158"/>
      <c r="H74" s="163"/>
      <c r="I74" s="14" t="s">
        <v>153</v>
      </c>
      <c r="J74" s="30">
        <f>(IF(B67&gt;1,(H67/(B67+2)+J73),0))</f>
        <v>0</v>
      </c>
    </row>
    <row r="75" spans="1:10" ht="15" customHeight="1" x14ac:dyDescent="0.3">
      <c r="A75" s="130" t="s">
        <v>140</v>
      </c>
      <c r="B75" s="131" t="s">
        <v>137</v>
      </c>
      <c r="C75" s="55">
        <v>12</v>
      </c>
      <c r="D75" s="19">
        <f ca="1">((100/(H67))*C75)/100</f>
        <v>1</v>
      </c>
      <c r="E75" s="158"/>
      <c r="F75" s="159"/>
      <c r="G75" s="158"/>
      <c r="H75" s="163"/>
      <c r="I75" s="14" t="s">
        <v>148</v>
      </c>
      <c r="J75" s="30">
        <f>(IF(B67&gt;2,(H67/(B67+2)+J74),0))</f>
        <v>0</v>
      </c>
    </row>
    <row r="76" spans="1:10" ht="15.75" customHeight="1" x14ac:dyDescent="0.3">
      <c r="A76" s="130" t="s">
        <v>136</v>
      </c>
      <c r="B76" s="131" t="s">
        <v>136</v>
      </c>
      <c r="C76" s="44">
        <v>7</v>
      </c>
      <c r="D76" s="19">
        <f ca="1">((100/H67)*C76)/100</f>
        <v>0.58333333333333337</v>
      </c>
      <c r="E76" s="158"/>
      <c r="F76" s="159"/>
      <c r="G76" s="158"/>
      <c r="H76" s="163"/>
      <c r="I76" s="14" t="s">
        <v>149</v>
      </c>
      <c r="J76" s="31">
        <f>(IF(B67&gt;3,(H67/(B67+2)+J75),0))</f>
        <v>0</v>
      </c>
    </row>
    <row r="77" spans="1:10" ht="15.75" customHeight="1" x14ac:dyDescent="0.3">
      <c r="A77" s="130" t="s">
        <v>143</v>
      </c>
      <c r="B77" s="131"/>
      <c r="C77" s="44">
        <v>0</v>
      </c>
      <c r="D77" s="19">
        <f ca="1">((100/H67)*C77)/100</f>
        <v>0</v>
      </c>
      <c r="E77" s="158"/>
      <c r="F77" s="159"/>
      <c r="G77" s="158"/>
      <c r="H77" s="163"/>
      <c r="I77" s="14" t="s">
        <v>150</v>
      </c>
      <c r="J77" s="30">
        <f>(IF(B67&gt;4,(H67/(B67+2)+J76),0))</f>
        <v>0</v>
      </c>
    </row>
    <row r="78" spans="1:10" ht="15.75" customHeight="1" x14ac:dyDescent="0.3">
      <c r="A78" s="130" t="s">
        <v>138</v>
      </c>
      <c r="B78" s="131" t="s">
        <v>138</v>
      </c>
      <c r="C78" s="44">
        <v>0</v>
      </c>
      <c r="D78" s="19">
        <f ca="1">((100/(H67))*C78)/100</f>
        <v>0</v>
      </c>
      <c r="E78" s="158"/>
      <c r="F78" s="159"/>
      <c r="G78" s="158"/>
      <c r="H78" s="163"/>
      <c r="I78" s="14" t="s">
        <v>154</v>
      </c>
      <c r="J78" s="30">
        <f ca="1">(IF(B67=1,(H67/(B67+3)+J73),IF(B67=0,(H67/4+J73),IF(B67&gt;1,0))))</f>
        <v>9</v>
      </c>
    </row>
    <row r="79" spans="1:10" ht="16.2" thickBot="1" x14ac:dyDescent="0.35">
      <c r="A79" s="192" t="s">
        <v>139</v>
      </c>
      <c r="B79" s="193"/>
      <c r="C79" s="45">
        <v>0</v>
      </c>
      <c r="D79" s="20">
        <f ca="1">((100/(H67))*C79)/100</f>
        <v>0</v>
      </c>
      <c r="E79" s="160"/>
      <c r="F79" s="161"/>
      <c r="G79" s="160"/>
      <c r="H79" s="164"/>
      <c r="I79" s="15" t="s">
        <v>105</v>
      </c>
      <c r="J79" s="32">
        <f ca="1">(IF(B67&gt;1.5,(H67/(B67+2)+J73+MAX(0,J74-J73)+MAX(0,J75-J74)+MAX(0,J76-J75)+MAX(0,J77-J76)+MAX(0,J78-J77)),IF(B67=1,(H67/(B67+3)+J78),IF(B67=0,H67/4+J78))))</f>
        <v>12</v>
      </c>
    </row>
    <row r="80" spans="1:10" ht="15.75" customHeight="1" x14ac:dyDescent="0.3">
      <c r="A80" s="151" t="s">
        <v>145</v>
      </c>
      <c r="B80" s="152"/>
      <c r="C80" s="153" t="s">
        <v>236</v>
      </c>
      <c r="D80" s="154"/>
      <c r="E80" s="154"/>
      <c r="F80" s="154"/>
      <c r="G80" s="154"/>
      <c r="H80" s="155"/>
      <c r="I80" s="48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Plaster, External Plaster Completed, Flooring upto 5 Floor Completed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Flooring upto 5 Floor</v>
      </c>
    </row>
    <row r="81" spans="1:10" x14ac:dyDescent="0.3">
      <c r="A81" s="16" t="s">
        <v>147</v>
      </c>
      <c r="B81" s="52">
        <v>0</v>
      </c>
      <c r="C81" s="52" t="s">
        <v>71</v>
      </c>
      <c r="D81" s="52">
        <v>1</v>
      </c>
      <c r="E81" s="52" t="s">
        <v>70</v>
      </c>
      <c r="F81" s="52">
        <v>3</v>
      </c>
      <c r="G81" s="52" t="s">
        <v>80</v>
      </c>
      <c r="H81" s="17">
        <f ca="1">--TRIM(RIGHT(SUBSTITUTE(LEFT(C80,_xlfn.AGGREGATE(16,6,FIND({0,1,2,3,4,5,6,7,8,9},C80,ROW(INDIRECT("1:"&amp;LEN(C80)))),1))," ",REPT(" ",LEN(C80))),LEN(C80)))</f>
        <v>12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3.9" customHeight="1" x14ac:dyDescent="0.3">
      <c r="A82" s="119" t="s">
        <v>90</v>
      </c>
      <c r="B82" s="120"/>
      <c r="C82" s="121" t="str">
        <f ca="1">(IF($G$53="NA",I80,"All work Completed. OC Received."))</f>
        <v>Excavation, Plinth, RCC Slab, Brickwork, Internal Plaster, External Plaster Completed, Flooring upto 5 Floor Completed</v>
      </c>
      <c r="D82" s="121"/>
      <c r="E82" s="121"/>
      <c r="F82" s="121"/>
      <c r="G82" s="121"/>
      <c r="H82" s="122"/>
      <c r="I82" s="50" t="str">
        <f ca="1">IF(I81&lt;&gt;""," Completed","")</f>
        <v xml:space="preserve"> Completed</v>
      </c>
      <c r="J82" s="51" t="str">
        <f ca="1">IF(J80&lt;&gt;"","Completed","")</f>
        <v>Completed</v>
      </c>
    </row>
    <row r="83" spans="1:10" ht="15.75" customHeight="1" x14ac:dyDescent="0.3">
      <c r="A83" s="88" t="s">
        <v>49</v>
      </c>
      <c r="B83" s="89"/>
      <c r="C83" s="59" t="s">
        <v>144</v>
      </c>
      <c r="D83" s="59" t="s">
        <v>83</v>
      </c>
      <c r="E83" s="89" t="s">
        <v>85</v>
      </c>
      <c r="F83" s="89"/>
      <c r="G83" s="89" t="s">
        <v>84</v>
      </c>
      <c r="H83" s="123"/>
      <c r="I83" s="14" t="s">
        <v>146</v>
      </c>
      <c r="J83" s="28">
        <f ca="1">H81*25%</f>
        <v>3</v>
      </c>
    </row>
    <row r="84" spans="1:10" x14ac:dyDescent="0.3">
      <c r="A84" s="88" t="s">
        <v>133</v>
      </c>
      <c r="B84" s="89"/>
      <c r="C84" s="59">
        <f ca="1">J85</f>
        <v>12</v>
      </c>
      <c r="D84" s="60">
        <f ca="1">((100/H81)*C84)/100</f>
        <v>1</v>
      </c>
      <c r="E84" s="82">
        <f ca="1">(((C85/H81*10)+(40/(D81+F81+H81)*C86)+(7.5/(H81)*C87)+(7.5/(H81)*C88)+(10/H81*C89)+(10/H81*C90)+(5/H81*C91)+(5/H81*C92)+(5/H81*C93))/100)</f>
        <v>0.79166666666666674</v>
      </c>
      <c r="F84" s="195"/>
      <c r="G84" s="82">
        <f ca="1">((((C84/H81)*20)+((C85/H81)*25)+(30/(H81+F81+D81)*C86)+(5/H81*C87)+(5/H81*C88)+(5/H81*C89)+(5/H81*C90)+(0/H81*C91)+(0/H81*C92)+(5/H81*C93))/100)</f>
        <v>0.92083333333333328</v>
      </c>
      <c r="H84" s="83"/>
      <c r="I84" s="14" t="s">
        <v>101</v>
      </c>
      <c r="J84" s="29">
        <f ca="1">H81*50%</f>
        <v>6</v>
      </c>
    </row>
    <row r="85" spans="1:10" x14ac:dyDescent="0.3">
      <c r="A85" s="88" t="s">
        <v>50</v>
      </c>
      <c r="B85" s="89"/>
      <c r="C85" s="59">
        <f ca="1">J93</f>
        <v>12</v>
      </c>
      <c r="D85" s="60">
        <f ca="1">((100/H81)*C85)/100</f>
        <v>1</v>
      </c>
      <c r="E85" s="84"/>
      <c r="F85" s="196"/>
      <c r="G85" s="84"/>
      <c r="H85" s="85"/>
      <c r="I85" s="14" t="s">
        <v>102</v>
      </c>
      <c r="J85" s="29">
        <f ca="1">H81</f>
        <v>12</v>
      </c>
    </row>
    <row r="86" spans="1:10" ht="15.75" customHeight="1" x14ac:dyDescent="0.3">
      <c r="A86" s="88" t="s">
        <v>134</v>
      </c>
      <c r="B86" s="89"/>
      <c r="C86" s="59">
        <v>16</v>
      </c>
      <c r="D86" s="60">
        <f ca="1">((100/(D81+F81+H81))*C86)/100</f>
        <v>1</v>
      </c>
      <c r="E86" s="84"/>
      <c r="F86" s="196"/>
      <c r="G86" s="84"/>
      <c r="H86" s="85"/>
      <c r="I86" s="14" t="s">
        <v>103</v>
      </c>
      <c r="J86" s="30">
        <f ca="1">(IF(B81&gt;1,(H81/(B81+2)),H81/4))</f>
        <v>3</v>
      </c>
    </row>
    <row r="87" spans="1:10" ht="15.75" customHeight="1" x14ac:dyDescent="0.3">
      <c r="A87" s="88" t="s">
        <v>141</v>
      </c>
      <c r="B87" s="89" t="s">
        <v>135</v>
      </c>
      <c r="C87" s="59">
        <f>C86-D81-F81</f>
        <v>12</v>
      </c>
      <c r="D87" s="60">
        <f ca="1">((100/H81)*C87)/100</f>
        <v>1</v>
      </c>
      <c r="E87" s="84"/>
      <c r="F87" s="196"/>
      <c r="G87" s="84"/>
      <c r="H87" s="85"/>
      <c r="I87" s="14" t="s">
        <v>104</v>
      </c>
      <c r="J87" s="30">
        <f ca="1">(IF(B81&gt;1,(H81/(B81+2)+J86),H81/4+J86))</f>
        <v>6</v>
      </c>
    </row>
    <row r="88" spans="1:10" ht="15.75" customHeight="1" x14ac:dyDescent="0.3">
      <c r="A88" s="88" t="s">
        <v>142</v>
      </c>
      <c r="B88" s="89" t="s">
        <v>135</v>
      </c>
      <c r="C88" s="64">
        <v>12</v>
      </c>
      <c r="D88" s="60">
        <f ca="1">((100/H81)*C88)/100</f>
        <v>1</v>
      </c>
      <c r="E88" s="84"/>
      <c r="F88" s="196"/>
      <c r="G88" s="84"/>
      <c r="H88" s="85"/>
      <c r="I88" s="14" t="s">
        <v>153</v>
      </c>
      <c r="J88" s="30">
        <f>(IF(B81&gt;1,(H81/(B81+2)+J87),0))</f>
        <v>0</v>
      </c>
    </row>
    <row r="89" spans="1:10" ht="15" customHeight="1" x14ac:dyDescent="0.3">
      <c r="A89" s="88" t="s">
        <v>140</v>
      </c>
      <c r="B89" s="89" t="s">
        <v>137</v>
      </c>
      <c r="C89" s="64">
        <v>12</v>
      </c>
      <c r="D89" s="60">
        <f ca="1">((100/(H81))*C89)/100</f>
        <v>1</v>
      </c>
      <c r="E89" s="84"/>
      <c r="F89" s="196"/>
      <c r="G89" s="84"/>
      <c r="H89" s="85"/>
      <c r="I89" s="14" t="s">
        <v>148</v>
      </c>
      <c r="J89" s="30">
        <f>(IF(B81&gt;2,(H81/(B81+2)+J88),0))</f>
        <v>0</v>
      </c>
    </row>
    <row r="90" spans="1:10" ht="15.75" customHeight="1" x14ac:dyDescent="0.3">
      <c r="A90" s="88" t="s">
        <v>136</v>
      </c>
      <c r="B90" s="89" t="s">
        <v>136</v>
      </c>
      <c r="C90" s="64">
        <v>5</v>
      </c>
      <c r="D90" s="60">
        <f ca="1">((100/H81)*C90)/100</f>
        <v>0.41666666666666674</v>
      </c>
      <c r="E90" s="84"/>
      <c r="F90" s="196"/>
      <c r="G90" s="84"/>
      <c r="H90" s="85"/>
      <c r="I90" s="14" t="s">
        <v>149</v>
      </c>
      <c r="J90" s="31">
        <f>(IF(B81&gt;3,(H81/(B81+2)+J89),0))</f>
        <v>0</v>
      </c>
    </row>
    <row r="91" spans="1:10" ht="15.75" customHeight="1" x14ac:dyDescent="0.3">
      <c r="A91" s="88" t="s">
        <v>143</v>
      </c>
      <c r="B91" s="89"/>
      <c r="C91" s="59">
        <v>0</v>
      </c>
      <c r="D91" s="60">
        <f ca="1">((100/H81)*C91)/100</f>
        <v>0</v>
      </c>
      <c r="E91" s="84"/>
      <c r="F91" s="196"/>
      <c r="G91" s="84"/>
      <c r="H91" s="85"/>
      <c r="I91" s="14" t="s">
        <v>150</v>
      </c>
      <c r="J91" s="30">
        <f>(IF(B81&gt;4,(H81/(B81+2)+J90),0))</f>
        <v>0</v>
      </c>
    </row>
    <row r="92" spans="1:10" ht="15.75" customHeight="1" x14ac:dyDescent="0.3">
      <c r="A92" s="88" t="s">
        <v>138</v>
      </c>
      <c r="B92" s="89" t="s">
        <v>138</v>
      </c>
      <c r="C92" s="59">
        <v>0</v>
      </c>
      <c r="D92" s="60">
        <f ca="1">((100/(H81))*C92)/100</f>
        <v>0</v>
      </c>
      <c r="E92" s="84"/>
      <c r="F92" s="196"/>
      <c r="G92" s="84"/>
      <c r="H92" s="85"/>
      <c r="I92" s="14" t="s">
        <v>154</v>
      </c>
      <c r="J92" s="30">
        <f ca="1">(IF(B81=1,(H81/(B81+3)+J87),IF(B81=0,(H81/4+J87),IF(B81&gt;1,0))))</f>
        <v>9</v>
      </c>
    </row>
    <row r="93" spans="1:10" ht="16.2" thickBot="1" x14ac:dyDescent="0.35">
      <c r="A93" s="97" t="s">
        <v>139</v>
      </c>
      <c r="B93" s="98"/>
      <c r="C93" s="61">
        <v>0</v>
      </c>
      <c r="D93" s="62">
        <f ca="1">((100/(H81))*C93)/100</f>
        <v>0</v>
      </c>
      <c r="E93" s="86"/>
      <c r="F93" s="197"/>
      <c r="G93" s="86"/>
      <c r="H93" s="87"/>
      <c r="I93" s="15" t="s">
        <v>105</v>
      </c>
      <c r="J93" s="32">
        <f ca="1">(IF(B81&gt;1.5,(H81/(B81+2)+J87+MAX(0,J88-J87)+MAX(0,J89-J88)+MAX(0,J90-J89)+MAX(0,J91-J90)+MAX(0,J92-J91)),IF(B81=1,(H81/(B81+3)+J92),IF(B81=0,H81/4+J92))))</f>
        <v>12</v>
      </c>
    </row>
    <row r="94" spans="1:10" x14ac:dyDescent="0.3">
      <c r="A94" s="124" t="s">
        <v>165</v>
      </c>
      <c r="B94" s="124"/>
      <c r="C94" s="124"/>
      <c r="D94" s="124"/>
      <c r="E94" s="124"/>
      <c r="F94" s="198" t="s">
        <v>170</v>
      </c>
      <c r="G94" s="198"/>
      <c r="H94" s="198"/>
    </row>
    <row r="95" spans="1:10" x14ac:dyDescent="0.3">
      <c r="A95" s="91" t="s">
        <v>168</v>
      </c>
      <c r="B95" s="91"/>
      <c r="C95" s="91"/>
      <c r="D95" s="91"/>
      <c r="E95" s="91"/>
      <c r="F95" s="90">
        <v>21000</v>
      </c>
      <c r="G95" s="90"/>
      <c r="H95" s="90"/>
    </row>
    <row r="96" spans="1:10" x14ac:dyDescent="0.3">
      <c r="A96" s="91" t="s">
        <v>167</v>
      </c>
      <c r="B96" s="91"/>
      <c r="C96" s="91"/>
      <c r="D96" s="91"/>
      <c r="E96" s="91"/>
      <c r="F96" s="90">
        <v>35000</v>
      </c>
      <c r="G96" s="90"/>
      <c r="H96" s="90"/>
    </row>
    <row r="97" spans="1:8" x14ac:dyDescent="0.3">
      <c r="A97" s="91" t="s">
        <v>169</v>
      </c>
      <c r="B97" s="91"/>
      <c r="C97" s="91"/>
      <c r="D97" s="91"/>
      <c r="E97" s="91"/>
      <c r="F97" s="90">
        <v>25000</v>
      </c>
      <c r="G97" s="90"/>
      <c r="H97" s="90"/>
    </row>
    <row r="98" spans="1:8" s="33" customFormat="1" hidden="1" x14ac:dyDescent="0.25">
      <c r="A98" s="91" t="s">
        <v>166</v>
      </c>
      <c r="B98" s="91"/>
      <c r="C98" s="91"/>
      <c r="D98" s="91"/>
      <c r="E98" s="91"/>
      <c r="F98" s="90"/>
      <c r="G98" s="90"/>
      <c r="H98" s="90"/>
    </row>
    <row r="99" spans="1:8" s="33" customFormat="1" hidden="1" x14ac:dyDescent="0.25">
      <c r="A99" s="91" t="s">
        <v>95</v>
      </c>
      <c r="B99" s="91"/>
      <c r="C99" s="91"/>
      <c r="D99" s="91"/>
      <c r="E99" s="91"/>
      <c r="F99" s="90"/>
      <c r="G99" s="90"/>
      <c r="H99" s="90"/>
    </row>
    <row r="100" spans="1:8" s="33" customFormat="1" hidden="1" x14ac:dyDescent="0.25">
      <c r="A100" s="91" t="s">
        <v>96</v>
      </c>
      <c r="B100" s="91"/>
      <c r="C100" s="91"/>
      <c r="D100" s="91"/>
      <c r="E100" s="91"/>
      <c r="F100" s="90"/>
      <c r="G100" s="90"/>
      <c r="H100" s="90"/>
    </row>
    <row r="101" spans="1:8" s="33" customFormat="1" hidden="1" x14ac:dyDescent="0.25">
      <c r="A101" s="91" t="s">
        <v>171</v>
      </c>
      <c r="B101" s="91"/>
      <c r="C101" s="91"/>
      <c r="D101" s="91"/>
      <c r="E101" s="91"/>
      <c r="F101" s="90"/>
      <c r="G101" s="90"/>
      <c r="H101" s="90"/>
    </row>
    <row r="102" spans="1:8" s="33" customFormat="1" hidden="1" x14ac:dyDescent="0.25">
      <c r="A102" s="91" t="s">
        <v>97</v>
      </c>
      <c r="B102" s="91"/>
      <c r="C102" s="91"/>
      <c r="D102" s="91"/>
      <c r="E102" s="91"/>
      <c r="F102" s="90"/>
      <c r="G102" s="90"/>
      <c r="H102" s="90"/>
    </row>
    <row r="103" spans="1:8" s="33" customFormat="1" hidden="1" x14ac:dyDescent="0.25">
      <c r="A103" s="91" t="s">
        <v>98</v>
      </c>
      <c r="B103" s="91"/>
      <c r="C103" s="91"/>
      <c r="D103" s="91"/>
      <c r="E103" s="91"/>
      <c r="F103" s="90"/>
      <c r="G103" s="90"/>
      <c r="H103" s="90"/>
    </row>
    <row r="104" spans="1:8" s="33" customFormat="1" hidden="1" x14ac:dyDescent="0.25">
      <c r="A104" s="91" t="s">
        <v>99</v>
      </c>
      <c r="B104" s="91"/>
      <c r="C104" s="91"/>
      <c r="D104" s="91"/>
      <c r="E104" s="91"/>
      <c r="F104" s="90"/>
      <c r="G104" s="90"/>
      <c r="H104" s="90"/>
    </row>
    <row r="105" spans="1:8" s="33" customFormat="1" hidden="1" x14ac:dyDescent="0.25">
      <c r="A105" s="91" t="s">
        <v>100</v>
      </c>
      <c r="B105" s="91"/>
      <c r="C105" s="91"/>
      <c r="D105" s="91"/>
      <c r="E105" s="91"/>
      <c r="F105" s="90"/>
      <c r="G105" s="90"/>
      <c r="H105" s="90"/>
    </row>
    <row r="106" spans="1:8" x14ac:dyDescent="0.3">
      <c r="A106" s="91" t="s">
        <v>51</v>
      </c>
      <c r="B106" s="91"/>
      <c r="C106" s="91"/>
      <c r="D106" s="91"/>
      <c r="E106" s="91"/>
      <c r="F106" s="90">
        <v>800000</v>
      </c>
      <c r="G106" s="90"/>
      <c r="H106" s="90"/>
    </row>
    <row r="107" spans="1:8" s="34" customFormat="1" x14ac:dyDescent="0.3">
      <c r="A107" s="112" t="s">
        <v>52</v>
      </c>
      <c r="B107" s="112"/>
      <c r="C107" s="112"/>
      <c r="D107" s="112"/>
      <c r="E107" s="112"/>
      <c r="F107" s="90">
        <f>F95*0.8</f>
        <v>16800</v>
      </c>
      <c r="G107" s="90"/>
      <c r="H107" s="90"/>
    </row>
    <row r="108" spans="1:8" s="35" customFormat="1" ht="15.75" customHeight="1" x14ac:dyDescent="0.3">
      <c r="A108" s="107" t="s">
        <v>75</v>
      </c>
      <c r="B108" s="107"/>
      <c r="C108" s="107"/>
      <c r="D108" s="107"/>
      <c r="E108" s="107"/>
      <c r="F108" s="107"/>
      <c r="G108" s="107"/>
      <c r="H108" s="107"/>
    </row>
    <row r="109" spans="1:8" s="35" customFormat="1" ht="15.75" customHeight="1" x14ac:dyDescent="0.3">
      <c r="A109" s="105" t="s">
        <v>53</v>
      </c>
      <c r="B109" s="105"/>
      <c r="C109" s="106" t="s">
        <v>78</v>
      </c>
      <c r="D109" s="106"/>
      <c r="E109" s="104" t="s">
        <v>54</v>
      </c>
      <c r="F109" s="104"/>
      <c r="G109" s="105" t="s">
        <v>55</v>
      </c>
      <c r="H109" s="105"/>
    </row>
    <row r="110" spans="1:8" s="35" customFormat="1" x14ac:dyDescent="0.3">
      <c r="A110" s="109" t="s">
        <v>202</v>
      </c>
      <c r="B110" s="47" t="s">
        <v>203</v>
      </c>
      <c r="C110" s="99">
        <f>COUNT(D125:D131)</f>
        <v>7</v>
      </c>
      <c r="D110" s="100"/>
      <c r="E110" s="101">
        <f>SUM(D125:D131)</f>
        <v>2579.91552</v>
      </c>
      <c r="F110" s="102"/>
      <c r="G110" s="101">
        <f>SUM(F125:F131)</f>
        <v>4127.8648320000002</v>
      </c>
      <c r="H110" s="102"/>
    </row>
    <row r="111" spans="1:8" s="35" customFormat="1" x14ac:dyDescent="0.3">
      <c r="A111" s="110"/>
      <c r="B111" s="47" t="s">
        <v>213</v>
      </c>
      <c r="C111" s="99">
        <f>COUNT(D133:D138)</f>
        <v>6</v>
      </c>
      <c r="D111" s="100"/>
      <c r="E111" s="101">
        <f>SUM(D133:D138)</f>
        <v>3591.0856800000001</v>
      </c>
      <c r="F111" s="102"/>
      <c r="G111" s="101">
        <f>SUM(F133:F138)</f>
        <v>5745.7370880000008</v>
      </c>
      <c r="H111" s="102"/>
    </row>
    <row r="112" spans="1:8" s="35" customFormat="1" x14ac:dyDescent="0.3">
      <c r="A112" s="107" t="s">
        <v>158</v>
      </c>
      <c r="B112" s="107"/>
      <c r="C112" s="103">
        <f>SUM(C110:C111)</f>
        <v>13</v>
      </c>
      <c r="D112" s="106"/>
      <c r="E112" s="108">
        <f>SUM(E110:E111)</f>
        <v>6171.0012000000006</v>
      </c>
      <c r="F112" s="104"/>
      <c r="G112" s="105">
        <f>SUM(G110:G111)</f>
        <v>9873.601920000001</v>
      </c>
      <c r="H112" s="105"/>
    </row>
    <row r="113" spans="1:14" s="35" customFormat="1" x14ac:dyDescent="0.3">
      <c r="A113" s="107" t="s">
        <v>69</v>
      </c>
      <c r="B113" s="107"/>
      <c r="C113" s="107"/>
      <c r="D113" s="107"/>
      <c r="E113" s="107"/>
      <c r="F113" s="107"/>
      <c r="G113" s="107"/>
      <c r="H113" s="107"/>
    </row>
    <row r="114" spans="1:14" s="35" customFormat="1" ht="15.75" customHeight="1" x14ac:dyDescent="0.3">
      <c r="A114" s="105" t="s">
        <v>53</v>
      </c>
      <c r="B114" s="105"/>
      <c r="C114" s="106" t="s">
        <v>78</v>
      </c>
      <c r="D114" s="106"/>
      <c r="E114" s="104" t="s">
        <v>54</v>
      </c>
      <c r="F114" s="104"/>
      <c r="G114" s="105" t="s">
        <v>55</v>
      </c>
      <c r="H114" s="105"/>
    </row>
    <row r="115" spans="1:14" s="35" customFormat="1" x14ac:dyDescent="0.3">
      <c r="A115" s="111" t="s">
        <v>202</v>
      </c>
      <c r="B115" s="111"/>
      <c r="C115" s="101">
        <f>COUNT(D147:D150)+COUNT(D152:D156)*9+COUNT(D158:D159,D161:D162)+COUNT(D164:D166,D168:D169)</f>
        <v>58</v>
      </c>
      <c r="D115" s="101"/>
      <c r="E115" s="101">
        <f>SUM(D147:D150)+SUM(D152:D156)*9+SUM(D158:D159,D161:D162)+SUM(D164:D166,D168:D169)</f>
        <v>49041.106919999998</v>
      </c>
      <c r="F115" s="101"/>
      <c r="G115" s="101">
        <f>SUM(F147:F150)+SUM(F152:F156)*9+SUM(F158:F159,F161:F162)+SUM(F164:F166,F168:F169)</f>
        <v>76013.715726000009</v>
      </c>
      <c r="H115" s="101"/>
      <c r="I115" s="35">
        <f>11*2+12*3</f>
        <v>58</v>
      </c>
    </row>
    <row r="116" spans="1:14" s="35" customFormat="1" x14ac:dyDescent="0.3">
      <c r="A116" s="111" t="s">
        <v>204</v>
      </c>
      <c r="B116" s="111"/>
      <c r="C116" s="101">
        <f>COUNT(D175:D179)*9+COUNT(D210,D212:D214)+COUNT(D217:D220)</f>
        <v>53</v>
      </c>
      <c r="D116" s="101"/>
      <c r="E116" s="101">
        <f>SUM(D175:D179)*9+SUM(D210,D212:D214)+SUM(D217:D220)</f>
        <v>44994.596400000002</v>
      </c>
      <c r="F116" s="101"/>
      <c r="G116" s="101">
        <f>SUM(F175:F179)*9+SUM(F210,F212:F214)+SUM(F217:F220)</f>
        <v>69741.624419999993</v>
      </c>
      <c r="H116" s="101"/>
      <c r="I116" s="35">
        <f>10*2+11*3</f>
        <v>53</v>
      </c>
    </row>
    <row r="117" spans="1:14" s="35" customFormat="1" x14ac:dyDescent="0.3">
      <c r="A117" s="107" t="s">
        <v>158</v>
      </c>
      <c r="B117" s="107"/>
      <c r="C117" s="103">
        <f>SUM(C115:C116)</f>
        <v>111</v>
      </c>
      <c r="D117" s="103"/>
      <c r="E117" s="108">
        <f t="shared" ref="E117:G117" si="0">SUM(E115:F116)</f>
        <v>94035.703320000001</v>
      </c>
      <c r="F117" s="108"/>
      <c r="G117" s="105">
        <f t="shared" si="0"/>
        <v>145755.340146</v>
      </c>
      <c r="H117" s="105"/>
    </row>
    <row r="118" spans="1:14" s="35" customFormat="1" x14ac:dyDescent="0.3">
      <c r="A118" s="107" t="s">
        <v>222</v>
      </c>
      <c r="B118" s="107"/>
      <c r="C118" s="103">
        <f>C112+C117</f>
        <v>124</v>
      </c>
      <c r="D118" s="103"/>
      <c r="E118" s="108">
        <f>E112+E117</f>
        <v>100206.70452</v>
      </c>
      <c r="F118" s="108"/>
      <c r="G118" s="105">
        <f>G112+G117</f>
        <v>155628.94206600002</v>
      </c>
      <c r="H118" s="105"/>
    </row>
    <row r="119" spans="1:14" s="34" customFormat="1" x14ac:dyDescent="0.3">
      <c r="A119" s="129" t="s">
        <v>237</v>
      </c>
      <c r="B119" s="129"/>
      <c r="C119" s="129"/>
      <c r="D119" s="129"/>
      <c r="E119" s="129"/>
      <c r="F119" s="129"/>
      <c r="G119" s="129"/>
      <c r="H119" s="129"/>
    </row>
    <row r="120" spans="1:14" x14ac:dyDescent="0.3">
      <c r="A120" s="129" t="s">
        <v>238</v>
      </c>
      <c r="B120" s="129"/>
      <c r="C120" s="129"/>
      <c r="D120" s="129"/>
      <c r="E120" s="129"/>
      <c r="F120" s="129"/>
      <c r="G120" s="129"/>
      <c r="H120" s="129"/>
    </row>
    <row r="121" spans="1:14" ht="47.25" customHeight="1" x14ac:dyDescent="0.3">
      <c r="A121" s="95" t="s">
        <v>123</v>
      </c>
      <c r="B121" s="95" t="s">
        <v>122</v>
      </c>
      <c r="C121" s="95" t="s">
        <v>56</v>
      </c>
      <c r="D121" s="95" t="s">
        <v>57</v>
      </c>
      <c r="E121" s="113" t="s">
        <v>164</v>
      </c>
      <c r="F121" s="43" t="s">
        <v>156</v>
      </c>
      <c r="G121" s="115" t="s">
        <v>59</v>
      </c>
      <c r="H121" s="116"/>
    </row>
    <row r="122" spans="1:14" s="37" customFormat="1" x14ac:dyDescent="0.3">
      <c r="A122" s="96"/>
      <c r="B122" s="96"/>
      <c r="C122" s="96"/>
      <c r="D122" s="96"/>
      <c r="E122" s="114"/>
      <c r="F122" s="13">
        <v>0.6</v>
      </c>
      <c r="G122" s="117"/>
      <c r="H122" s="118"/>
    </row>
    <row r="123" spans="1:14" s="37" customFormat="1" x14ac:dyDescent="0.3">
      <c r="A123" s="126" t="s">
        <v>202</v>
      </c>
      <c r="B123" s="127"/>
      <c r="C123" s="127"/>
      <c r="D123" s="127"/>
      <c r="E123" s="127"/>
      <c r="F123" s="127"/>
      <c r="G123" s="127"/>
      <c r="H123" s="128"/>
      <c r="J123" s="36"/>
      <c r="K123" s="54">
        <f>10.764</f>
        <v>10.763999999999999</v>
      </c>
    </row>
    <row r="124" spans="1:14" s="37" customFormat="1" x14ac:dyDescent="0.3">
      <c r="A124" s="126" t="s">
        <v>212</v>
      </c>
      <c r="B124" s="127"/>
      <c r="C124" s="127"/>
      <c r="D124" s="127"/>
      <c r="E124" s="127"/>
      <c r="F124" s="127"/>
      <c r="G124" s="127"/>
      <c r="H124" s="128"/>
      <c r="J124" s="36"/>
    </row>
    <row r="125" spans="1:14" s="37" customFormat="1" ht="15.75" customHeight="1" x14ac:dyDescent="0.3">
      <c r="A125" s="92">
        <v>1</v>
      </c>
      <c r="B125" s="93"/>
      <c r="C125" s="42" t="s">
        <v>203</v>
      </c>
      <c r="D125" s="54">
        <f>(24.96)*(10.764)</f>
        <v>268.66944000000001</v>
      </c>
      <c r="E125" s="42">
        <v>0</v>
      </c>
      <c r="F125" s="42">
        <f>(D125+E125)*(($F$122)+1)</f>
        <v>429.87110400000006</v>
      </c>
      <c r="G125" s="186" t="str">
        <f>A124</f>
        <v>Ground Floor For Commercial, Entrance Lobby, Meter Room &amp; Parking</v>
      </c>
      <c r="H125" s="187"/>
      <c r="I125" s="58">
        <f>3.1*8.05</f>
        <v>24.955000000000002</v>
      </c>
      <c r="L125" s="125"/>
      <c r="M125" s="125"/>
      <c r="N125" s="36"/>
    </row>
    <row r="126" spans="1:14" s="37" customFormat="1" ht="15.75" customHeight="1" x14ac:dyDescent="0.3">
      <c r="A126" s="92">
        <f t="shared" ref="A126:A131" si="1">A125+1</f>
        <v>2</v>
      </c>
      <c r="B126" s="93"/>
      <c r="C126" s="42" t="s">
        <v>203</v>
      </c>
      <c r="D126" s="54">
        <f>(28.83)*(10.764)</f>
        <v>310.32611999999995</v>
      </c>
      <c r="E126" s="42">
        <v>0</v>
      </c>
      <c r="F126" s="42">
        <f t="shared" ref="F126:F128" si="2">(D126+E126)*(($F$122)+1)</f>
        <v>496.52179199999995</v>
      </c>
      <c r="G126" s="188"/>
      <c r="H126" s="189"/>
      <c r="I126" s="36">
        <f>3.58*8.05</f>
        <v>28.819000000000003</v>
      </c>
      <c r="L126" s="125"/>
      <c r="M126" s="125"/>
      <c r="N126" s="36"/>
    </row>
    <row r="127" spans="1:14" s="37" customFormat="1" ht="15.75" customHeight="1" x14ac:dyDescent="0.3">
      <c r="A127" s="92">
        <f t="shared" si="1"/>
        <v>3</v>
      </c>
      <c r="B127" s="93"/>
      <c r="C127" s="42" t="s">
        <v>203</v>
      </c>
      <c r="D127" s="54">
        <f>(25.77)*(10.764)</f>
        <v>277.38827999999995</v>
      </c>
      <c r="E127" s="42">
        <v>0</v>
      </c>
      <c r="F127" s="42">
        <f t="shared" si="2"/>
        <v>443.82124799999997</v>
      </c>
      <c r="G127" s="188"/>
      <c r="H127" s="189"/>
      <c r="I127" s="36"/>
      <c r="L127" s="125"/>
      <c r="M127" s="125"/>
      <c r="N127" s="36"/>
    </row>
    <row r="128" spans="1:14" s="37" customFormat="1" ht="15.75" customHeight="1" x14ac:dyDescent="0.3">
      <c r="A128" s="92">
        <f t="shared" si="1"/>
        <v>4</v>
      </c>
      <c r="B128" s="93"/>
      <c r="C128" s="42" t="s">
        <v>203</v>
      </c>
      <c r="D128" s="54">
        <f>(33.5)*(10.764)</f>
        <v>360.59399999999999</v>
      </c>
      <c r="E128" s="42">
        <v>0</v>
      </c>
      <c r="F128" s="42">
        <f t="shared" si="2"/>
        <v>576.95040000000006</v>
      </c>
      <c r="G128" s="188"/>
      <c r="H128" s="189"/>
      <c r="I128" s="36"/>
      <c r="L128" s="125"/>
      <c r="M128" s="125"/>
      <c r="N128" s="36"/>
    </row>
    <row r="129" spans="1:14" s="37" customFormat="1" ht="15.75" customHeight="1" x14ac:dyDescent="0.3">
      <c r="A129" s="92">
        <f t="shared" si="1"/>
        <v>5</v>
      </c>
      <c r="B129" s="93"/>
      <c r="C129" s="42" t="s">
        <v>203</v>
      </c>
      <c r="D129" s="54">
        <f>(24.57)*(10.764)</f>
        <v>264.47147999999999</v>
      </c>
      <c r="E129" s="42">
        <v>0</v>
      </c>
      <c r="F129" s="42">
        <f t="shared" ref="F129:F131" si="3">(D129+E129)*(($F$122)+1)</f>
        <v>423.15436799999998</v>
      </c>
      <c r="G129" s="188"/>
      <c r="H129" s="189"/>
      <c r="I129" s="36"/>
      <c r="L129" s="125"/>
      <c r="M129" s="125"/>
      <c r="N129" s="36"/>
    </row>
    <row r="130" spans="1:14" s="37" customFormat="1" ht="15.75" customHeight="1" x14ac:dyDescent="0.3">
      <c r="A130" s="92">
        <f t="shared" si="1"/>
        <v>6</v>
      </c>
      <c r="B130" s="93"/>
      <c r="C130" s="42" t="s">
        <v>203</v>
      </c>
      <c r="D130" s="54">
        <f>(39.74)*(10.764)</f>
        <v>427.76135999999997</v>
      </c>
      <c r="E130" s="42">
        <v>0</v>
      </c>
      <c r="F130" s="42">
        <f t="shared" si="3"/>
        <v>684.41817600000002</v>
      </c>
      <c r="G130" s="188"/>
      <c r="H130" s="189"/>
      <c r="I130" s="36"/>
      <c r="L130" s="125"/>
      <c r="M130" s="125"/>
      <c r="N130" s="36"/>
    </row>
    <row r="131" spans="1:14" s="37" customFormat="1" ht="15.75" customHeight="1" x14ac:dyDescent="0.3">
      <c r="A131" s="92">
        <f t="shared" si="1"/>
        <v>7</v>
      </c>
      <c r="B131" s="93"/>
      <c r="C131" s="42" t="s">
        <v>203</v>
      </c>
      <c r="D131" s="54">
        <f>(62.31)*(10.764)</f>
        <v>670.70483999999999</v>
      </c>
      <c r="E131" s="42">
        <v>0</v>
      </c>
      <c r="F131" s="42">
        <f t="shared" si="3"/>
        <v>1073.1277440000001</v>
      </c>
      <c r="G131" s="190"/>
      <c r="H131" s="191"/>
      <c r="I131" s="36"/>
      <c r="L131" s="125"/>
      <c r="M131" s="125"/>
      <c r="N131" s="36"/>
    </row>
    <row r="132" spans="1:14" s="37" customFormat="1" x14ac:dyDescent="0.3">
      <c r="A132" s="126" t="s">
        <v>240</v>
      </c>
      <c r="B132" s="127"/>
      <c r="C132" s="127"/>
      <c r="D132" s="127"/>
      <c r="E132" s="127"/>
      <c r="F132" s="127"/>
      <c r="G132" s="127"/>
      <c r="H132" s="128"/>
      <c r="J132" s="36"/>
    </row>
    <row r="133" spans="1:14" s="37" customFormat="1" ht="15.75" customHeight="1" x14ac:dyDescent="0.3">
      <c r="A133" s="92">
        <v>1</v>
      </c>
      <c r="B133" s="93"/>
      <c r="C133" s="42" t="s">
        <v>213</v>
      </c>
      <c r="D133" s="54">
        <f>(53.83)*(10.764)</f>
        <v>579.42611999999997</v>
      </c>
      <c r="E133" s="42">
        <v>0</v>
      </c>
      <c r="F133" s="42">
        <f>(D133+E133)*(($F$122)+1)</f>
        <v>927.08179199999995</v>
      </c>
      <c r="G133" s="186" t="str">
        <f>A132</f>
        <v>1st Podium Floor For Commercial &amp; Parking</v>
      </c>
      <c r="H133" s="187"/>
      <c r="I133" s="36">
        <f>5.31*6.25+1.52*6.25+3.02*3.63</f>
        <v>53.650100000000002</v>
      </c>
      <c r="L133" s="125"/>
      <c r="M133" s="125"/>
      <c r="N133" s="36"/>
    </row>
    <row r="134" spans="1:14" s="37" customFormat="1" ht="15.75" customHeight="1" x14ac:dyDescent="0.3">
      <c r="A134" s="92">
        <f t="shared" ref="A134:A138" si="4">A133+1</f>
        <v>2</v>
      </c>
      <c r="B134" s="93"/>
      <c r="C134" s="42" t="s">
        <v>213</v>
      </c>
      <c r="D134" s="54">
        <f>(55.06)*(10.764)</f>
        <v>592.66584</v>
      </c>
      <c r="E134" s="42">
        <v>0</v>
      </c>
      <c r="F134" s="42">
        <f t="shared" ref="F134:F136" si="5">(D134+E134)*(($F$122)+1)</f>
        <v>948.26534400000003</v>
      </c>
      <c r="G134" s="188"/>
      <c r="H134" s="189"/>
      <c r="I134" s="36"/>
      <c r="L134" s="125"/>
      <c r="M134" s="125"/>
      <c r="N134" s="36"/>
    </row>
    <row r="135" spans="1:14" s="37" customFormat="1" ht="15.75" customHeight="1" x14ac:dyDescent="0.3">
      <c r="A135" s="92">
        <f t="shared" si="4"/>
        <v>3</v>
      </c>
      <c r="B135" s="93"/>
      <c r="C135" s="42" t="s">
        <v>213</v>
      </c>
      <c r="D135" s="54">
        <f>(69.22)*(10.764)</f>
        <v>745.08407999999997</v>
      </c>
      <c r="E135" s="42">
        <v>0</v>
      </c>
      <c r="F135" s="42">
        <f t="shared" si="5"/>
        <v>1192.134528</v>
      </c>
      <c r="G135" s="188"/>
      <c r="H135" s="189"/>
      <c r="I135" s="36"/>
      <c r="L135" s="125"/>
      <c r="M135" s="125"/>
      <c r="N135" s="36"/>
    </row>
    <row r="136" spans="1:14" s="37" customFormat="1" ht="15.75" customHeight="1" x14ac:dyDescent="0.3">
      <c r="A136" s="92">
        <f t="shared" si="4"/>
        <v>4</v>
      </c>
      <c r="B136" s="93"/>
      <c r="C136" s="42" t="s">
        <v>213</v>
      </c>
      <c r="D136" s="54">
        <f>(58.82)*(10.764)</f>
        <v>633.13847999999996</v>
      </c>
      <c r="E136" s="42">
        <v>0</v>
      </c>
      <c r="F136" s="42">
        <f t="shared" si="5"/>
        <v>1013.021568</v>
      </c>
      <c r="G136" s="188"/>
      <c r="H136" s="189"/>
      <c r="I136" s="36"/>
      <c r="L136" s="125"/>
      <c r="M136" s="125"/>
      <c r="N136" s="36"/>
    </row>
    <row r="137" spans="1:14" s="37" customFormat="1" ht="15.75" customHeight="1" x14ac:dyDescent="0.3">
      <c r="A137" s="92">
        <f t="shared" si="4"/>
        <v>5</v>
      </c>
      <c r="B137" s="93"/>
      <c r="C137" s="42" t="s">
        <v>213</v>
      </c>
      <c r="D137" s="54">
        <f>(58.24)*(10.764)</f>
        <v>626.89535999999998</v>
      </c>
      <c r="E137" s="42">
        <v>0</v>
      </c>
      <c r="F137" s="42">
        <f t="shared" ref="F137" si="6">(D137+E137)*(($F$122)+1)</f>
        <v>1003.0325760000001</v>
      </c>
      <c r="G137" s="188"/>
      <c r="H137" s="189"/>
      <c r="I137" s="36"/>
      <c r="L137" s="125"/>
      <c r="M137" s="125"/>
      <c r="N137" s="36"/>
    </row>
    <row r="138" spans="1:14" s="37" customFormat="1" ht="15.75" customHeight="1" x14ac:dyDescent="0.3">
      <c r="A138" s="92">
        <f t="shared" si="4"/>
        <v>6</v>
      </c>
      <c r="B138" s="93"/>
      <c r="C138" s="42" t="s">
        <v>213</v>
      </c>
      <c r="D138" s="54">
        <f>(38.45)*(10.764)</f>
        <v>413.87580000000003</v>
      </c>
      <c r="E138" s="42">
        <v>0</v>
      </c>
      <c r="F138" s="42">
        <f t="shared" ref="F138" si="7">(D138+E138)*(($F$122)+1)</f>
        <v>662.20128000000011</v>
      </c>
      <c r="G138" s="190"/>
      <c r="H138" s="191"/>
      <c r="I138" s="36"/>
      <c r="L138" s="125"/>
      <c r="M138" s="125"/>
      <c r="N138" s="36"/>
    </row>
    <row r="139" spans="1:14" s="37" customFormat="1" x14ac:dyDescent="0.3">
      <c r="A139" s="92"/>
      <c r="B139" s="201"/>
      <c r="C139" s="201"/>
      <c r="D139" s="201"/>
      <c r="E139" s="201"/>
      <c r="F139" s="201"/>
      <c r="G139" s="201"/>
      <c r="H139" s="93"/>
      <c r="I139" s="36"/>
      <c r="N139" s="36"/>
    </row>
    <row r="140" spans="1:14" ht="47.25" customHeight="1" x14ac:dyDescent="0.3">
      <c r="A140" s="115" t="s">
        <v>124</v>
      </c>
      <c r="B140" s="115" t="s">
        <v>125</v>
      </c>
      <c r="C140" s="95" t="s">
        <v>56</v>
      </c>
      <c r="D140" s="95" t="s">
        <v>57</v>
      </c>
      <c r="E140" s="113" t="s">
        <v>58</v>
      </c>
      <c r="F140" s="43" t="s">
        <v>156</v>
      </c>
      <c r="G140" s="115" t="s">
        <v>59</v>
      </c>
      <c r="H140" s="116"/>
      <c r="I140" s="36"/>
    </row>
    <row r="141" spans="1:14" s="37" customFormat="1" x14ac:dyDescent="0.3">
      <c r="A141" s="117"/>
      <c r="B141" s="117"/>
      <c r="C141" s="96"/>
      <c r="D141" s="96"/>
      <c r="E141" s="114"/>
      <c r="F141" s="13">
        <v>0.55000000000000004</v>
      </c>
      <c r="G141" s="117"/>
      <c r="H141" s="118"/>
      <c r="I141" s="36"/>
    </row>
    <row r="142" spans="1:14" s="37" customFormat="1" x14ac:dyDescent="0.3">
      <c r="A142" s="126" t="s">
        <v>202</v>
      </c>
      <c r="B142" s="127"/>
      <c r="C142" s="127"/>
      <c r="D142" s="127"/>
      <c r="E142" s="127"/>
      <c r="F142" s="127"/>
      <c r="G142" s="127"/>
      <c r="H142" s="128"/>
      <c r="J142" s="36"/>
    </row>
    <row r="143" spans="1:14" s="37" customFormat="1" x14ac:dyDescent="0.3">
      <c r="A143" s="126" t="s">
        <v>242</v>
      </c>
      <c r="B143" s="127"/>
      <c r="C143" s="127"/>
      <c r="D143" s="127"/>
      <c r="E143" s="127"/>
      <c r="F143" s="127"/>
      <c r="G143" s="127"/>
      <c r="H143" s="128"/>
      <c r="J143" s="36"/>
    </row>
    <row r="144" spans="1:14" s="37" customFormat="1" x14ac:dyDescent="0.3">
      <c r="A144" s="126" t="s">
        <v>214</v>
      </c>
      <c r="B144" s="127"/>
      <c r="C144" s="127"/>
      <c r="D144" s="127"/>
      <c r="E144" s="127"/>
      <c r="F144" s="127"/>
      <c r="G144" s="127"/>
      <c r="H144" s="128"/>
      <c r="J144" s="36"/>
    </row>
    <row r="145" spans="1:14" s="37" customFormat="1" x14ac:dyDescent="0.3">
      <c r="A145" s="126" t="s">
        <v>244</v>
      </c>
      <c r="B145" s="127"/>
      <c r="C145" s="127"/>
      <c r="D145" s="127"/>
      <c r="E145" s="127"/>
      <c r="F145" s="127"/>
      <c r="G145" s="127"/>
      <c r="H145" s="128"/>
      <c r="J145" s="54">
        <v>10.763999999999999</v>
      </c>
    </row>
    <row r="146" spans="1:14" s="37" customFormat="1" ht="15.75" customHeight="1" x14ac:dyDescent="0.3">
      <c r="A146" s="92">
        <v>1</v>
      </c>
      <c r="B146" s="93"/>
      <c r="C146" s="68" t="s">
        <v>207</v>
      </c>
      <c r="D146" s="69"/>
      <c r="E146" s="69"/>
      <c r="F146" s="70"/>
      <c r="G146" s="186" t="str">
        <f>A145</f>
        <v>1st Floor For Residential, R.G Area, Swimming Pool &amp; Part Fitness Center</v>
      </c>
      <c r="H146" s="187"/>
      <c r="I146" s="36"/>
      <c r="J146" s="37">
        <f>3.05*5.3+2.15*3.35+1.21*2.3+3.02*4.25+3.02*4.08+1.21*2.15+2.15*2.15+2.15*0.9+1.21*2</f>
        <v>62.886100000000013</v>
      </c>
      <c r="L146" s="125"/>
      <c r="M146" s="125"/>
      <c r="N146" s="36"/>
    </row>
    <row r="147" spans="1:14" s="37" customFormat="1" ht="15.75" customHeight="1" x14ac:dyDescent="0.3">
      <c r="A147" s="92">
        <f t="shared" ref="A147:A150" si="8">A146+1</f>
        <v>2</v>
      </c>
      <c r="B147" s="93"/>
      <c r="C147" s="53" t="s">
        <v>215</v>
      </c>
      <c r="D147" s="54">
        <f>(102.84)*10.764</f>
        <v>1106.96976</v>
      </c>
      <c r="E147" s="42">
        <v>0</v>
      </c>
      <c r="F147" s="42">
        <f>D147*(($F$141)+1)+(IF(E147&lt;101,E147,IF(E147&lt;201,E147/2,IF(E147&lt;=301,E147/3,E147/4))))</f>
        <v>1715.803128</v>
      </c>
      <c r="G147" s="188"/>
      <c r="H147" s="189"/>
      <c r="I147" s="36"/>
      <c r="L147" s="125"/>
      <c r="M147" s="125"/>
      <c r="N147" s="36"/>
    </row>
    <row r="148" spans="1:14" s="37" customFormat="1" ht="15.75" customHeight="1" x14ac:dyDescent="0.3">
      <c r="A148" s="92">
        <f t="shared" si="8"/>
        <v>3</v>
      </c>
      <c r="B148" s="93"/>
      <c r="C148" s="53" t="s">
        <v>216</v>
      </c>
      <c r="D148" s="54">
        <f>(90.3)*10.764</f>
        <v>971.98919999999987</v>
      </c>
      <c r="E148" s="42">
        <v>0</v>
      </c>
      <c r="F148" s="42">
        <f>D148*(($F$141)+1)+(IF(E148&lt;101,E148,IF(E148&lt;201,E148/2,IF(E148&lt;=301,E148/3,E148/4))))</f>
        <v>1506.5832599999999</v>
      </c>
      <c r="G148" s="188"/>
      <c r="H148" s="189"/>
      <c r="I148" s="36"/>
      <c r="L148" s="125"/>
      <c r="M148" s="125"/>
      <c r="N148" s="36"/>
    </row>
    <row r="149" spans="1:14" s="37" customFormat="1" ht="15.75" customHeight="1" x14ac:dyDescent="0.3">
      <c r="A149" s="92">
        <f t="shared" si="8"/>
        <v>4</v>
      </c>
      <c r="B149" s="93"/>
      <c r="C149" s="53" t="s">
        <v>205</v>
      </c>
      <c r="D149" s="54">
        <f>(70.7)*10.764</f>
        <v>761.01480000000004</v>
      </c>
      <c r="E149" s="42">
        <v>0</v>
      </c>
      <c r="F149" s="42">
        <f>D149*(($F$141)+1)+(IF(E149&lt;101,E149,IF(E149&lt;201,E149/2,IF(E149&lt;=301,E149/3,E149/4))))</f>
        <v>1179.57294</v>
      </c>
      <c r="G149" s="188"/>
      <c r="H149" s="189"/>
      <c r="I149" s="36">
        <f>3.05*5.3+2.15*3.35+3.1*4.08+3.1*3.95+1.43*0.9+1.2*2.3+1.2*2.15+2.23*2.15+3.43*0.9+3.05*0.9</f>
        <v>65.51400000000001</v>
      </c>
      <c r="L149" s="125"/>
      <c r="M149" s="125"/>
      <c r="N149" s="36"/>
    </row>
    <row r="150" spans="1:14" s="37" customFormat="1" ht="15.75" customHeight="1" x14ac:dyDescent="0.3">
      <c r="A150" s="92">
        <f t="shared" si="8"/>
        <v>5</v>
      </c>
      <c r="B150" s="93"/>
      <c r="C150" s="53" t="s">
        <v>205</v>
      </c>
      <c r="D150" s="54">
        <f>(70.7)*10.764</f>
        <v>761.01480000000004</v>
      </c>
      <c r="E150" s="42">
        <v>0</v>
      </c>
      <c r="F150" s="42">
        <f>D150*(($F$141)+1)+(IF(E150&lt;101,E150,IF(E150&lt;201,E150/2,IF(E150&lt;=301,E150/3,E150/4))))</f>
        <v>1179.57294</v>
      </c>
      <c r="G150" s="188"/>
      <c r="H150" s="189"/>
      <c r="I150" s="36"/>
      <c r="L150" s="125"/>
      <c r="M150" s="125"/>
      <c r="N150" s="36"/>
    </row>
    <row r="151" spans="1:14" s="37" customFormat="1" x14ac:dyDescent="0.3">
      <c r="A151" s="126" t="s">
        <v>245</v>
      </c>
      <c r="B151" s="127"/>
      <c r="C151" s="127"/>
      <c r="D151" s="127"/>
      <c r="E151" s="127"/>
      <c r="F151" s="127"/>
      <c r="G151" s="127"/>
      <c r="H151" s="128"/>
      <c r="J151" s="36"/>
    </row>
    <row r="152" spans="1:14" s="37" customFormat="1" x14ac:dyDescent="0.3">
      <c r="A152" s="92">
        <v>1</v>
      </c>
      <c r="B152" s="93"/>
      <c r="C152" s="53" t="s">
        <v>217</v>
      </c>
      <c r="D152" s="54">
        <f>(63.73)*10.764</f>
        <v>685.98971999999992</v>
      </c>
      <c r="E152" s="42">
        <v>0</v>
      </c>
      <c r="F152" s="42">
        <f>D152*(($F$141)+1)+(IF(E152&lt;101,E152,IF(E152&lt;201,E152/2,IF(E152&lt;=301,E152/3,E152/4))))</f>
        <v>1063.2840659999999</v>
      </c>
      <c r="G152" s="186" t="str">
        <f>A151</f>
        <v>2nd, 4th to 9th, 11th &amp; 12th Floor For Residential</v>
      </c>
      <c r="H152" s="187"/>
      <c r="I152" s="36"/>
      <c r="L152" s="125"/>
      <c r="M152" s="125"/>
      <c r="N152" s="36"/>
    </row>
    <row r="153" spans="1:14" s="37" customFormat="1" x14ac:dyDescent="0.3">
      <c r="A153" s="92">
        <f t="shared" ref="A153:A156" si="9">A152+1</f>
        <v>2</v>
      </c>
      <c r="B153" s="93"/>
      <c r="C153" s="53" t="s">
        <v>215</v>
      </c>
      <c r="D153" s="54">
        <f>(102.84)*10.764</f>
        <v>1106.96976</v>
      </c>
      <c r="E153" s="42">
        <v>0</v>
      </c>
      <c r="F153" s="42">
        <f>D153*(($F$141)+1)+(IF(E153&lt;101,E153,IF(E153&lt;201,E153/2,IF(E153&lt;=301,E153/3,E153/4))))</f>
        <v>1715.803128</v>
      </c>
      <c r="G153" s="188" t="str">
        <f t="shared" ref="G153:G156" si="10">G152</f>
        <v>2nd, 4th to 9th, 11th &amp; 12th Floor For Residential</v>
      </c>
      <c r="H153" s="189"/>
      <c r="I153" s="36"/>
      <c r="L153" s="125"/>
      <c r="M153" s="125"/>
      <c r="N153" s="36"/>
    </row>
    <row r="154" spans="1:14" s="37" customFormat="1" x14ac:dyDescent="0.3">
      <c r="A154" s="92">
        <f t="shared" si="9"/>
        <v>3</v>
      </c>
      <c r="B154" s="93"/>
      <c r="C154" s="53" t="s">
        <v>216</v>
      </c>
      <c r="D154" s="54">
        <f>(90.3)*10.764</f>
        <v>971.98919999999987</v>
      </c>
      <c r="E154" s="42">
        <v>0</v>
      </c>
      <c r="F154" s="42">
        <f>D154*(($F$141)+1)+(IF(E154&lt;101,E154,IF(E154&lt;201,E154/2,IF(E154&lt;=301,E154/3,E154/4))))</f>
        <v>1506.5832599999999</v>
      </c>
      <c r="G154" s="188" t="str">
        <f t="shared" si="10"/>
        <v>2nd, 4th to 9th, 11th &amp; 12th Floor For Residential</v>
      </c>
      <c r="H154" s="189"/>
      <c r="I154" s="36"/>
      <c r="L154" s="125"/>
      <c r="M154" s="125"/>
      <c r="N154" s="36"/>
    </row>
    <row r="155" spans="1:14" s="37" customFormat="1" x14ac:dyDescent="0.3">
      <c r="A155" s="92">
        <f t="shared" si="9"/>
        <v>4</v>
      </c>
      <c r="B155" s="93"/>
      <c r="C155" s="53" t="s">
        <v>205</v>
      </c>
      <c r="D155" s="54">
        <f>(70.7)*10.764</f>
        <v>761.01480000000004</v>
      </c>
      <c r="E155" s="42">
        <v>0</v>
      </c>
      <c r="F155" s="42">
        <f>D155*(($F$141)+1)+(IF(E155&lt;101,E155,IF(E155&lt;201,E155/2,IF(E155&lt;=301,E155/3,E155/4))))</f>
        <v>1179.57294</v>
      </c>
      <c r="G155" s="188" t="str">
        <f t="shared" si="10"/>
        <v>2nd, 4th to 9th, 11th &amp; 12th Floor For Residential</v>
      </c>
      <c r="H155" s="189"/>
      <c r="I155" s="36"/>
      <c r="L155" s="125"/>
      <c r="M155" s="125"/>
      <c r="N155" s="36"/>
    </row>
    <row r="156" spans="1:14" s="37" customFormat="1" x14ac:dyDescent="0.3">
      <c r="A156" s="92">
        <f t="shared" si="9"/>
        <v>5</v>
      </c>
      <c r="B156" s="93"/>
      <c r="C156" s="53" t="s">
        <v>205</v>
      </c>
      <c r="D156" s="54">
        <f>(70.7)*10.764</f>
        <v>761.01480000000004</v>
      </c>
      <c r="E156" s="42">
        <v>0</v>
      </c>
      <c r="F156" s="42">
        <f>D156*(($F$141)+1)+(IF(E156&lt;101,E156,IF(E156&lt;201,E156/2,IF(E156&lt;=301,E156/3,E156/4))))</f>
        <v>1179.57294</v>
      </c>
      <c r="G156" s="188" t="str">
        <f t="shared" si="10"/>
        <v>2nd, 4th to 9th, 11th &amp; 12th Floor For Residential</v>
      </c>
      <c r="H156" s="189"/>
      <c r="I156" s="36"/>
      <c r="L156" s="125"/>
      <c r="M156" s="125"/>
      <c r="N156" s="36"/>
    </row>
    <row r="157" spans="1:14" s="37" customFormat="1" x14ac:dyDescent="0.3">
      <c r="A157" s="126" t="s">
        <v>218</v>
      </c>
      <c r="B157" s="127"/>
      <c r="C157" s="127"/>
      <c r="D157" s="127"/>
      <c r="E157" s="127"/>
      <c r="F157" s="127"/>
      <c r="G157" s="127"/>
      <c r="H157" s="128"/>
      <c r="J157" s="36"/>
    </row>
    <row r="158" spans="1:14" s="37" customFormat="1" x14ac:dyDescent="0.3">
      <c r="A158" s="92">
        <v>1</v>
      </c>
      <c r="B158" s="93"/>
      <c r="C158" s="53" t="s">
        <v>217</v>
      </c>
      <c r="D158" s="54">
        <f>(63.73)*10.764</f>
        <v>685.98971999999992</v>
      </c>
      <c r="E158" s="42">
        <v>0</v>
      </c>
      <c r="F158" s="42">
        <f>D158*(($F$141)+1)+(IF(E158&lt;101,E158,IF(E158&lt;201,E158/2,IF(E158&lt;=301,E158/3,E158/4))))</f>
        <v>1063.2840659999999</v>
      </c>
      <c r="G158" s="186" t="str">
        <f>A157</f>
        <v>3rd Floor (Part Refuge Area)</v>
      </c>
      <c r="H158" s="187"/>
      <c r="I158" s="36"/>
      <c r="L158" s="125"/>
      <c r="M158" s="125"/>
      <c r="N158" s="36"/>
    </row>
    <row r="159" spans="1:14" s="37" customFormat="1" x14ac:dyDescent="0.3">
      <c r="A159" s="92">
        <f t="shared" ref="A159:A162" si="11">A158+1</f>
        <v>2</v>
      </c>
      <c r="B159" s="93"/>
      <c r="C159" s="53" t="s">
        <v>205</v>
      </c>
      <c r="D159" s="54">
        <f>(78.41)*10.764</f>
        <v>844.00523999999996</v>
      </c>
      <c r="E159" s="42">
        <v>0</v>
      </c>
      <c r="F159" s="42">
        <f>D159*(($F$141)+1)+(IF(E159&lt;101,E159,IF(E159&lt;201,E159/2,IF(E159&lt;=301,E159/3,E159/4))))</f>
        <v>1308.208122</v>
      </c>
      <c r="G159" s="188" t="str">
        <f t="shared" ref="G159:G162" si="12">G158</f>
        <v>3rd Floor (Part Refuge Area)</v>
      </c>
      <c r="H159" s="189"/>
      <c r="I159" s="36"/>
      <c r="L159" s="125"/>
      <c r="M159" s="125"/>
      <c r="N159" s="36"/>
    </row>
    <row r="160" spans="1:14" s="37" customFormat="1" x14ac:dyDescent="0.3">
      <c r="A160" s="92">
        <f t="shared" si="11"/>
        <v>3</v>
      </c>
      <c r="B160" s="93"/>
      <c r="C160" s="68" t="s">
        <v>206</v>
      </c>
      <c r="D160" s="69"/>
      <c r="E160" s="69"/>
      <c r="F160" s="70"/>
      <c r="G160" s="188" t="str">
        <f t="shared" si="12"/>
        <v>3rd Floor (Part Refuge Area)</v>
      </c>
      <c r="H160" s="189"/>
      <c r="I160" s="36"/>
      <c r="L160" s="125"/>
      <c r="M160" s="125"/>
      <c r="N160" s="36"/>
    </row>
    <row r="161" spans="1:14" s="37" customFormat="1" x14ac:dyDescent="0.3">
      <c r="A161" s="92">
        <f t="shared" si="11"/>
        <v>4</v>
      </c>
      <c r="B161" s="93"/>
      <c r="C161" s="53" t="s">
        <v>205</v>
      </c>
      <c r="D161" s="54">
        <f>(70.7)*10.764</f>
        <v>761.01480000000004</v>
      </c>
      <c r="E161" s="42">
        <v>0</v>
      </c>
      <c r="F161" s="42">
        <f>D161*(($F$141)+1)+(IF(E161&lt;101,E161,IF(E161&lt;201,E161/2,IF(E161&lt;=301,E161/3,E161/4))))</f>
        <v>1179.57294</v>
      </c>
      <c r="G161" s="188" t="str">
        <f t="shared" si="12"/>
        <v>3rd Floor (Part Refuge Area)</v>
      </c>
      <c r="H161" s="189"/>
      <c r="I161" s="36"/>
      <c r="L161" s="125"/>
      <c r="M161" s="125"/>
      <c r="N161" s="36"/>
    </row>
    <row r="162" spans="1:14" s="37" customFormat="1" x14ac:dyDescent="0.3">
      <c r="A162" s="92">
        <f t="shared" si="11"/>
        <v>5</v>
      </c>
      <c r="B162" s="93"/>
      <c r="C162" s="53" t="s">
        <v>205</v>
      </c>
      <c r="D162" s="54">
        <f>(70.7)*10.764</f>
        <v>761.01480000000004</v>
      </c>
      <c r="E162" s="42">
        <v>0</v>
      </c>
      <c r="F162" s="42">
        <f>D162*(($F$141)+1)+(IF(E162&lt;101,E162,IF(E162&lt;201,E162/2,IF(E162&lt;=301,E162/3,E162/4))))</f>
        <v>1179.57294</v>
      </c>
      <c r="G162" s="188" t="str">
        <f t="shared" si="12"/>
        <v>3rd Floor (Part Refuge Area)</v>
      </c>
      <c r="H162" s="189"/>
      <c r="I162" s="36"/>
      <c r="L162" s="125"/>
      <c r="M162" s="125"/>
      <c r="N162" s="36"/>
    </row>
    <row r="163" spans="1:14" s="37" customFormat="1" x14ac:dyDescent="0.3">
      <c r="A163" s="126" t="s">
        <v>220</v>
      </c>
      <c r="B163" s="127"/>
      <c r="C163" s="127"/>
      <c r="D163" s="127"/>
      <c r="E163" s="127"/>
      <c r="F163" s="127"/>
      <c r="G163" s="127"/>
      <c r="H163" s="128"/>
      <c r="J163" s="36"/>
    </row>
    <row r="164" spans="1:14" s="37" customFormat="1" x14ac:dyDescent="0.3">
      <c r="A164" s="92">
        <v>1</v>
      </c>
      <c r="B164" s="93"/>
      <c r="C164" s="53" t="s">
        <v>217</v>
      </c>
      <c r="D164" s="54">
        <f>(63.73)*10.764</f>
        <v>685.98971999999992</v>
      </c>
      <c r="E164" s="42">
        <v>0</v>
      </c>
      <c r="F164" s="42">
        <f>D164*(($F$141)+1)+(IF(E164&lt;101,E164,IF(E164&lt;201,E164/2,IF(E164&lt;=301,E164/3,E164/4))))</f>
        <v>1063.2840659999999</v>
      </c>
      <c r="G164" s="186" t="str">
        <f>A163</f>
        <v>10th Floor (Part Refuge Area)</v>
      </c>
      <c r="H164" s="187"/>
      <c r="I164" s="36"/>
      <c r="L164" s="125"/>
      <c r="M164" s="125"/>
      <c r="N164" s="36"/>
    </row>
    <row r="165" spans="1:14" s="37" customFormat="1" x14ac:dyDescent="0.3">
      <c r="A165" s="92">
        <v>2</v>
      </c>
      <c r="B165" s="93"/>
      <c r="C165" s="53" t="s">
        <v>215</v>
      </c>
      <c r="D165" s="54">
        <f>(102.84)*10.764</f>
        <v>1106.96976</v>
      </c>
      <c r="E165" s="42">
        <v>0</v>
      </c>
      <c r="F165" s="42">
        <f>D165*(($F$141)+1)+(IF(E165&lt;101,E165,IF(E165&lt;201,E165/2,IF(E165&lt;=301,E165/3,E165/4))))</f>
        <v>1715.803128</v>
      </c>
      <c r="G165" s="188" t="str">
        <f t="shared" ref="G165:G169" si="13">G164</f>
        <v>10th Floor (Part Refuge Area)</v>
      </c>
      <c r="H165" s="189"/>
      <c r="I165" s="36"/>
      <c r="L165" s="125"/>
      <c r="M165" s="125"/>
      <c r="N165" s="36"/>
    </row>
    <row r="166" spans="1:14" s="37" customFormat="1" x14ac:dyDescent="0.3">
      <c r="A166" s="92">
        <v>3</v>
      </c>
      <c r="B166" s="93"/>
      <c r="C166" s="53" t="s">
        <v>219</v>
      </c>
      <c r="D166" s="54">
        <f>(45.55)*10.764</f>
        <v>490.30019999999996</v>
      </c>
      <c r="E166" s="42">
        <v>0</v>
      </c>
      <c r="F166" s="42">
        <f t="shared" ref="F166" si="14">D166*(($F$141)+1)+(IF(E166&lt;101,E166,IF(E166&lt;201,E166/2,IF(E166&lt;=301,E166/3,E166/4))))</f>
        <v>759.96530999999993</v>
      </c>
      <c r="G166" s="188"/>
      <c r="H166" s="189"/>
      <c r="I166" s="36"/>
      <c r="L166" s="125"/>
      <c r="M166" s="125"/>
      <c r="N166" s="36"/>
    </row>
    <row r="167" spans="1:14" s="37" customFormat="1" x14ac:dyDescent="0.3">
      <c r="A167" s="92" t="s">
        <v>221</v>
      </c>
      <c r="B167" s="93"/>
      <c r="C167" s="68" t="s">
        <v>206</v>
      </c>
      <c r="D167" s="69"/>
      <c r="E167" s="69"/>
      <c r="F167" s="70"/>
      <c r="G167" s="188" t="str">
        <f>G165</f>
        <v>10th Floor (Part Refuge Area)</v>
      </c>
      <c r="H167" s="189"/>
      <c r="I167" s="36"/>
      <c r="L167" s="125"/>
      <c r="M167" s="125"/>
      <c r="N167" s="36"/>
    </row>
    <row r="168" spans="1:14" s="37" customFormat="1" x14ac:dyDescent="0.3">
      <c r="A168" s="92">
        <v>4</v>
      </c>
      <c r="B168" s="93"/>
      <c r="C168" s="53" t="s">
        <v>205</v>
      </c>
      <c r="D168" s="54">
        <f>(70.7)*10.764</f>
        <v>761.01480000000004</v>
      </c>
      <c r="E168" s="42">
        <v>0</v>
      </c>
      <c r="F168" s="42">
        <f t="shared" ref="F168:F169" si="15">D168*(($F$141)+1)+(IF(E168&lt;101,E168,IF(E168&lt;201,E168/2,IF(E168&lt;=301,E168/3,E168/4))))</f>
        <v>1179.57294</v>
      </c>
      <c r="G168" s="188" t="str">
        <f t="shared" si="13"/>
        <v>10th Floor (Part Refuge Area)</v>
      </c>
      <c r="H168" s="189"/>
      <c r="I168" s="36"/>
      <c r="L168" s="125"/>
      <c r="M168" s="125"/>
      <c r="N168" s="36"/>
    </row>
    <row r="169" spans="1:14" s="37" customFormat="1" x14ac:dyDescent="0.3">
      <c r="A169" s="92">
        <v>5</v>
      </c>
      <c r="B169" s="93"/>
      <c r="C169" s="53" t="s">
        <v>205</v>
      </c>
      <c r="D169" s="54">
        <f>(70.7)*10.764</f>
        <v>761.01480000000004</v>
      </c>
      <c r="E169" s="42">
        <v>0</v>
      </c>
      <c r="F169" s="42">
        <f t="shared" si="15"/>
        <v>1179.57294</v>
      </c>
      <c r="G169" s="188" t="str">
        <f t="shared" si="13"/>
        <v>10th Floor (Part Refuge Area)</v>
      </c>
      <c r="H169" s="189"/>
      <c r="I169" s="36"/>
      <c r="L169" s="125"/>
      <c r="M169" s="125"/>
      <c r="N169" s="36"/>
    </row>
    <row r="170" spans="1:14" s="37" customFormat="1" x14ac:dyDescent="0.3">
      <c r="A170" s="126" t="s">
        <v>204</v>
      </c>
      <c r="B170" s="127"/>
      <c r="C170" s="127"/>
      <c r="D170" s="127"/>
      <c r="E170" s="127"/>
      <c r="F170" s="127"/>
      <c r="G170" s="127"/>
      <c r="H170" s="128"/>
      <c r="J170" s="36"/>
    </row>
    <row r="171" spans="1:14" s="37" customFormat="1" x14ac:dyDescent="0.3">
      <c r="A171" s="126" t="s">
        <v>239</v>
      </c>
      <c r="B171" s="127"/>
      <c r="C171" s="127"/>
      <c r="D171" s="127"/>
      <c r="E171" s="127"/>
      <c r="F171" s="127"/>
      <c r="G171" s="127"/>
      <c r="H171" s="128"/>
      <c r="J171" s="36"/>
    </row>
    <row r="172" spans="1:14" s="37" customFormat="1" x14ac:dyDescent="0.3">
      <c r="A172" s="126" t="s">
        <v>241</v>
      </c>
      <c r="B172" s="127"/>
      <c r="C172" s="127"/>
      <c r="D172" s="127"/>
      <c r="E172" s="127"/>
      <c r="F172" s="127"/>
      <c r="G172" s="127"/>
      <c r="H172" s="128"/>
      <c r="J172" s="36"/>
    </row>
    <row r="173" spans="1:14" s="37" customFormat="1" x14ac:dyDescent="0.3">
      <c r="A173" s="126" t="s">
        <v>243</v>
      </c>
      <c r="B173" s="127"/>
      <c r="C173" s="127"/>
      <c r="D173" s="127"/>
      <c r="E173" s="127"/>
      <c r="F173" s="127"/>
      <c r="G173" s="127"/>
      <c r="H173" s="128"/>
      <c r="J173" s="36"/>
    </row>
    <row r="174" spans="1:14" s="37" customFormat="1" ht="15.75" customHeight="1" x14ac:dyDescent="0.3">
      <c r="A174" s="126" t="s">
        <v>245</v>
      </c>
      <c r="B174" s="127"/>
      <c r="C174" s="127"/>
      <c r="D174" s="127"/>
      <c r="E174" s="127"/>
      <c r="F174" s="127"/>
      <c r="G174" s="127"/>
      <c r="H174" s="128"/>
      <c r="J174" s="36"/>
    </row>
    <row r="175" spans="1:14" s="37" customFormat="1" ht="15.75" customHeight="1" x14ac:dyDescent="0.3">
      <c r="A175" s="92">
        <v>1</v>
      </c>
      <c r="B175" s="93"/>
      <c r="C175" s="53" t="s">
        <v>205</v>
      </c>
      <c r="D175" s="54">
        <f>(70.42)*10.764</f>
        <v>758.00087999999994</v>
      </c>
      <c r="E175" s="42">
        <v>0</v>
      </c>
      <c r="F175" s="42">
        <f>D175*(($F$141)+1)+(IF(E175&lt;101,E175,IF(E175&lt;201,E175/2,IF(E175&lt;=301,E175/3,E175/4))))</f>
        <v>1174.9013639999998</v>
      </c>
      <c r="G175" s="186" t="str">
        <f>A174</f>
        <v>2nd, 4th to 9th, 11th &amp; 12th Floor For Residential</v>
      </c>
      <c r="H175" s="187"/>
      <c r="I175" s="36"/>
      <c r="L175" s="125"/>
      <c r="M175" s="125"/>
      <c r="N175" s="36"/>
    </row>
    <row r="176" spans="1:14" s="37" customFormat="1" ht="15.75" customHeight="1" x14ac:dyDescent="0.3">
      <c r="A176" s="92">
        <f t="shared" ref="A176:A179" si="16">A175+1</f>
        <v>2</v>
      </c>
      <c r="B176" s="93"/>
      <c r="C176" s="53" t="s">
        <v>205</v>
      </c>
      <c r="D176" s="54">
        <f>(70.14)*10.764</f>
        <v>754.98695999999995</v>
      </c>
      <c r="E176" s="42">
        <v>0</v>
      </c>
      <c r="F176" s="42">
        <f>D176*(($F$141)+1)+(IF(E176&lt;101,E176,IF(E176&lt;201,E176/2,IF(E176&lt;=301,E176/3,E176/4))))</f>
        <v>1170.2297879999999</v>
      </c>
      <c r="G176" s="188" t="str">
        <f t="shared" ref="G176:G179" si="17">G175</f>
        <v>2nd, 4th to 9th, 11th &amp; 12th Floor For Residential</v>
      </c>
      <c r="H176" s="189"/>
      <c r="I176" s="36"/>
      <c r="L176" s="125"/>
      <c r="M176" s="125"/>
      <c r="N176" s="36"/>
    </row>
    <row r="177" spans="1:14" s="37" customFormat="1" ht="15.75" customHeight="1" x14ac:dyDescent="0.3">
      <c r="A177" s="92">
        <f t="shared" si="16"/>
        <v>3</v>
      </c>
      <c r="B177" s="93"/>
      <c r="C177" s="53" t="s">
        <v>216</v>
      </c>
      <c r="D177" s="54">
        <f>(88.63)*10.764</f>
        <v>954.01331999999991</v>
      </c>
      <c r="E177" s="42">
        <v>0</v>
      </c>
      <c r="F177" s="42">
        <f>D177*(($F$141)+1)+(IF(E177&lt;101,E177,IF(E177&lt;201,E177/2,IF(E177&lt;=301,E177/3,E177/4))))</f>
        <v>1478.720646</v>
      </c>
      <c r="G177" s="188" t="str">
        <f t="shared" si="17"/>
        <v>2nd, 4th to 9th, 11th &amp; 12th Floor For Residential</v>
      </c>
      <c r="H177" s="189"/>
      <c r="I177" s="36"/>
      <c r="L177" s="125"/>
      <c r="M177" s="125"/>
      <c r="N177" s="36"/>
    </row>
    <row r="178" spans="1:14" s="37" customFormat="1" ht="15.75" customHeight="1" x14ac:dyDescent="0.3">
      <c r="A178" s="92">
        <f t="shared" si="16"/>
        <v>4</v>
      </c>
      <c r="B178" s="93"/>
      <c r="C178" s="53" t="s">
        <v>215</v>
      </c>
      <c r="D178" s="54">
        <f>(102.19)*10.764</f>
        <v>1099.97316</v>
      </c>
      <c r="E178" s="42">
        <v>0</v>
      </c>
      <c r="F178" s="42">
        <f>D178*(($F$141)+1)+(IF(E178&lt;101,E178,IF(E178&lt;201,E178/2,IF(E178&lt;=301,E178/3,E178/4))))</f>
        <v>1704.958398</v>
      </c>
      <c r="G178" s="188" t="str">
        <f t="shared" si="17"/>
        <v>2nd, 4th to 9th, 11th &amp; 12th Floor For Residential</v>
      </c>
      <c r="H178" s="189"/>
      <c r="I178" s="36"/>
      <c r="L178" s="125"/>
      <c r="M178" s="125"/>
      <c r="N178" s="36"/>
    </row>
    <row r="179" spans="1:14" s="37" customFormat="1" ht="15.75" customHeight="1" x14ac:dyDescent="0.3">
      <c r="A179" s="92">
        <f t="shared" si="16"/>
        <v>5</v>
      </c>
      <c r="B179" s="93"/>
      <c r="C179" s="53" t="s">
        <v>217</v>
      </c>
      <c r="D179" s="54">
        <f>(63.73)*10.764</f>
        <v>685.98971999999992</v>
      </c>
      <c r="E179" s="42">
        <v>0</v>
      </c>
      <c r="F179" s="42">
        <f>D179*(($F$141)+1)+(IF(E179&lt;101,E179,IF(E179&lt;201,E179/2,IF(E179&lt;=301,E179/3,E179/4))))</f>
        <v>1063.2840659999999</v>
      </c>
      <c r="G179" s="188" t="str">
        <f t="shared" si="17"/>
        <v>2nd, 4th to 9th, 11th &amp; 12th Floor For Residential</v>
      </c>
      <c r="H179" s="189"/>
      <c r="I179" s="36"/>
      <c r="L179" s="125"/>
      <c r="M179" s="125"/>
      <c r="N179" s="36"/>
    </row>
    <row r="180" spans="1:14" s="37" customFormat="1" hidden="1" x14ac:dyDescent="0.3">
      <c r="A180" s="126" t="s">
        <v>120</v>
      </c>
      <c r="B180" s="127"/>
      <c r="C180" s="127"/>
      <c r="D180" s="127"/>
      <c r="E180" s="127"/>
      <c r="F180" s="127"/>
      <c r="G180" s="127"/>
      <c r="H180" s="128"/>
      <c r="J180" s="36"/>
    </row>
    <row r="181" spans="1:14" s="37" customFormat="1" hidden="1" x14ac:dyDescent="0.3">
      <c r="A181" s="92">
        <v>1</v>
      </c>
      <c r="B181" s="93"/>
      <c r="C181" s="53"/>
      <c r="D181" s="42"/>
      <c r="E181" s="42">
        <v>0</v>
      </c>
      <c r="F181" s="42">
        <f>D181*(($F$141)+1)+(IF(E181&lt;101,E181,IF(E181&lt;201,E181/2,IF(E181&lt;=301,E181/3,E181/4))))</f>
        <v>0</v>
      </c>
      <c r="G181" s="92" t="str">
        <f>A180</f>
        <v>Ground Floor</v>
      </c>
      <c r="H181" s="93"/>
      <c r="I181" s="36"/>
      <c r="L181" s="125"/>
      <c r="M181" s="125"/>
      <c r="N181" s="36"/>
    </row>
    <row r="182" spans="1:14" s="37" customFormat="1" hidden="1" x14ac:dyDescent="0.3">
      <c r="A182" s="92">
        <f t="shared" ref="A182:A184" si="18">A181+1</f>
        <v>2</v>
      </c>
      <c r="B182" s="93"/>
      <c r="C182" s="53"/>
      <c r="D182" s="42"/>
      <c r="E182" s="42">
        <v>0</v>
      </c>
      <c r="F182" s="42">
        <f>D182*(($F$141)+1)+(IF(E182&lt;101,E182,IF(E182&lt;201,E182/2,IF(E182&lt;=301,E182/3,E182/4))))</f>
        <v>0</v>
      </c>
      <c r="G182" s="92" t="str">
        <f t="shared" ref="G182:G184" si="19">G181</f>
        <v>Ground Floor</v>
      </c>
      <c r="H182" s="93"/>
      <c r="I182" s="36"/>
      <c r="L182" s="125"/>
      <c r="M182" s="125"/>
      <c r="N182" s="36"/>
    </row>
    <row r="183" spans="1:14" s="37" customFormat="1" hidden="1" x14ac:dyDescent="0.3">
      <c r="A183" s="92">
        <f t="shared" si="18"/>
        <v>3</v>
      </c>
      <c r="B183" s="93"/>
      <c r="C183" s="53"/>
      <c r="D183" s="42"/>
      <c r="E183" s="42">
        <v>0</v>
      </c>
      <c r="F183" s="42">
        <f>D183*(($F$141)+1)+(IF(E183&lt;101,E183,IF(E183&lt;201,E183/2,IF(E183&lt;=301,E183/3,E183/4))))</f>
        <v>0</v>
      </c>
      <c r="G183" s="92" t="str">
        <f t="shared" si="19"/>
        <v>Ground Floor</v>
      </c>
      <c r="H183" s="93"/>
      <c r="I183" s="36"/>
      <c r="L183" s="125"/>
      <c r="M183" s="125"/>
      <c r="N183" s="36"/>
    </row>
    <row r="184" spans="1:14" s="37" customFormat="1" hidden="1" x14ac:dyDescent="0.3">
      <c r="A184" s="92">
        <f t="shared" si="18"/>
        <v>4</v>
      </c>
      <c r="B184" s="93"/>
      <c r="C184" s="53"/>
      <c r="D184" s="42"/>
      <c r="E184" s="42">
        <v>0</v>
      </c>
      <c r="F184" s="42">
        <f>D184*(($F$141)+1)+(IF(E184&lt;101,E184,IF(E184&lt;201,E184/2,IF(E184&lt;=301,E184/3,E184/4))))</f>
        <v>0</v>
      </c>
      <c r="G184" s="92" t="str">
        <f t="shared" si="19"/>
        <v>Ground Floor</v>
      </c>
      <c r="H184" s="93"/>
      <c r="I184" s="36"/>
      <c r="L184" s="125"/>
      <c r="M184" s="125"/>
      <c r="N184" s="36"/>
    </row>
    <row r="185" spans="1:14" s="37" customFormat="1" hidden="1" x14ac:dyDescent="0.3">
      <c r="A185" s="202" t="s">
        <v>121</v>
      </c>
      <c r="B185" s="202"/>
      <c r="C185" s="202"/>
      <c r="D185" s="202"/>
      <c r="E185" s="202"/>
      <c r="F185" s="202"/>
      <c r="G185" s="202"/>
      <c r="H185" s="202"/>
      <c r="I185" s="36"/>
      <c r="L185" s="125"/>
      <c r="M185" s="125"/>
    </row>
    <row r="186" spans="1:14" s="37" customFormat="1" hidden="1" x14ac:dyDescent="0.3">
      <c r="A186" s="94">
        <f>LEFT(A185,SUM(LEN(A185)-LEN(SUBSTITUTE(A185,{"0","1","2","3","4","5","6","7","8","9"},""))))*100+1</f>
        <v>201</v>
      </c>
      <c r="B186" s="94"/>
      <c r="C186" s="53"/>
      <c r="D186" s="42"/>
      <c r="E186" s="42">
        <v>0</v>
      </c>
      <c r="F186" s="42">
        <f t="shared" ref="F186:F187" si="20">D186*(($F$141)+1)+(IF(E186&lt;101,E186,IF(E186&lt;201,E186/2,IF(E186&lt;=301,E186/3,E186/4))))</f>
        <v>0</v>
      </c>
      <c r="G186" s="94" t="str">
        <f>A185</f>
        <v>2nd Floor</v>
      </c>
      <c r="H186" s="94"/>
      <c r="I186" s="36"/>
      <c r="N186" s="36"/>
    </row>
    <row r="187" spans="1:14" s="37" customFormat="1" hidden="1" x14ac:dyDescent="0.3">
      <c r="A187" s="94">
        <f>A186+1</f>
        <v>202</v>
      </c>
      <c r="B187" s="94"/>
      <c r="C187" s="53"/>
      <c r="D187" s="42"/>
      <c r="E187" s="42">
        <v>0</v>
      </c>
      <c r="F187" s="42">
        <f t="shared" si="20"/>
        <v>0</v>
      </c>
      <c r="G187" s="94" t="str">
        <f>G186</f>
        <v>2nd Floor</v>
      </c>
      <c r="H187" s="94"/>
      <c r="I187" s="36"/>
      <c r="N187" s="36"/>
    </row>
    <row r="188" spans="1:14" s="37" customFormat="1" hidden="1" x14ac:dyDescent="0.3">
      <c r="A188" s="94">
        <f>A187+1</f>
        <v>203</v>
      </c>
      <c r="B188" s="94"/>
      <c r="C188" s="53"/>
      <c r="D188" s="42"/>
      <c r="E188" s="42">
        <v>0</v>
      </c>
      <c r="F188" s="42">
        <f>D188*(($F$141)+1)+(IF(E188&lt;101,E188,IF(E188&lt;201,E188/2,IF(E188&lt;=301,E188/3,E188/4))))</f>
        <v>0</v>
      </c>
      <c r="G188" s="94" t="str">
        <f>G187</f>
        <v>2nd Floor</v>
      </c>
      <c r="H188" s="94"/>
      <c r="I188" s="36"/>
      <c r="N188" s="36"/>
    </row>
    <row r="189" spans="1:14" s="37" customFormat="1" hidden="1" x14ac:dyDescent="0.3">
      <c r="A189" s="94">
        <f>A188+1</f>
        <v>204</v>
      </c>
      <c r="B189" s="94"/>
      <c r="C189" s="53"/>
      <c r="D189" s="42"/>
      <c r="E189" s="42">
        <v>0</v>
      </c>
      <c r="F189" s="42">
        <f>D189*(($F$141)+1)+(IF(E189&lt;101,E189,IF(E189&lt;201,E189/2,IF(E189&lt;=301,E189/3,E189/4))))</f>
        <v>0</v>
      </c>
      <c r="G189" s="94" t="str">
        <f>G188</f>
        <v>2nd Floor</v>
      </c>
      <c r="H189" s="94"/>
      <c r="I189" s="36"/>
      <c r="N189" s="36"/>
    </row>
    <row r="190" spans="1:14" s="37" customFormat="1" hidden="1" x14ac:dyDescent="0.3">
      <c r="A190" s="94">
        <f>A189+1</f>
        <v>205</v>
      </c>
      <c r="B190" s="94"/>
      <c r="C190" s="53"/>
      <c r="D190" s="42"/>
      <c r="E190" s="42">
        <v>0</v>
      </c>
      <c r="F190" s="42">
        <f>D190*(($F$141)+1)+(IF(E190&lt;101,E190,IF(E190&lt;201,E190/2,IF(E190&lt;=301,E190/3,E190/4))))</f>
        <v>0</v>
      </c>
      <c r="G190" s="94" t="str">
        <f>G189</f>
        <v>2nd Floor</v>
      </c>
      <c r="H190" s="94"/>
      <c r="I190" s="36"/>
      <c r="N190" s="36"/>
    </row>
    <row r="191" spans="1:14" s="37" customFormat="1" ht="15.75" hidden="1" customHeight="1" x14ac:dyDescent="0.3">
      <c r="A191" s="126" t="s">
        <v>157</v>
      </c>
      <c r="B191" s="127"/>
      <c r="C191" s="127"/>
      <c r="D191" s="127"/>
      <c r="E191" s="127"/>
      <c r="F191" s="127"/>
      <c r="G191" s="127"/>
      <c r="H191" s="128"/>
      <c r="I191" s="36"/>
    </row>
    <row r="192" spans="1:14" s="37" customFormat="1" hidden="1" x14ac:dyDescent="0.3">
      <c r="A192" s="92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10^ROW(INDIRECT("1:"&amp;LEN((LEFT(A191,SUM(LEN(A191)-LEN(SUBSTITUTE(A191,{"0","1","2"},""))))))))/10))*100+1&amp;""&amp;" ,..,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",LEN(A191))),LEN(A191)))))))/10))*100+1</f>
        <v>301 ,.., 1501</v>
      </c>
      <c r="B192" s="93"/>
      <c r="C192" s="53"/>
      <c r="D192" s="42"/>
      <c r="E192" s="42">
        <v>0</v>
      </c>
      <c r="F192" s="42">
        <f>D192*(($F$141)+1)+(IF(E192&lt;101,E192,IF(E192&lt;201,E192/2,IF(E192&lt;=301,E192/3,E192/4))))</f>
        <v>0</v>
      </c>
      <c r="G192" s="92" t="str">
        <f>A191</f>
        <v>3rd, 5th, 7th, 9th, 11th, 13th, 15th Floor</v>
      </c>
      <c r="H192" s="93"/>
      <c r="I192" s="36"/>
    </row>
    <row r="193" spans="1:9" s="37" customFormat="1" hidden="1" x14ac:dyDescent="0.3">
      <c r="A193" s="92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,..,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302 ,.., 1502</v>
      </c>
      <c r="B193" s="93"/>
      <c r="C193" s="53"/>
      <c r="D193" s="42"/>
      <c r="E193" s="42">
        <v>0</v>
      </c>
      <c r="F193" s="42">
        <f>D193*(($F$141)+1)+(IF(E193&lt;101,E193,IF(E193&lt;201,E193/2,IF(E193&lt;=301,E193/3,E193/4))))</f>
        <v>0</v>
      </c>
      <c r="G193" s="92" t="str">
        <f>G192</f>
        <v>3rd, 5th, 7th, 9th, 11th, 13th, 15th Floor</v>
      </c>
      <c r="H193" s="93"/>
      <c r="I193" s="36"/>
    </row>
    <row r="194" spans="1:9" s="37" customFormat="1" ht="15.75" hidden="1" customHeight="1" x14ac:dyDescent="0.3">
      <c r="A194" s="92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,..,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303 ,.., 1503</v>
      </c>
      <c r="B194" s="93"/>
      <c r="C194" s="53"/>
      <c r="D194" s="42"/>
      <c r="E194" s="42">
        <v>0</v>
      </c>
      <c r="F194" s="42">
        <f>D194*(($F$141)+1)+(IF(E194&lt;101,E194,IF(E194&lt;201,E194/2,IF(E194&lt;=301,E194/3,E194/4))))</f>
        <v>0</v>
      </c>
      <c r="G194" s="92" t="str">
        <f>G193</f>
        <v>3rd, 5th, 7th, 9th, 11th, 13th, 15th Floor</v>
      </c>
      <c r="H194" s="93"/>
      <c r="I194" s="36"/>
    </row>
    <row r="195" spans="1:9" s="37" customFormat="1" ht="15.75" hidden="1" customHeight="1" x14ac:dyDescent="0.3">
      <c r="A195" s="92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,..,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304 ,.., 1504</v>
      </c>
      <c r="B195" s="93"/>
      <c r="C195" s="53"/>
      <c r="D195" s="42"/>
      <c r="E195" s="42">
        <v>0</v>
      </c>
      <c r="F195" s="42">
        <f>D195*(($F$141)+1)+(IF(E195&lt;101,E195,IF(E195&lt;201,E195/2,IF(E195&lt;=301,E195/3,E195/4))))</f>
        <v>0</v>
      </c>
      <c r="G195" s="92" t="str">
        <f>G194</f>
        <v>3rd, 5th, 7th, 9th, 11th, 13th, 15th Floor</v>
      </c>
      <c r="H195" s="93"/>
      <c r="I195" s="36"/>
    </row>
    <row r="196" spans="1:9" s="37" customFormat="1" ht="15.75" hidden="1" customHeight="1" x14ac:dyDescent="0.3">
      <c r="A196" s="92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,..,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305 ,.., 1505</v>
      </c>
      <c r="B196" s="93"/>
      <c r="C196" s="53"/>
      <c r="D196" s="42"/>
      <c r="E196" s="42">
        <v>0</v>
      </c>
      <c r="F196" s="42">
        <f>D196*(($F$141)+1)+(IF(E196&lt;101,E196,IF(E196&lt;201,E196/2,IF(E196&lt;=301,E196/3,E196/4))))</f>
        <v>0</v>
      </c>
      <c r="G196" s="92" t="str">
        <f>G195</f>
        <v>3rd, 5th, 7th, 9th, 11th, 13th, 15th Floor</v>
      </c>
      <c r="H196" s="93"/>
      <c r="I196" s="36"/>
    </row>
    <row r="197" spans="1:9" s="37" customFormat="1" hidden="1" x14ac:dyDescent="0.3">
      <c r="A197" s="126" t="s">
        <v>151</v>
      </c>
      <c r="B197" s="127"/>
      <c r="C197" s="127"/>
      <c r="D197" s="127"/>
      <c r="E197" s="127"/>
      <c r="F197" s="127"/>
      <c r="G197" s="127"/>
      <c r="H197" s="128"/>
      <c r="I197" s="36"/>
    </row>
    <row r="198" spans="1:9" s="37" customFormat="1" hidden="1" x14ac:dyDescent="0.3">
      <c r="A198" s="92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10^ROW(INDIRECT("1:"&amp;LEN((LEFT(A197,SUM(LEN(A197)-LEN(SUBSTITUTE(A197,{"0","1","2"},""))))))))/10))*100+1&amp;""&amp;" to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",LEN(A197))),LEN(A197)))))))/10))*100+1</f>
        <v>201 to 501</v>
      </c>
      <c r="B198" s="93"/>
      <c r="C198" s="53"/>
      <c r="D198" s="42"/>
      <c r="E198" s="42">
        <v>0</v>
      </c>
      <c r="F198" s="42">
        <f>D198*(($F$141)+1)+(IF(E198&lt;101,E198,IF(E198&lt;201,E198/2,IF(E198&lt;=301,E198/3,E198/4))))</f>
        <v>0</v>
      </c>
      <c r="G198" s="92" t="str">
        <f>A197</f>
        <v>2nd to 5th Floor</v>
      </c>
      <c r="H198" s="93"/>
      <c r="I198" s="36"/>
    </row>
    <row r="199" spans="1:9" s="37" customFormat="1" hidden="1" x14ac:dyDescent="0.3">
      <c r="A199" s="92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to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202 to 502</v>
      </c>
      <c r="B199" s="93"/>
      <c r="C199" s="53"/>
      <c r="D199" s="42"/>
      <c r="E199" s="42">
        <v>0</v>
      </c>
      <c r="F199" s="42">
        <f>D199*(($F$141)+1)+(IF(E199&lt;101,E199,IF(E199&lt;201,E199/2,IF(E199&lt;=301,E199/3,E199/4))))</f>
        <v>0</v>
      </c>
      <c r="G199" s="92" t="str">
        <f>G198</f>
        <v>2nd to 5th Floor</v>
      </c>
      <c r="H199" s="93"/>
      <c r="I199" s="36"/>
    </row>
    <row r="200" spans="1:9" s="37" customFormat="1" hidden="1" x14ac:dyDescent="0.3">
      <c r="A200" s="92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to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203 to 503</v>
      </c>
      <c r="B200" s="93"/>
      <c r="C200" s="53"/>
      <c r="D200" s="42"/>
      <c r="E200" s="42">
        <v>0</v>
      </c>
      <c r="F200" s="42">
        <f>D200*(($F$141)+1)+(IF(E200&lt;101,E200,IF(E200&lt;201,E200/2,IF(E200&lt;=301,E200/3,E200/4))))</f>
        <v>0</v>
      </c>
      <c r="G200" s="92" t="str">
        <f>G199</f>
        <v>2nd to 5th Floor</v>
      </c>
      <c r="H200" s="93"/>
      <c r="I200" s="36"/>
    </row>
    <row r="201" spans="1:9" s="37" customFormat="1" hidden="1" x14ac:dyDescent="0.3">
      <c r="A201" s="92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to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204 to 504</v>
      </c>
      <c r="B201" s="93"/>
      <c r="C201" s="53"/>
      <c r="D201" s="42"/>
      <c r="E201" s="42">
        <v>0</v>
      </c>
      <c r="F201" s="42">
        <f>D201*(($F$141)+1)+(IF(E201&lt;101,E201,IF(E201&lt;201,E201/2,IF(E201&lt;=301,E201/3,E201/4))))</f>
        <v>0</v>
      </c>
      <c r="G201" s="92" t="str">
        <f>G200</f>
        <v>2nd to 5th Floor</v>
      </c>
      <c r="H201" s="93"/>
      <c r="I201" s="36"/>
    </row>
    <row r="202" spans="1:9" s="37" customFormat="1" hidden="1" x14ac:dyDescent="0.3">
      <c r="A202" s="92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to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205 to 505</v>
      </c>
      <c r="B202" s="93"/>
      <c r="C202" s="53"/>
      <c r="D202" s="42"/>
      <c r="E202" s="42">
        <v>0</v>
      </c>
      <c r="F202" s="42">
        <f>D202*(($F$141)+1)+(IF(E202&lt;101,E202,IF(E202&lt;201,E202/2,IF(E202&lt;=301,E202/3,E202/4))))</f>
        <v>0</v>
      </c>
      <c r="G202" s="92" t="str">
        <f>G201</f>
        <v>2nd to 5th Floor</v>
      </c>
      <c r="H202" s="93"/>
      <c r="I202" s="36"/>
    </row>
    <row r="203" spans="1:9" s="37" customFormat="1" hidden="1" x14ac:dyDescent="0.3">
      <c r="A203" s="126" t="s">
        <v>152</v>
      </c>
      <c r="B203" s="127"/>
      <c r="C203" s="127"/>
      <c r="D203" s="127"/>
      <c r="E203" s="127"/>
      <c r="F203" s="127"/>
      <c r="G203" s="127"/>
      <c r="H203" s="128"/>
      <c r="I203" s="36"/>
    </row>
    <row r="204" spans="1:9" s="37" customFormat="1" hidden="1" x14ac:dyDescent="0.3">
      <c r="A204" s="92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10^ROW(INDIRECT("1:"&amp;LEN((LEFT(A203,SUM(LEN(A203)-LEN(SUBSTITUTE(A203,{"0","1","2"},""))))))))/10))*100+1&amp;""&amp;" &amp;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",LEN(A203))),LEN(A203)))))))/10))*100+1</f>
        <v>201 &amp; 501</v>
      </c>
      <c r="B204" s="93"/>
      <c r="C204" s="53"/>
      <c r="D204" s="42"/>
      <c r="E204" s="42">
        <v>0</v>
      </c>
      <c r="F204" s="42">
        <f>D204*(($F$141)+1)+(IF(E204&lt;101,E204,IF(E204&lt;201,E204/2,IF(E204&lt;=301,E204/3,E204/4))))</f>
        <v>0</v>
      </c>
      <c r="G204" s="92" t="str">
        <f>A203</f>
        <v>2nd &amp; 5th Floor</v>
      </c>
      <c r="H204" s="93"/>
      <c r="I204" s="36"/>
    </row>
    <row r="205" spans="1:9" s="37" customFormat="1" hidden="1" x14ac:dyDescent="0.3">
      <c r="A205" s="92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&amp;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202 &amp; 502</v>
      </c>
      <c r="B205" s="93"/>
      <c r="C205" s="53"/>
      <c r="D205" s="42"/>
      <c r="E205" s="42">
        <v>0</v>
      </c>
      <c r="F205" s="42">
        <f>D205*(($F$141)+1)+(IF(E205&lt;101,E205,IF(E205&lt;201,E205/2,IF(E205&lt;=301,E205/3,E205/4))))</f>
        <v>0</v>
      </c>
      <c r="G205" s="92" t="str">
        <f t="shared" ref="G205:G208" si="21">G204</f>
        <v>2nd &amp; 5th Floor</v>
      </c>
      <c r="H205" s="93"/>
      <c r="I205" s="36"/>
    </row>
    <row r="206" spans="1:9" s="37" customFormat="1" hidden="1" x14ac:dyDescent="0.3">
      <c r="A206" s="92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203 &amp; 503</v>
      </c>
      <c r="B206" s="93"/>
      <c r="C206" s="53"/>
      <c r="D206" s="42"/>
      <c r="E206" s="42">
        <v>0</v>
      </c>
      <c r="F206" s="42">
        <f>D206*(($F$141)+1)+(IF(E206&lt;101,E206,IF(E206&lt;201,E206/2,IF(E206&lt;=301,E206/3,E206/4))))</f>
        <v>0</v>
      </c>
      <c r="G206" s="92" t="str">
        <f t="shared" si="21"/>
        <v>2nd &amp; 5th Floor</v>
      </c>
      <c r="H206" s="93"/>
      <c r="I206" s="36"/>
    </row>
    <row r="207" spans="1:9" s="37" customFormat="1" hidden="1" x14ac:dyDescent="0.3">
      <c r="A207" s="92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&amp;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204 &amp; 504</v>
      </c>
      <c r="B207" s="93"/>
      <c r="C207" s="53"/>
      <c r="D207" s="42"/>
      <c r="E207" s="42">
        <v>0</v>
      </c>
      <c r="F207" s="42">
        <f>D207*(($F$141)+1)+(IF(E207&lt;101,E207,IF(E207&lt;201,E207/2,IF(E207&lt;=301,E207/3,E207/4))))</f>
        <v>0</v>
      </c>
      <c r="G207" s="92" t="str">
        <f t="shared" si="21"/>
        <v>2nd &amp; 5th Floor</v>
      </c>
      <c r="H207" s="93"/>
      <c r="I207" s="36"/>
    </row>
    <row r="208" spans="1:9" s="37" customFormat="1" hidden="1" x14ac:dyDescent="0.3">
      <c r="A208" s="92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&amp;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205 &amp; 505</v>
      </c>
      <c r="B208" s="93"/>
      <c r="C208" s="53"/>
      <c r="D208" s="42"/>
      <c r="E208" s="42">
        <v>0</v>
      </c>
      <c r="F208" s="42">
        <f>D208*(($F$141)+1)+(IF(E208&lt;101,E208,IF(E208&lt;201,E208/2,IF(E208&lt;=301,E208/3,E208/4))))</f>
        <v>0</v>
      </c>
      <c r="G208" s="92" t="str">
        <f t="shared" si="21"/>
        <v>2nd &amp; 5th Floor</v>
      </c>
      <c r="H208" s="93"/>
      <c r="I208" s="36"/>
    </row>
    <row r="209" spans="1:14" s="37" customFormat="1" x14ac:dyDescent="0.3">
      <c r="A209" s="126" t="s">
        <v>218</v>
      </c>
      <c r="B209" s="127"/>
      <c r="C209" s="127"/>
      <c r="D209" s="127"/>
      <c r="E209" s="127"/>
      <c r="F209" s="127"/>
      <c r="G209" s="127"/>
      <c r="H209" s="128"/>
      <c r="J209" s="36"/>
    </row>
    <row r="210" spans="1:14" s="37" customFormat="1" ht="15.75" customHeight="1" x14ac:dyDescent="0.3">
      <c r="A210" s="92">
        <v>1</v>
      </c>
      <c r="B210" s="93"/>
      <c r="C210" s="53" t="s">
        <v>205</v>
      </c>
      <c r="D210" s="54">
        <f>(70.42)*10.764</f>
        <v>758.00087999999994</v>
      </c>
      <c r="E210" s="42">
        <v>0</v>
      </c>
      <c r="F210" s="42">
        <f>D210*(($F$141)+1)+(IF(E210&lt;101,E210,IF(E210&lt;201,E210/2,IF(E210&lt;=301,E210/3,E210/4))))</f>
        <v>1174.9013639999998</v>
      </c>
      <c r="G210" s="186" t="str">
        <f>A209</f>
        <v>3rd Floor (Part Refuge Area)</v>
      </c>
      <c r="H210" s="187"/>
      <c r="I210" s="36"/>
      <c r="L210" s="125"/>
      <c r="M210" s="125"/>
      <c r="N210" s="36"/>
    </row>
    <row r="211" spans="1:14" s="37" customFormat="1" ht="15.75" customHeight="1" x14ac:dyDescent="0.3">
      <c r="A211" s="92">
        <f t="shared" ref="A211:A214" si="22">A210+1</f>
        <v>2</v>
      </c>
      <c r="B211" s="93"/>
      <c r="C211" s="68" t="s">
        <v>206</v>
      </c>
      <c r="D211" s="69"/>
      <c r="E211" s="69"/>
      <c r="F211" s="70"/>
      <c r="G211" s="188" t="str">
        <f t="shared" ref="G211:G214" si="23">G210</f>
        <v>3rd Floor (Part Refuge Area)</v>
      </c>
      <c r="H211" s="189"/>
      <c r="I211" s="36"/>
      <c r="L211" s="125"/>
      <c r="M211" s="125"/>
      <c r="N211" s="36"/>
    </row>
    <row r="212" spans="1:14" s="37" customFormat="1" ht="15.75" customHeight="1" x14ac:dyDescent="0.3">
      <c r="A212" s="92">
        <f t="shared" si="22"/>
        <v>3</v>
      </c>
      <c r="B212" s="93"/>
      <c r="C212" s="53" t="s">
        <v>219</v>
      </c>
      <c r="D212" s="54">
        <f>(50.58)*10.764</f>
        <v>544.44311999999991</v>
      </c>
      <c r="E212" s="42">
        <v>0</v>
      </c>
      <c r="F212" s="42">
        <f>D212*(($F$141)+1)+(IF(E212&lt;101,E212,IF(E212&lt;201,E212/2,IF(E212&lt;=301,E212/3,E212/4))))</f>
        <v>843.8868359999999</v>
      </c>
      <c r="G212" s="188" t="str">
        <f t="shared" si="23"/>
        <v>3rd Floor (Part Refuge Area)</v>
      </c>
      <c r="H212" s="189"/>
      <c r="I212" s="36"/>
      <c r="L212" s="125"/>
      <c r="M212" s="125"/>
      <c r="N212" s="36"/>
    </row>
    <row r="213" spans="1:14" s="37" customFormat="1" ht="15.75" customHeight="1" x14ac:dyDescent="0.3">
      <c r="A213" s="92">
        <f t="shared" si="22"/>
        <v>4</v>
      </c>
      <c r="B213" s="93"/>
      <c r="C213" s="53" t="s">
        <v>215</v>
      </c>
      <c r="D213" s="54">
        <f>(102.19)*10.764</f>
        <v>1099.97316</v>
      </c>
      <c r="E213" s="42">
        <v>0</v>
      </c>
      <c r="F213" s="42">
        <f>D213*(($F$141)+1)+(IF(E213&lt;101,E213,IF(E213&lt;201,E213/2,IF(E213&lt;=301,E213/3,E213/4))))</f>
        <v>1704.958398</v>
      </c>
      <c r="G213" s="188" t="str">
        <f t="shared" si="23"/>
        <v>3rd Floor (Part Refuge Area)</v>
      </c>
      <c r="H213" s="189"/>
      <c r="I213" s="36"/>
      <c r="L213" s="125"/>
      <c r="M213" s="125"/>
      <c r="N213" s="36"/>
    </row>
    <row r="214" spans="1:14" s="37" customFormat="1" ht="15.75" customHeight="1" x14ac:dyDescent="0.3">
      <c r="A214" s="92">
        <f t="shared" si="22"/>
        <v>5</v>
      </c>
      <c r="B214" s="93"/>
      <c r="C214" s="53" t="s">
        <v>217</v>
      </c>
      <c r="D214" s="54">
        <f>(63.73)*10.764</f>
        <v>685.98971999999992</v>
      </c>
      <c r="E214" s="42">
        <v>0</v>
      </c>
      <c r="F214" s="42">
        <f>D214*(($F$141)+1)+(IF(E214&lt;101,E214,IF(E214&lt;201,E214/2,IF(E214&lt;=301,E214/3,E214/4))))</f>
        <v>1063.2840659999999</v>
      </c>
      <c r="G214" s="188" t="str">
        <f t="shared" si="23"/>
        <v>3rd Floor (Part Refuge Area)</v>
      </c>
      <c r="H214" s="189"/>
      <c r="I214" s="36"/>
      <c r="L214" s="125"/>
      <c r="M214" s="125"/>
      <c r="N214" s="36"/>
    </row>
    <row r="215" spans="1:14" s="37" customFormat="1" ht="15.75" customHeight="1" x14ac:dyDescent="0.3">
      <c r="A215" s="126" t="s">
        <v>220</v>
      </c>
      <c r="B215" s="127"/>
      <c r="C215" s="127"/>
      <c r="D215" s="127"/>
      <c r="E215" s="127"/>
      <c r="F215" s="127"/>
      <c r="G215" s="127"/>
      <c r="H215" s="128"/>
      <c r="J215" s="36"/>
    </row>
    <row r="216" spans="1:14" s="37" customFormat="1" ht="15.75" customHeight="1" x14ac:dyDescent="0.3">
      <c r="A216" s="92">
        <v>1</v>
      </c>
      <c r="B216" s="93"/>
      <c r="C216" s="68" t="s">
        <v>206</v>
      </c>
      <c r="D216" s="69"/>
      <c r="E216" s="69"/>
      <c r="F216" s="70"/>
      <c r="G216" s="186" t="str">
        <f>A215</f>
        <v>10th Floor (Part Refuge Area)</v>
      </c>
      <c r="H216" s="187"/>
      <c r="I216" s="36"/>
      <c r="L216" s="125"/>
      <c r="M216" s="125"/>
      <c r="N216" s="36"/>
    </row>
    <row r="217" spans="1:14" s="37" customFormat="1" ht="15.75" customHeight="1" x14ac:dyDescent="0.3">
      <c r="A217" s="92">
        <f t="shared" ref="A217:A220" si="24">A216+1</f>
        <v>2</v>
      </c>
      <c r="B217" s="93"/>
      <c r="C217" s="63" t="s">
        <v>215</v>
      </c>
      <c r="D217" s="54">
        <f>(82.64)*10.764</f>
        <v>889.53695999999991</v>
      </c>
      <c r="E217" s="42">
        <v>0</v>
      </c>
      <c r="F217" s="42">
        <f>D217*(($F$141)+1)+(IF(E217&lt;101,E217,IF(E217&lt;201,E217/2,IF(E217&lt;=301,E217/3,E217/4))))</f>
        <v>1378.7822879999999</v>
      </c>
      <c r="G217" s="188" t="str">
        <f t="shared" ref="G217:G220" si="25">G216</f>
        <v>10th Floor (Part Refuge Area)</v>
      </c>
      <c r="H217" s="189"/>
      <c r="I217" s="36"/>
      <c r="L217" s="125"/>
      <c r="M217" s="125"/>
      <c r="N217" s="36"/>
    </row>
    <row r="218" spans="1:14" s="37" customFormat="1" ht="15.75" customHeight="1" x14ac:dyDescent="0.3">
      <c r="A218" s="92">
        <f t="shared" si="24"/>
        <v>3</v>
      </c>
      <c r="B218" s="93"/>
      <c r="C218" s="53" t="s">
        <v>216</v>
      </c>
      <c r="D218" s="54">
        <f>(88.63)*10.764</f>
        <v>954.01331999999991</v>
      </c>
      <c r="E218" s="42">
        <v>0</v>
      </c>
      <c r="F218" s="42">
        <f>D218*(($F$141)+1)+(IF(E218&lt;101,E218,IF(E218&lt;201,E218/2,IF(E218&lt;=301,E218/3,E218/4))))</f>
        <v>1478.720646</v>
      </c>
      <c r="G218" s="188" t="str">
        <f t="shared" si="25"/>
        <v>10th Floor (Part Refuge Area)</v>
      </c>
      <c r="H218" s="189"/>
      <c r="I218" s="36"/>
      <c r="L218" s="125"/>
      <c r="M218" s="125"/>
      <c r="N218" s="36"/>
    </row>
    <row r="219" spans="1:14" s="37" customFormat="1" ht="15.75" customHeight="1" x14ac:dyDescent="0.3">
      <c r="A219" s="92">
        <f t="shared" si="24"/>
        <v>4</v>
      </c>
      <c r="B219" s="93"/>
      <c r="C219" s="53" t="s">
        <v>215</v>
      </c>
      <c r="D219" s="54">
        <f>(102.19)*10.764</f>
        <v>1099.97316</v>
      </c>
      <c r="E219" s="42">
        <v>0</v>
      </c>
      <c r="F219" s="42">
        <f>D219*(($F$141)+1)+(IF(E219&lt;101,E219,IF(E219&lt;201,E219/2,IF(E219&lt;=301,E219/3,E219/4))))</f>
        <v>1704.958398</v>
      </c>
      <c r="G219" s="188" t="str">
        <f t="shared" si="25"/>
        <v>10th Floor (Part Refuge Area)</v>
      </c>
      <c r="H219" s="189"/>
      <c r="I219" s="36"/>
      <c r="L219" s="125"/>
      <c r="M219" s="125"/>
      <c r="N219" s="36"/>
    </row>
    <row r="220" spans="1:14" s="37" customFormat="1" ht="15.75" customHeight="1" x14ac:dyDescent="0.3">
      <c r="A220" s="92">
        <f t="shared" si="24"/>
        <v>5</v>
      </c>
      <c r="B220" s="93"/>
      <c r="C220" s="53" t="s">
        <v>217</v>
      </c>
      <c r="D220" s="54">
        <f>(63.73)*10.764</f>
        <v>685.98971999999992</v>
      </c>
      <c r="E220" s="42">
        <v>0</v>
      </c>
      <c r="F220" s="42">
        <f>D220*(($F$141)+1)+(IF(E220&lt;101,E220,IF(E220&lt;201,E220/2,IF(E220&lt;=301,E220/3,E220/4))))</f>
        <v>1063.2840659999999</v>
      </c>
      <c r="G220" s="188" t="str">
        <f t="shared" si="25"/>
        <v>10th Floor (Part Refuge Area)</v>
      </c>
      <c r="H220" s="189"/>
      <c r="I220" s="36"/>
      <c r="L220" s="125"/>
      <c r="M220" s="125"/>
      <c r="N220" s="36"/>
    </row>
    <row r="221" spans="1:14" s="35" customFormat="1" x14ac:dyDescent="0.3">
      <c r="A221" s="200" t="s">
        <v>67</v>
      </c>
      <c r="B221" s="200"/>
      <c r="C221" s="200"/>
      <c r="D221" s="200"/>
      <c r="E221" s="200"/>
      <c r="F221" s="200"/>
      <c r="G221" s="200"/>
      <c r="H221" s="200"/>
    </row>
    <row r="222" spans="1:14" s="35" customFormat="1" x14ac:dyDescent="0.3">
      <c r="A222" s="47" t="s">
        <v>161</v>
      </c>
      <c r="B222" s="74" t="s">
        <v>257</v>
      </c>
      <c r="C222" s="75"/>
      <c r="D222" s="75"/>
      <c r="E222" s="75"/>
      <c r="F222" s="75"/>
      <c r="G222" s="75"/>
      <c r="H222" s="76"/>
    </row>
    <row r="223" spans="1:14" s="35" customFormat="1" x14ac:dyDescent="0.3">
      <c r="A223" s="47" t="s">
        <v>161</v>
      </c>
      <c r="B223" s="74" t="str">
        <f>(IF(F140="Saleable area Loading :","We have considered Saleable area of Flats as per our Calculation.","We considered Saleable area of Flat as per Builder area Sheet."))</f>
        <v>We have considered Saleable area of Flats as per our Calculation.</v>
      </c>
      <c r="C223" s="75"/>
      <c r="D223" s="75"/>
      <c r="E223" s="75"/>
      <c r="F223" s="75"/>
      <c r="G223" s="75"/>
      <c r="H223" s="76"/>
    </row>
    <row r="224" spans="1:14" s="35" customFormat="1" x14ac:dyDescent="0.3">
      <c r="A224" s="47" t="s">
        <v>161</v>
      </c>
      <c r="B224" s="74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4" s="75"/>
      <c r="D224" s="75"/>
      <c r="E224" s="75"/>
      <c r="F224" s="75"/>
      <c r="G224" s="75"/>
      <c r="H224" s="76"/>
    </row>
    <row r="225" spans="1:8" s="35" customFormat="1" x14ac:dyDescent="0.3">
      <c r="A225" s="47" t="s">
        <v>161</v>
      </c>
      <c r="B225" s="71" t="s">
        <v>128</v>
      </c>
      <c r="C225" s="72"/>
      <c r="D225" s="72"/>
      <c r="E225" s="72"/>
      <c r="F225" s="72"/>
      <c r="G225" s="72"/>
      <c r="H225" s="73"/>
    </row>
    <row r="226" spans="1:8" s="35" customFormat="1" x14ac:dyDescent="0.3">
      <c r="A226" s="47" t="s">
        <v>161</v>
      </c>
      <c r="B226" s="71" t="s">
        <v>208</v>
      </c>
      <c r="C226" s="72"/>
      <c r="D226" s="72"/>
      <c r="E226" s="72"/>
      <c r="F226" s="72"/>
      <c r="G226" s="72"/>
      <c r="H226" s="73"/>
    </row>
    <row r="227" spans="1:8" s="35" customFormat="1" x14ac:dyDescent="0.3">
      <c r="A227" s="47" t="s">
        <v>161</v>
      </c>
      <c r="B227" s="71" t="s">
        <v>160</v>
      </c>
      <c r="C227" s="72"/>
      <c r="D227" s="72"/>
      <c r="E227" s="72"/>
      <c r="F227" s="72"/>
      <c r="G227" s="72"/>
      <c r="H227" s="73"/>
    </row>
    <row r="228" spans="1:8" s="35" customFormat="1" x14ac:dyDescent="0.3">
      <c r="A228" s="47" t="s">
        <v>161</v>
      </c>
      <c r="B228" s="71" t="s">
        <v>129</v>
      </c>
      <c r="C228" s="72"/>
      <c r="D228" s="72"/>
      <c r="E228" s="72"/>
      <c r="F228" s="72"/>
      <c r="G228" s="72"/>
      <c r="H228" s="73"/>
    </row>
    <row r="229" spans="1:8" s="35" customFormat="1" ht="34.5" customHeight="1" x14ac:dyDescent="0.3">
      <c r="A229" s="47" t="s">
        <v>161</v>
      </c>
      <c r="B229" s="71" t="s">
        <v>162</v>
      </c>
      <c r="C229" s="72"/>
      <c r="D229" s="72"/>
      <c r="E229" s="72"/>
      <c r="F229" s="72"/>
      <c r="G229" s="72"/>
      <c r="H229" s="73"/>
    </row>
    <row r="230" spans="1:8" s="35" customFormat="1" x14ac:dyDescent="0.3">
      <c r="A230" s="47" t="s">
        <v>161</v>
      </c>
      <c r="B230" s="71" t="s">
        <v>130</v>
      </c>
      <c r="C230" s="72"/>
      <c r="D230" s="72"/>
      <c r="E230" s="72"/>
      <c r="F230" s="72"/>
      <c r="G230" s="72"/>
      <c r="H230" s="73"/>
    </row>
    <row r="231" spans="1:8" s="35" customFormat="1" x14ac:dyDescent="0.3">
      <c r="A231" s="47" t="s">
        <v>161</v>
      </c>
      <c r="B231" s="71" t="s">
        <v>252</v>
      </c>
      <c r="C231" s="72"/>
      <c r="D231" s="72"/>
      <c r="E231" s="72"/>
      <c r="F231" s="72"/>
      <c r="G231" s="72"/>
      <c r="H231" s="73"/>
    </row>
    <row r="232" spans="1:8" s="35" customFormat="1" ht="15.75" hidden="1" customHeight="1" x14ac:dyDescent="0.3">
      <c r="A232" s="47" t="s">
        <v>161</v>
      </c>
      <c r="B232" s="71" t="s">
        <v>209</v>
      </c>
      <c r="C232" s="72"/>
      <c r="D232" s="72"/>
      <c r="E232" s="72"/>
      <c r="F232" s="72"/>
      <c r="G232" s="72"/>
      <c r="H232" s="73"/>
    </row>
    <row r="233" spans="1:8" s="35" customFormat="1" ht="36.75" hidden="1" customHeight="1" x14ac:dyDescent="0.3">
      <c r="A233" s="47" t="s">
        <v>161</v>
      </c>
      <c r="B233" s="71" t="s">
        <v>223</v>
      </c>
      <c r="C233" s="72"/>
      <c r="D233" s="72"/>
      <c r="E233" s="72"/>
      <c r="F233" s="72"/>
      <c r="G233" s="72"/>
      <c r="H233" s="73"/>
    </row>
    <row r="234" spans="1:8" s="35" customFormat="1" x14ac:dyDescent="0.3">
      <c r="A234" s="47" t="s">
        <v>161</v>
      </c>
      <c r="B234" s="71" t="s">
        <v>246</v>
      </c>
      <c r="C234" s="72"/>
      <c r="D234" s="72"/>
      <c r="E234" s="72"/>
      <c r="F234" s="72"/>
      <c r="G234" s="72"/>
      <c r="H234" s="73"/>
    </row>
    <row r="235" spans="1:8" s="35" customFormat="1" ht="35.25" customHeight="1" x14ac:dyDescent="0.3">
      <c r="A235" s="47" t="s">
        <v>161</v>
      </c>
      <c r="B235" s="74" t="s">
        <v>251</v>
      </c>
      <c r="C235" s="75"/>
      <c r="D235" s="75"/>
      <c r="E235" s="75"/>
      <c r="F235" s="75"/>
      <c r="G235" s="75"/>
      <c r="H235" s="76"/>
    </row>
    <row r="236" spans="1:8" s="35" customFormat="1" ht="35.25" customHeight="1" x14ac:dyDescent="0.3">
      <c r="A236" s="47" t="s">
        <v>161</v>
      </c>
      <c r="B236" s="74" t="s">
        <v>251</v>
      </c>
      <c r="C236" s="75"/>
      <c r="D236" s="75"/>
      <c r="E236" s="75"/>
      <c r="F236" s="75"/>
      <c r="G236" s="75"/>
      <c r="H236" s="76"/>
    </row>
    <row r="237" spans="1:8" s="35" customFormat="1" x14ac:dyDescent="0.3">
      <c r="A237" s="47" t="s">
        <v>161</v>
      </c>
      <c r="B237" s="74" t="s">
        <v>256</v>
      </c>
      <c r="C237" s="75"/>
      <c r="D237" s="75"/>
      <c r="E237" s="75"/>
      <c r="F237" s="75"/>
      <c r="G237" s="75"/>
      <c r="H237" s="76"/>
    </row>
    <row r="238" spans="1:8" s="35" customFormat="1" x14ac:dyDescent="0.3">
      <c r="A238" s="47" t="s">
        <v>161</v>
      </c>
      <c r="B238" s="74" t="s">
        <v>255</v>
      </c>
      <c r="C238" s="75"/>
      <c r="D238" s="75"/>
      <c r="E238" s="75"/>
      <c r="F238" s="75"/>
      <c r="G238" s="75"/>
      <c r="H238" s="76"/>
    </row>
    <row r="239" spans="1:8" x14ac:dyDescent="0.3">
      <c r="A239" s="179" t="s">
        <v>60</v>
      </c>
      <c r="B239" s="179"/>
      <c r="C239" s="179"/>
      <c r="D239" s="179"/>
      <c r="E239" s="179"/>
      <c r="F239" s="179"/>
      <c r="G239" s="179"/>
      <c r="H239" s="179"/>
    </row>
    <row r="240" spans="1:8" x14ac:dyDescent="0.3">
      <c r="A240" s="91" t="s">
        <v>61</v>
      </c>
      <c r="B240" s="91"/>
      <c r="C240" s="91"/>
      <c r="D240" s="91"/>
      <c r="E240" s="91"/>
      <c r="F240" s="91"/>
      <c r="G240" s="91"/>
      <c r="H240" s="91"/>
    </row>
    <row r="241" spans="1:8" ht="15.75" customHeight="1" x14ac:dyDescent="0.3">
      <c r="A241" s="199" t="s">
        <v>62</v>
      </c>
      <c r="B241" s="199"/>
      <c r="C241" s="199"/>
      <c r="D241" s="199"/>
      <c r="E241" s="199"/>
      <c r="F241" s="199"/>
      <c r="G241" s="199"/>
      <c r="H241" s="199"/>
    </row>
    <row r="242" spans="1:8" x14ac:dyDescent="0.3">
      <c r="A242" s="91" t="s">
        <v>63</v>
      </c>
      <c r="B242" s="91"/>
      <c r="C242" s="91"/>
      <c r="D242" s="91"/>
      <c r="E242" s="91"/>
      <c r="F242" s="91"/>
      <c r="G242" s="91"/>
      <c r="H242" s="91"/>
    </row>
    <row r="243" spans="1:8" x14ac:dyDescent="0.3">
      <c r="A243" s="91" t="s">
        <v>64</v>
      </c>
      <c r="B243" s="91"/>
      <c r="C243" s="91"/>
      <c r="D243" s="91"/>
      <c r="E243" s="91"/>
      <c r="F243" s="91"/>
      <c r="G243" s="91"/>
      <c r="H243" s="91"/>
    </row>
    <row r="244" spans="1:8" x14ac:dyDescent="0.3">
      <c r="A244" s="91" t="s">
        <v>131</v>
      </c>
      <c r="B244" s="91"/>
      <c r="C244" s="91"/>
      <c r="D244" s="91"/>
      <c r="E244" s="91"/>
      <c r="F244" s="91"/>
      <c r="G244" s="91"/>
      <c r="H244" s="91"/>
    </row>
    <row r="245" spans="1:8" x14ac:dyDescent="0.3">
      <c r="A245" s="133" t="s">
        <v>132</v>
      </c>
      <c r="B245" s="133"/>
      <c r="C245" s="133"/>
      <c r="D245" s="133"/>
      <c r="E245" s="133"/>
      <c r="F245" s="133"/>
      <c r="G245" s="133"/>
      <c r="H245" s="133"/>
    </row>
    <row r="246" spans="1:8" x14ac:dyDescent="0.3">
      <c r="A246" s="178" t="s">
        <v>77</v>
      </c>
      <c r="B246" s="178"/>
      <c r="C246" s="178" t="s">
        <v>259</v>
      </c>
      <c r="D246" s="178"/>
      <c r="E246" s="178" t="s">
        <v>107</v>
      </c>
      <c r="F246" s="178"/>
      <c r="G246" s="178" t="s">
        <v>258</v>
      </c>
      <c r="H246" s="178"/>
    </row>
    <row r="247" spans="1:8" x14ac:dyDescent="0.3">
      <c r="A247" s="177" t="s">
        <v>79</v>
      </c>
      <c r="B247" s="177"/>
      <c r="C247" s="177"/>
      <c r="D247" s="177"/>
      <c r="E247" s="177"/>
      <c r="F247" s="177"/>
      <c r="G247" s="177"/>
      <c r="H247" s="177"/>
    </row>
    <row r="248" spans="1:8" x14ac:dyDescent="0.3">
      <c r="A248" s="177"/>
      <c r="B248" s="177"/>
      <c r="C248" s="177"/>
      <c r="D248" s="177"/>
      <c r="E248" s="177"/>
      <c r="F248" s="177"/>
      <c r="G248" s="177"/>
      <c r="H248" s="177"/>
    </row>
    <row r="249" spans="1:8" x14ac:dyDescent="0.3">
      <c r="A249" s="177"/>
      <c r="B249" s="177"/>
      <c r="C249" s="177"/>
      <c r="D249" s="177"/>
      <c r="E249" s="177"/>
      <c r="F249" s="177"/>
      <c r="G249" s="177"/>
      <c r="H249" s="177"/>
    </row>
    <row r="250" spans="1:8" x14ac:dyDescent="0.3">
      <c r="A250" s="177"/>
      <c r="B250" s="177"/>
      <c r="C250" s="177"/>
      <c r="D250" s="177"/>
      <c r="E250" s="177"/>
      <c r="F250" s="177"/>
      <c r="G250" s="177"/>
      <c r="H250" s="177"/>
    </row>
    <row r="251" spans="1:8" x14ac:dyDescent="0.3">
      <c r="A251" s="38" t="s">
        <v>65</v>
      </c>
      <c r="B251" s="39"/>
      <c r="C251" s="39"/>
      <c r="D251" s="38" t="str">
        <f>E8</f>
        <v>Merushikhar</v>
      </c>
      <c r="F251" s="39"/>
      <c r="G251" s="39"/>
      <c r="H251" s="39"/>
    </row>
    <row r="252" spans="1:8" x14ac:dyDescent="0.3">
      <c r="A252" s="39"/>
      <c r="B252" s="39"/>
      <c r="C252" s="39"/>
      <c r="D252" s="39"/>
      <c r="E252" s="39"/>
      <c r="F252" s="39"/>
      <c r="G252" s="39"/>
      <c r="H252" s="39"/>
    </row>
    <row r="253" spans="1:8" x14ac:dyDescent="0.3">
      <c r="A253" s="39"/>
      <c r="B253" s="39"/>
      <c r="C253" s="39"/>
      <c r="D253" s="39"/>
      <c r="E253" s="39"/>
      <c r="F253" s="39"/>
      <c r="G253" s="39"/>
      <c r="H253" s="39"/>
    </row>
    <row r="254" spans="1:8" ht="15" customHeight="1" x14ac:dyDescent="0.3"/>
    <row r="293" spans="1:1" x14ac:dyDescent="0.3">
      <c r="A293" s="41" t="s">
        <v>176</v>
      </c>
    </row>
    <row r="335" spans="1:1" x14ac:dyDescent="0.3">
      <c r="A335" s="41" t="s">
        <v>66</v>
      </c>
    </row>
  </sheetData>
  <mergeCells count="475">
    <mergeCell ref="B237:H237"/>
    <mergeCell ref="B235:H235"/>
    <mergeCell ref="B236:H236"/>
    <mergeCell ref="A118:B118"/>
    <mergeCell ref="C118:D118"/>
    <mergeCell ref="E118:F118"/>
    <mergeCell ref="G118:H118"/>
    <mergeCell ref="G133:H138"/>
    <mergeCell ref="B232:H232"/>
    <mergeCell ref="A215:H215"/>
    <mergeCell ref="A216:B216"/>
    <mergeCell ref="G216:H220"/>
    <mergeCell ref="G210:H214"/>
    <mergeCell ref="A138:B138"/>
    <mergeCell ref="G175:H179"/>
    <mergeCell ref="B231:H231"/>
    <mergeCell ref="B230:H230"/>
    <mergeCell ref="A179:B179"/>
    <mergeCell ref="B222:H222"/>
    <mergeCell ref="B223:H223"/>
    <mergeCell ref="B225:H225"/>
    <mergeCell ref="B226:H226"/>
    <mergeCell ref="G199:H199"/>
    <mergeCell ref="A167:B167"/>
    <mergeCell ref="G146:H150"/>
    <mergeCell ref="A218:B218"/>
    <mergeCell ref="L218:M218"/>
    <mergeCell ref="A219:B219"/>
    <mergeCell ref="L219:M219"/>
    <mergeCell ref="L169:M169"/>
    <mergeCell ref="L161:M161"/>
    <mergeCell ref="A162:B162"/>
    <mergeCell ref="A165:B165"/>
    <mergeCell ref="L165:M165"/>
    <mergeCell ref="G158:H162"/>
    <mergeCell ref="A159:B159"/>
    <mergeCell ref="L159:M159"/>
    <mergeCell ref="C160:F160"/>
    <mergeCell ref="G164:H169"/>
    <mergeCell ref="C167:F167"/>
    <mergeCell ref="A169:B169"/>
    <mergeCell ref="A190:B190"/>
    <mergeCell ref="A187:B187"/>
    <mergeCell ref="A188:B188"/>
    <mergeCell ref="A209:H209"/>
    <mergeCell ref="A210:B210"/>
    <mergeCell ref="G198:H198"/>
    <mergeCell ref="L184:M184"/>
    <mergeCell ref="L183:M183"/>
    <mergeCell ref="L220:M220"/>
    <mergeCell ref="L214:M214"/>
    <mergeCell ref="A212:B212"/>
    <mergeCell ref="L212:M212"/>
    <mergeCell ref="A213:B213"/>
    <mergeCell ref="L213:M213"/>
    <mergeCell ref="A194:B194"/>
    <mergeCell ref="L185:M185"/>
    <mergeCell ref="A199:B199"/>
    <mergeCell ref="A200:B200"/>
    <mergeCell ref="A189:B189"/>
    <mergeCell ref="G190:H190"/>
    <mergeCell ref="G196:H196"/>
    <mergeCell ref="G195:H195"/>
    <mergeCell ref="A206:B206"/>
    <mergeCell ref="C211:F211"/>
    <mergeCell ref="L210:M210"/>
    <mergeCell ref="A211:B211"/>
    <mergeCell ref="L211:M211"/>
    <mergeCell ref="A220:B220"/>
    <mergeCell ref="A214:B214"/>
    <mergeCell ref="L216:M216"/>
    <mergeCell ref="A217:B217"/>
    <mergeCell ref="L217:M217"/>
    <mergeCell ref="A151:H151"/>
    <mergeCell ref="A152:B152"/>
    <mergeCell ref="A153:B153"/>
    <mergeCell ref="A196:B196"/>
    <mergeCell ref="A185:H185"/>
    <mergeCell ref="G194:H194"/>
    <mergeCell ref="G192:H192"/>
    <mergeCell ref="A197:H197"/>
    <mergeCell ref="A191:H191"/>
    <mergeCell ref="G188:H188"/>
    <mergeCell ref="A192:B192"/>
    <mergeCell ref="G184:H184"/>
    <mergeCell ref="A176:B176"/>
    <mergeCell ref="A173:H173"/>
    <mergeCell ref="G152:H156"/>
    <mergeCell ref="A158:B158"/>
    <mergeCell ref="A160:B160"/>
    <mergeCell ref="A156:B156"/>
    <mergeCell ref="A161:B161"/>
    <mergeCell ref="L153:M153"/>
    <mergeCell ref="A154:B154"/>
    <mergeCell ref="L154:M154"/>
    <mergeCell ref="A155:B155"/>
    <mergeCell ref="A157:H157"/>
    <mergeCell ref="L155:M155"/>
    <mergeCell ref="L138:M138"/>
    <mergeCell ref="L162:M162"/>
    <mergeCell ref="A166:B166"/>
    <mergeCell ref="L166:M166"/>
    <mergeCell ref="A164:B164"/>
    <mergeCell ref="L164:M164"/>
    <mergeCell ref="L150:M150"/>
    <mergeCell ref="L156:M156"/>
    <mergeCell ref="A145:H145"/>
    <mergeCell ref="A146:B146"/>
    <mergeCell ref="A150:B150"/>
    <mergeCell ref="C146:F146"/>
    <mergeCell ref="A163:H163"/>
    <mergeCell ref="L152:M152"/>
    <mergeCell ref="B140:B141"/>
    <mergeCell ref="A149:B149"/>
    <mergeCell ref="L158:M158"/>
    <mergeCell ref="L160:M160"/>
    <mergeCell ref="A142:H142"/>
    <mergeCell ref="C140:C141"/>
    <mergeCell ref="A139:H139"/>
    <mergeCell ref="A140:A141"/>
    <mergeCell ref="L167:M167"/>
    <mergeCell ref="A168:B168"/>
    <mergeCell ref="L168:M168"/>
    <mergeCell ref="L179:M179"/>
    <mergeCell ref="L176:M176"/>
    <mergeCell ref="A177:B177"/>
    <mergeCell ref="L177:M177"/>
    <mergeCell ref="A178:B178"/>
    <mergeCell ref="L178:M178"/>
    <mergeCell ref="A172:H172"/>
    <mergeCell ref="A171:H171"/>
    <mergeCell ref="A174:H174"/>
    <mergeCell ref="A175:B175"/>
    <mergeCell ref="L175:M175"/>
    <mergeCell ref="L181:M181"/>
    <mergeCell ref="L182:M182"/>
    <mergeCell ref="A170:H170"/>
    <mergeCell ref="A180:H180"/>
    <mergeCell ref="A181:B181"/>
    <mergeCell ref="G181:H181"/>
    <mergeCell ref="A182:B182"/>
    <mergeCell ref="G182:H182"/>
    <mergeCell ref="A244:H244"/>
    <mergeCell ref="A241:H241"/>
    <mergeCell ref="G201:H201"/>
    <mergeCell ref="A186:B186"/>
    <mergeCell ref="B224:H224"/>
    <mergeCell ref="G204:H204"/>
    <mergeCell ref="G202:H202"/>
    <mergeCell ref="A221:H221"/>
    <mergeCell ref="A201:B201"/>
    <mergeCell ref="A202:B202"/>
    <mergeCell ref="G200:H200"/>
    <mergeCell ref="A184:B184"/>
    <mergeCell ref="A193:B193"/>
    <mergeCell ref="G187:H187"/>
    <mergeCell ref="A183:B183"/>
    <mergeCell ref="G183:H183"/>
    <mergeCell ref="A114:B114"/>
    <mergeCell ref="D140:D141"/>
    <mergeCell ref="E140:E141"/>
    <mergeCell ref="G140:H141"/>
    <mergeCell ref="A88:B88"/>
    <mergeCell ref="A89:B89"/>
    <mergeCell ref="A90:B90"/>
    <mergeCell ref="F95:H95"/>
    <mergeCell ref="G110:H110"/>
    <mergeCell ref="A130:B130"/>
    <mergeCell ref="A131:B131"/>
    <mergeCell ref="A123:H123"/>
    <mergeCell ref="A132:H132"/>
    <mergeCell ref="E84:F93"/>
    <mergeCell ref="F94:H94"/>
    <mergeCell ref="F99:H99"/>
    <mergeCell ref="A129:B129"/>
    <mergeCell ref="A105:E105"/>
    <mergeCell ref="G117:H117"/>
    <mergeCell ref="C111:D111"/>
    <mergeCell ref="E111:F111"/>
    <mergeCell ref="G111:H111"/>
    <mergeCell ref="A112:B112"/>
    <mergeCell ref="C112:D112"/>
    <mergeCell ref="A133:B133"/>
    <mergeCell ref="A134:B134"/>
    <mergeCell ref="A135:B135"/>
    <mergeCell ref="A136:B136"/>
    <mergeCell ref="A137:B137"/>
    <mergeCell ref="G125:H131"/>
    <mergeCell ref="G52:H52"/>
    <mergeCell ref="E115:F115"/>
    <mergeCell ref="G115:H115"/>
    <mergeCell ref="F102:H102"/>
    <mergeCell ref="C109:D109"/>
    <mergeCell ref="C52:E52"/>
    <mergeCell ref="E114:F114"/>
    <mergeCell ref="C121:C122"/>
    <mergeCell ref="A120:H120"/>
    <mergeCell ref="B121:B122"/>
    <mergeCell ref="A121:A122"/>
    <mergeCell ref="A59:C59"/>
    <mergeCell ref="A60:C60"/>
    <mergeCell ref="D59:H59"/>
    <mergeCell ref="A78:B78"/>
    <mergeCell ref="A79:B79"/>
    <mergeCell ref="D60:H60"/>
    <mergeCell ref="A71:B71"/>
    <mergeCell ref="E42:H42"/>
    <mergeCell ref="A42:D42"/>
    <mergeCell ref="A80:B80"/>
    <mergeCell ref="C80:H80"/>
    <mergeCell ref="A75:B75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A49:B49"/>
    <mergeCell ref="C49:E49"/>
    <mergeCell ref="A43:D43"/>
    <mergeCell ref="E43:H43"/>
    <mergeCell ref="A247:H250"/>
    <mergeCell ref="A246:B246"/>
    <mergeCell ref="E246:F246"/>
    <mergeCell ref="C246:D246"/>
    <mergeCell ref="G246:H246"/>
    <mergeCell ref="A245:H245"/>
    <mergeCell ref="A243:H243"/>
    <mergeCell ref="B229:H229"/>
    <mergeCell ref="A195:B195"/>
    <mergeCell ref="G206:H206"/>
    <mergeCell ref="G205:H205"/>
    <mergeCell ref="A203:H203"/>
    <mergeCell ref="A204:B204"/>
    <mergeCell ref="A205:B205"/>
    <mergeCell ref="A208:B208"/>
    <mergeCell ref="G208:H208"/>
    <mergeCell ref="A207:B207"/>
    <mergeCell ref="G207:H207"/>
    <mergeCell ref="A242:H242"/>
    <mergeCell ref="A198:B198"/>
    <mergeCell ref="A239:H239"/>
    <mergeCell ref="A240:H240"/>
    <mergeCell ref="B233:H233"/>
    <mergeCell ref="B228:H22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0:H10"/>
    <mergeCell ref="A12:D12"/>
    <mergeCell ref="E12:H12"/>
    <mergeCell ref="A22:D23"/>
    <mergeCell ref="E22:H23"/>
    <mergeCell ref="E14:H14"/>
    <mergeCell ref="A15:B15"/>
    <mergeCell ref="C15:H15"/>
    <mergeCell ref="C16:H16"/>
    <mergeCell ref="A11:D11"/>
    <mergeCell ref="E11:H11"/>
    <mergeCell ref="A16:B16"/>
    <mergeCell ref="A13:D13"/>
    <mergeCell ref="E13:H13"/>
    <mergeCell ref="A14:D14"/>
    <mergeCell ref="A10:D10"/>
    <mergeCell ref="A17:B17"/>
    <mergeCell ref="C17:H17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C38:H38"/>
    <mergeCell ref="A41:D41"/>
    <mergeCell ref="E41:H41"/>
    <mergeCell ref="F33:H33"/>
    <mergeCell ref="F34:H34"/>
    <mergeCell ref="A40:H40"/>
    <mergeCell ref="F36:H36"/>
    <mergeCell ref="A38:B38"/>
    <mergeCell ref="A39:B39"/>
    <mergeCell ref="C39:H39"/>
    <mergeCell ref="E44:H44"/>
    <mergeCell ref="E45:H45"/>
    <mergeCell ref="E46:H46"/>
    <mergeCell ref="A44:D44"/>
    <mergeCell ref="A77:B77"/>
    <mergeCell ref="A45:D45"/>
    <mergeCell ref="A46:D46"/>
    <mergeCell ref="A47:H47"/>
    <mergeCell ref="D57:H57"/>
    <mergeCell ref="A57:C57"/>
    <mergeCell ref="G50:H50"/>
    <mergeCell ref="A51:B52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E70:F79"/>
    <mergeCell ref="G70:H79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L149:M149"/>
    <mergeCell ref="L146:M146"/>
    <mergeCell ref="A147:B147"/>
    <mergeCell ref="L147:M147"/>
    <mergeCell ref="A148:B148"/>
    <mergeCell ref="L148:M148"/>
    <mergeCell ref="C115:D115"/>
    <mergeCell ref="A144:H144"/>
    <mergeCell ref="A143:H143"/>
    <mergeCell ref="L129:M129"/>
    <mergeCell ref="L130:M130"/>
    <mergeCell ref="L131:M131"/>
    <mergeCell ref="L133:M133"/>
    <mergeCell ref="L134:M134"/>
    <mergeCell ref="L135:M135"/>
    <mergeCell ref="L136:M136"/>
    <mergeCell ref="L128:M128"/>
    <mergeCell ref="L127:M127"/>
    <mergeCell ref="L126:M126"/>
    <mergeCell ref="L125:M125"/>
    <mergeCell ref="L137:M137"/>
    <mergeCell ref="A128:B128"/>
    <mergeCell ref="A124:H124"/>
    <mergeCell ref="A119:H119"/>
    <mergeCell ref="E121:E122"/>
    <mergeCell ref="G121:H122"/>
    <mergeCell ref="F107:H107"/>
    <mergeCell ref="A115:B115"/>
    <mergeCell ref="A82:B82"/>
    <mergeCell ref="C82:H82"/>
    <mergeCell ref="A83:B83"/>
    <mergeCell ref="E83:F83"/>
    <mergeCell ref="G83:H83"/>
    <mergeCell ref="A100:E100"/>
    <mergeCell ref="F100:H100"/>
    <mergeCell ref="A101:E101"/>
    <mergeCell ref="A103:E103"/>
    <mergeCell ref="F97:H97"/>
    <mergeCell ref="A102:E102"/>
    <mergeCell ref="A97:E97"/>
    <mergeCell ref="A94:E94"/>
    <mergeCell ref="F98:H98"/>
    <mergeCell ref="A99:E99"/>
    <mergeCell ref="F101:H101"/>
    <mergeCell ref="A95:E95"/>
    <mergeCell ref="A84:B84"/>
    <mergeCell ref="F105:H105"/>
    <mergeCell ref="F103:H103"/>
    <mergeCell ref="A104:E104"/>
    <mergeCell ref="C110:D110"/>
    <mergeCell ref="E110:F110"/>
    <mergeCell ref="C117:D117"/>
    <mergeCell ref="F104:H104"/>
    <mergeCell ref="E109:F109"/>
    <mergeCell ref="A109:B109"/>
    <mergeCell ref="G116:H116"/>
    <mergeCell ref="C114:D114"/>
    <mergeCell ref="A117:B117"/>
    <mergeCell ref="E117:F117"/>
    <mergeCell ref="A110:A111"/>
    <mergeCell ref="A113:H113"/>
    <mergeCell ref="G114:H114"/>
    <mergeCell ref="E112:F112"/>
    <mergeCell ref="G112:H112"/>
    <mergeCell ref="A116:B116"/>
    <mergeCell ref="C116:D116"/>
    <mergeCell ref="E116:F116"/>
    <mergeCell ref="A108:H108"/>
    <mergeCell ref="A106:E106"/>
    <mergeCell ref="F106:H106"/>
    <mergeCell ref="A107:E107"/>
    <mergeCell ref="G109:H109"/>
    <mergeCell ref="I58:M58"/>
    <mergeCell ref="C216:F216"/>
    <mergeCell ref="B234:H234"/>
    <mergeCell ref="B238:H238"/>
    <mergeCell ref="A48:B48"/>
    <mergeCell ref="C48:H48"/>
    <mergeCell ref="B227:H227"/>
    <mergeCell ref="G84:H93"/>
    <mergeCell ref="A85:B85"/>
    <mergeCell ref="A86:B86"/>
    <mergeCell ref="A87:B87"/>
    <mergeCell ref="F96:H96"/>
    <mergeCell ref="A96:E96"/>
    <mergeCell ref="G193:H193"/>
    <mergeCell ref="G189:H189"/>
    <mergeCell ref="G186:H186"/>
    <mergeCell ref="D121:D122"/>
    <mergeCell ref="A98:E98"/>
    <mergeCell ref="A125:B125"/>
    <mergeCell ref="A126:B126"/>
    <mergeCell ref="A127:B127"/>
    <mergeCell ref="A91:B91"/>
    <mergeCell ref="A92:B92"/>
    <mergeCell ref="A93:B93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220" max="7" man="1"/>
    <brk id="250" max="16383" man="1"/>
    <brk id="292" max="16383" man="1"/>
    <brk id="33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3" t="s">
        <v>108</v>
      </c>
      <c r="C3" s="203"/>
      <c r="D3" s="203"/>
      <c r="E3" s="203"/>
      <c r="F3" s="203"/>
      <c r="G3" s="203"/>
      <c r="H3" s="203"/>
    </row>
    <row r="4" spans="1:9" x14ac:dyDescent="0.3">
      <c r="A4" s="2"/>
      <c r="B4" s="3" t="s">
        <v>109</v>
      </c>
      <c r="C4" s="3" t="s">
        <v>110</v>
      </c>
      <c r="D4" s="3" t="s">
        <v>68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2025-08-14T12:15:16Z</cp:lastPrinted>
  <dcterms:created xsi:type="dcterms:W3CDTF">2019-07-16T09:29:46Z</dcterms:created>
  <dcterms:modified xsi:type="dcterms:W3CDTF">2025-08-14T12:21:45Z</dcterms:modified>
</cp:coreProperties>
</file>