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9CB956A5-6A8C-492C-B810-BF010226B1BD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4" i="1" l="1"/>
  <c r="F214" i="1" s="1"/>
  <c r="D213" i="1"/>
  <c r="F213" i="1" s="1"/>
  <c r="D212" i="1"/>
  <c r="F212" i="1" s="1"/>
  <c r="D211" i="1"/>
  <c r="D209" i="1"/>
  <c r="F209" i="1" s="1"/>
  <c r="D208" i="1"/>
  <c r="F208" i="1" s="1"/>
  <c r="D207" i="1"/>
  <c r="F207" i="1" s="1"/>
  <c r="D204" i="1"/>
  <c r="F204" i="1" s="1"/>
  <c r="D203" i="1"/>
  <c r="F203" i="1" s="1"/>
  <c r="D202" i="1"/>
  <c r="F202" i="1" s="1"/>
  <c r="D201" i="1"/>
  <c r="F201" i="1" s="1"/>
  <c r="D199" i="1"/>
  <c r="F199" i="1" s="1"/>
  <c r="D198" i="1"/>
  <c r="F198" i="1" s="1"/>
  <c r="D197" i="1"/>
  <c r="F197" i="1" s="1"/>
  <c r="D196" i="1"/>
  <c r="F196" i="1" s="1"/>
  <c r="D194" i="1"/>
  <c r="F194" i="1" s="1"/>
  <c r="D193" i="1"/>
  <c r="F193" i="1" s="1"/>
  <c r="D192" i="1"/>
  <c r="F192" i="1" s="1"/>
  <c r="D191" i="1"/>
  <c r="F191" i="1" s="1"/>
  <c r="D188" i="1"/>
  <c r="F188" i="1" s="1"/>
  <c r="D187" i="1"/>
  <c r="F187" i="1" s="1"/>
  <c r="D186" i="1"/>
  <c r="F186" i="1" s="1"/>
  <c r="D185" i="1"/>
  <c r="F185" i="1" s="1"/>
  <c r="D183" i="1"/>
  <c r="F183" i="1" s="1"/>
  <c r="D182" i="1"/>
  <c r="F182" i="1" s="1"/>
  <c r="D181" i="1"/>
  <c r="F181" i="1" s="1"/>
  <c r="D180" i="1"/>
  <c r="F180" i="1" s="1"/>
  <c r="D178" i="1"/>
  <c r="D177" i="1"/>
  <c r="F177" i="1" s="1"/>
  <c r="D176" i="1"/>
  <c r="F176" i="1" s="1"/>
  <c r="D169" i="1"/>
  <c r="F169" i="1" s="1"/>
  <c r="D168" i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D156" i="1"/>
  <c r="D155" i="1"/>
  <c r="D154" i="1"/>
  <c r="D153" i="1"/>
  <c r="D152" i="1"/>
  <c r="D151" i="1"/>
  <c r="D150" i="1"/>
  <c r="D149" i="1"/>
  <c r="D148" i="1"/>
  <c r="D147" i="1"/>
  <c r="D145" i="1"/>
  <c r="F145" i="1" s="1"/>
  <c r="D144" i="1"/>
  <c r="F144" i="1" s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I211" i="1"/>
  <c r="F211" i="1"/>
  <c r="F178" i="1"/>
  <c r="G211" i="1"/>
  <c r="G212" i="1" s="1"/>
  <c r="G213" i="1" s="1"/>
  <c r="G214" i="1" s="1"/>
  <c r="G206" i="1"/>
  <c r="G207" i="1" s="1"/>
  <c r="G208" i="1" s="1"/>
  <c r="G209" i="1" s="1"/>
  <c r="G201" i="1"/>
  <c r="G202" i="1" s="1"/>
  <c r="G203" i="1" s="1"/>
  <c r="G204" i="1" s="1"/>
  <c r="G196" i="1"/>
  <c r="G197" i="1" s="1"/>
  <c r="G198" i="1" s="1"/>
  <c r="G199" i="1" s="1"/>
  <c r="G190" i="1"/>
  <c r="G185" i="1"/>
  <c r="G186" i="1" s="1"/>
  <c r="G187" i="1" s="1"/>
  <c r="G188" i="1" s="1"/>
  <c r="I178" i="1"/>
  <c r="G180" i="1"/>
  <c r="G181" i="1" s="1"/>
  <c r="G182" i="1" s="1"/>
  <c r="G183" i="1" s="1"/>
  <c r="G174" i="1"/>
  <c r="G175" i="1" s="1"/>
  <c r="G176" i="1" s="1"/>
  <c r="G177" i="1" s="1"/>
  <c r="G178" i="1" s="1"/>
  <c r="I166" i="1"/>
  <c r="I120" i="1"/>
  <c r="E98" i="1" l="1"/>
  <c r="E97" i="1"/>
  <c r="E102" i="1"/>
  <c r="E103" i="1" s="1"/>
  <c r="G102" i="1"/>
  <c r="G103" i="1" s="1"/>
  <c r="C97" i="1"/>
  <c r="C102" i="1"/>
  <c r="C103" i="1" s="1"/>
  <c r="C98" i="1"/>
  <c r="E7" i="1"/>
  <c r="I101" i="1"/>
  <c r="I102" i="1" s="1"/>
  <c r="I97" i="1"/>
  <c r="I100" i="1" s="1"/>
  <c r="D270" i="1"/>
  <c r="F270" i="1" s="1"/>
  <c r="D269" i="1"/>
  <c r="F269" i="1" s="1"/>
  <c r="D268" i="1"/>
  <c r="F268" i="1" s="1"/>
  <c r="D267" i="1"/>
  <c r="F267" i="1" s="1"/>
  <c r="D263" i="1"/>
  <c r="D262" i="1"/>
  <c r="D261" i="1"/>
  <c r="D260" i="1"/>
  <c r="D258" i="1"/>
  <c r="F258" i="1" s="1"/>
  <c r="D257" i="1"/>
  <c r="F257" i="1" s="1"/>
  <c r="D256" i="1"/>
  <c r="F256" i="1" s="1"/>
  <c r="D253" i="1"/>
  <c r="F253" i="1" s="1"/>
  <c r="D251" i="1"/>
  <c r="D250" i="1"/>
  <c r="D249" i="1"/>
  <c r="D246" i="1"/>
  <c r="D244" i="1"/>
  <c r="D243" i="1"/>
  <c r="D242" i="1"/>
  <c r="D241" i="1"/>
  <c r="D240" i="1"/>
  <c r="D239" i="1"/>
  <c r="D237" i="1"/>
  <c r="D236" i="1"/>
  <c r="D235" i="1"/>
  <c r="D234" i="1"/>
  <c r="D233" i="1"/>
  <c r="D232" i="1"/>
  <c r="D230" i="1"/>
  <c r="D229" i="1"/>
  <c r="D228" i="1"/>
  <c r="D227" i="1"/>
  <c r="D225" i="1"/>
  <c r="D224" i="1"/>
  <c r="D222" i="1"/>
  <c r="D221" i="1"/>
  <c r="D220" i="1"/>
  <c r="G253" i="1"/>
  <c r="G267" i="1"/>
  <c r="E99" i="1" l="1"/>
  <c r="E108" i="1" s="1"/>
  <c r="C99" i="1"/>
  <c r="C108" i="1" s="1"/>
  <c r="C106" i="1"/>
  <c r="E106" i="1"/>
  <c r="F263" i="1"/>
  <c r="F262" i="1"/>
  <c r="F261" i="1"/>
  <c r="G260" i="1"/>
  <c r="F260" i="1"/>
  <c r="F251" i="1"/>
  <c r="F244" i="1"/>
  <c r="F237" i="1"/>
  <c r="C107" i="1" l="1"/>
  <c r="E107" i="1"/>
  <c r="F230" i="1"/>
  <c r="F229" i="1"/>
  <c r="F222" i="1"/>
  <c r="F221" i="1"/>
  <c r="F220" i="1"/>
  <c r="F168" i="1"/>
  <c r="F157" i="1"/>
  <c r="F156" i="1"/>
  <c r="F155" i="1"/>
  <c r="F154" i="1"/>
  <c r="F153" i="1"/>
  <c r="F152" i="1"/>
  <c r="F151" i="1"/>
  <c r="F150" i="1"/>
  <c r="F149" i="1"/>
  <c r="F148" i="1"/>
  <c r="F147" i="1"/>
  <c r="G168" i="1"/>
  <c r="G147" i="1"/>
  <c r="G98" i="1" l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Z12" i="1" l="1"/>
  <c r="I14" i="1"/>
  <c r="F115" i="1" l="1"/>
  <c r="E43" i="1" l="1"/>
  <c r="E44" i="1" s="1"/>
  <c r="C15" i="1" l="1"/>
  <c r="E30" i="1" l="1"/>
  <c r="F217" i="1" l="1"/>
  <c r="F218" i="1"/>
  <c r="F219" i="1"/>
  <c r="A217" i="1"/>
  <c r="A218" i="1" s="1"/>
  <c r="A219" i="1" s="1"/>
  <c r="G216" i="1"/>
  <c r="A222" i="1" l="1"/>
  <c r="F94" i="1"/>
  <c r="F116" i="1" l="1"/>
  <c r="F117" i="1"/>
  <c r="F118" i="1"/>
  <c r="G97" i="1" l="1"/>
  <c r="G99" i="1" s="1"/>
  <c r="G108" i="1" s="1"/>
  <c r="B276" i="1"/>
  <c r="F250" i="1" l="1"/>
  <c r="F249" i="1"/>
  <c r="F246" i="1"/>
  <c r="F243" i="1"/>
  <c r="F242" i="1"/>
  <c r="F241" i="1"/>
  <c r="F240" i="1"/>
  <c r="F239" i="1"/>
  <c r="F236" i="1"/>
  <c r="J97" i="1" s="1"/>
  <c r="F235" i="1"/>
  <c r="F234" i="1"/>
  <c r="F233" i="1"/>
  <c r="F232" i="1"/>
  <c r="F228" i="1"/>
  <c r="F227" i="1"/>
  <c r="F225" i="1"/>
  <c r="F224" i="1"/>
  <c r="G106" i="1" l="1"/>
  <c r="B277" i="1"/>
  <c r="G107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01" i="1"/>
  <c r="G246" i="1"/>
  <c r="G239" i="1"/>
  <c r="G232" i="1"/>
  <c r="G233" i="1" s="1"/>
  <c r="G234" i="1" s="1"/>
  <c r="G235" i="1" s="1"/>
  <c r="G236" i="1" s="1"/>
  <c r="G237" i="1" s="1"/>
  <c r="G224" i="1"/>
  <c r="A225" i="1"/>
  <c r="A226" i="1" s="1"/>
  <c r="A227" i="1" s="1"/>
  <c r="A228" i="1" s="1"/>
  <c r="A229" i="1" s="1"/>
  <c r="A230" i="1" s="1"/>
  <c r="G115" i="1"/>
  <c r="C66" i="1"/>
  <c r="B67" i="1" s="1"/>
  <c r="D55" i="1"/>
  <c r="G50" i="1"/>
  <c r="C50" i="1"/>
  <c r="E27" i="1"/>
  <c r="E25" i="1"/>
  <c r="E3" i="1"/>
  <c r="D60" i="1" l="1"/>
  <c r="H67" i="1"/>
  <c r="D79" i="1" l="1"/>
  <c r="D77" i="1"/>
  <c r="D76" i="1"/>
  <c r="D73" i="1"/>
  <c r="D75" i="1"/>
  <c r="J72" i="1"/>
  <c r="J73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8" i="1" l="1"/>
  <c r="J79" i="1" l="1"/>
  <c r="C71" i="1" s="1"/>
  <c r="G70" i="1" s="1"/>
  <c r="D64" i="1" s="1"/>
  <c r="D65" i="1" s="1"/>
  <c r="E70" i="1" l="1"/>
  <c r="D71" i="1"/>
  <c r="I67" i="1" s="1"/>
  <c r="I68" i="1" s="1"/>
  <c r="J67" i="1"/>
  <c r="F65" i="1"/>
  <c r="I66" i="1" l="1"/>
  <c r="C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<sst xmlns="http://schemas.openxmlformats.org/spreadsheetml/2006/main" count="680" uniqueCount="321">
  <si>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</si>
  <si>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</si>
  <si>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</si>
  <si>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</si>
  <si>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</si>
  <si>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</si>
  <si>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</si>
  <si>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</si>
  <si>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</si>
  <si>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</si>
  <si>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</si>
  <si>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</si>
  <si>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</si>
  <si>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</si>
  <si>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</si>
  <si>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</si>
  <si>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</si>
  <si>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</si>
  <si>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</si>
  <si>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</si>
  <si>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</si>
  <si>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</si>
  <si>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</si>
  <si>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</si>
  <si>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</si>
  <si>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</si>
  <si>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</si>
  <si>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</si>
  <si>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</si>
  <si>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</si>
  <si>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</si>
  <si>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</si>
  <si>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</si>
  <si>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</si>
  <si>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</si>
  <si>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</si>
  <si>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</si>
  <si>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</si>
  <si>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</si>
  <si>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</si>
  <si>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</si>
  <si>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</si>
  <si>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</si>
  <si>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</si>
  <si>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</si>
  <si>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</si>
  <si>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</si>
  <si>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</si>
  <si>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</si>
  <si>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</si>
  <si>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</si>
  <si>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</si>
  <si>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</si>
  <si>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</si>
  <si>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</si>
  <si>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</si>
  <si>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</si>
  <si>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</si>
  <si>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</si>
  <si>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</si>
  <si>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</si>
  <si>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</si>
  <si>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</si>
  <si>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</si>
  <si>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</si>
  <si>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</si>
  <si>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</si>
  <si>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</si>
  <si>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</si>
  <si>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</si>
  <si>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</si>
  <si>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</si>
  <si>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</si>
  <si>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</si>
  <si>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</si>
  <si>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</si>
  <si>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</si>
  <si>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</si>
  <si>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</si>
  <si>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</si>
  <si>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</si>
  <si>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</si>
  <si>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</si>
  <si>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</si>
  <si>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</si>
  <si>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</si>
  <si>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</si>
  <si>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</si>
  <si>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</si>
  <si>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</si>
  <si>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</si>
  <si>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</si>
  <si>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</si>
  <si>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</si>
  <si>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</si>
  <si>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</si>
  <si>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</si>
  <si>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</si>
  <si>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</si>
  <si>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</si>
  <si>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</si>
  <si>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</si>
  <si>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</si>
  <si>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</si>
  <si>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</si>
  <si>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</si>
  <si>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</si>
  <si>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</si>
  <si>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</si>
  <si>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</si>
  <si>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</si>
  <si>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</si>
  <si>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</si>
  <si>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</si>
  <si>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</si>
  <si>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</si>
  <si>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</si>
  <si>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</si>
  <si>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</si>
  <si>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</si>
  <si>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</si>
  <si>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</si>
  <si>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</si>
  <si>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</si>
  <si>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</si>
  <si>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</si>
  <si>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</si>
  <si>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</si>
  <si>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</si>
  <si>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</si>
  <si>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</si>
  <si>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</si>
  <si>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</si>
  <si>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</si>
  <si>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</si>
  <si>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</si>
  <si>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</si>
  <si>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</si>
  <si>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</si>
  <si>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</si>
  <si>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</si>
  <si>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</si>
  <si>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</si>
  <si>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</si>
  <si>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</si>
  <si>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</si>
  <si>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</si>
  <si>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</si>
  <si>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</si>
  <si>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</si>
  <si>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</si>
  <si>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</si>
  <si>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</si>
  <si>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</si>
  <si>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</si>
  <si>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</si>
  <si>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</si>
  <si>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</si>
  <si>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</si>
  <si>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</si>
  <si>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</si>
  <si>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</si>
  <si>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</si>
  <si>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</si>
  <si>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</si>
  <si>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</si>
  <si>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</si>
  <si>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</si>
  <si>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</si>
  <si>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</si>
  <si>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</si>
  <si>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</si>
  <si>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</si>
  <si>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</si>
  <si>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</si>
  <si>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</si>
  <si>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</si>
  <si>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</si>
  <si>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</si>
  <si>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</si>
  <si>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</si>
  <si>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</si>
  <si>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</si>
  <si>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</si>
  <si>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</si>
  <si>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</si>
  <si>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</si>
  <si>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</si>
  <si>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</si>
  <si>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</si>
  <si>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</si>
  <si>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</si>
  <si>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</si>
  <si>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</si>
  <si>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</si>
  <si>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</si>
  <si>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</si>
  <si>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</si>
  <si>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</si>
  <si>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</si>
  <si>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</si>
  <si>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</si>
  <si>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</si>
  <si>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</si>
  <si>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</si>
  <si>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</si>
  <si>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</si>
  <si>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</si>
  <si>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</si>
  <si>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</si>
  <si>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</si>
  <si>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</si>
  <si>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</si>
  <si>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</si>
  <si>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</si>
  <si>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</si>
  <si>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</si>
  <si>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</si>
  <si>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</si>
  <si>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</si>
  <si>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</si>
  <si>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</si>
  <si>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</si>
  <si>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</si>
  <si>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</si>
  <si>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</si>
  <si>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</si>
  <si>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</si>
  <si>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</si>
  <si>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</si>
  <si>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</si>
  <si>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</si>
  <si>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Approved Plans, CC, Sale Plans, Cost Sheet</t>
  </si>
  <si>
    <t>P51800052152</t>
  </si>
  <si>
    <t>Estella</t>
  </si>
  <si>
    <t>87B, 87B/1 to 21</t>
  </si>
  <si>
    <t>Malad</t>
  </si>
  <si>
    <t>Slum Rehabilitation Authority (SRA)</t>
  </si>
  <si>
    <t>R-S/PVT/0088/20220719/AP/C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</si>
  <si>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</si>
  <si>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Landscaping &amp; Tree, Sewage Treatment, Fire Fighting System, Storm Water Drains</t>
  </si>
  <si>
    <t>Shop</t>
  </si>
  <si>
    <t>Basement Floor for Parking</t>
  </si>
  <si>
    <t>1B+ Gr + 1st to 21st Floor</t>
  </si>
  <si>
    <t>Mathuradas Road</t>
  </si>
  <si>
    <t>https://goo.gl/maps/72zz9W25FaNRDq279</t>
  </si>
  <si>
    <t>19.203131, 72.846491</t>
  </si>
  <si>
    <t xml:space="preserve">Name / No of Proposed Building </t>
  </si>
  <si>
    <t>Codeword Upgrade</t>
  </si>
  <si>
    <t xml:space="preserve">Road </t>
  </si>
  <si>
    <t>Buildings</t>
  </si>
  <si>
    <t>Internal Road</t>
  </si>
  <si>
    <t>0.750 KM from Kandivali Railway Station</t>
  </si>
  <si>
    <t>Kandivali  (West)</t>
  </si>
  <si>
    <t>18.30 M.W Mathuradas Road</t>
  </si>
  <si>
    <t>Other Plot</t>
  </si>
  <si>
    <t>12.44 M Wide Road</t>
  </si>
  <si>
    <t>Sale</t>
  </si>
  <si>
    <t>Ground Floor for Commercial &amp; Parking, Meter Room</t>
  </si>
  <si>
    <t>Service Floor Area in Between 2nd &amp; 3rd Floor</t>
  </si>
  <si>
    <t>MP Room</t>
  </si>
  <si>
    <t>1BHK</t>
  </si>
  <si>
    <t>Society Office</t>
  </si>
  <si>
    <t>Balwadi</t>
  </si>
  <si>
    <t>Welfare Center</t>
  </si>
  <si>
    <t>Library</t>
  </si>
  <si>
    <t>-</t>
  </si>
  <si>
    <t>PTC</t>
  </si>
  <si>
    <t>Health Center</t>
  </si>
  <si>
    <t>2BHK</t>
  </si>
  <si>
    <t>Refuge Area</t>
  </si>
  <si>
    <t>15th Floor (Part Terrace Area)</t>
  </si>
  <si>
    <t>18th Floor for Fitness Center, Terrcae Area &amp; Society Office</t>
  </si>
  <si>
    <t>Commercial Area Details : Sale</t>
  </si>
  <si>
    <t>Residential Area Details : Sale</t>
  </si>
  <si>
    <t>Flats</t>
  </si>
  <si>
    <t>Residential Area Details : PTC</t>
  </si>
  <si>
    <t>Terrace Area</t>
  </si>
  <si>
    <t>Shops</t>
  </si>
  <si>
    <t>CC are taken from the RERA site.</t>
  </si>
  <si>
    <t>Cost Sheet</t>
  </si>
  <si>
    <t>Sheet</t>
  </si>
  <si>
    <t>Recommended rate of the Shop Per Sq. Ft. (Ground Floor)</t>
  </si>
  <si>
    <t>Terrace Area @ 15th Floor</t>
  </si>
  <si>
    <t>1st Floor</t>
  </si>
  <si>
    <t xml:space="preserve">2nd Floor </t>
  </si>
  <si>
    <t xml:space="preserve">3rd Floor for Residential </t>
  </si>
  <si>
    <t xml:space="preserve">4th Floor </t>
  </si>
  <si>
    <t>5th Floor</t>
  </si>
  <si>
    <t>6th &amp; 8th to 13th Floor</t>
  </si>
  <si>
    <t>7th Floor for Part Refuge Area</t>
  </si>
  <si>
    <t xml:space="preserve">14th Floor for Part Refuge Area </t>
  </si>
  <si>
    <t xml:space="preserve">16th &amp; 17th Floor </t>
  </si>
  <si>
    <t>The parking tower is located adjacent to the building.</t>
  </si>
  <si>
    <t>R-S/PVT/0088/20220719/AP/COM</t>
  </si>
  <si>
    <t>Office</t>
  </si>
  <si>
    <t>3rd Floor for Residential, Society Office &amp; Fitness Center</t>
  </si>
  <si>
    <t>Fitness Center &amp; Society Office</t>
  </si>
  <si>
    <t>3BHK</t>
  </si>
  <si>
    <t>5th &amp; 6th Floor</t>
  </si>
  <si>
    <t>7th Floor (Part Refuge Area)</t>
  </si>
  <si>
    <t>2.5BHK</t>
  </si>
  <si>
    <t>8th to 11th Floor</t>
  </si>
  <si>
    <t>12th, 13th &amp; 15th to 19th Floor</t>
  </si>
  <si>
    <t>14th Floor (Part Refuge Area)</t>
  </si>
  <si>
    <t>20th &amp; 21st Floor</t>
  </si>
  <si>
    <t>Sale Flats - 74, Sale Shops - 30, Sale Office - 23</t>
  </si>
  <si>
    <t>We have updated latest approved floor plans &amp; CC (On 10/04/2024).</t>
  </si>
  <si>
    <t>We considered Gross carpet area = Net carpet.</t>
  </si>
  <si>
    <t>Praful CHS</t>
  </si>
  <si>
    <t>Shreeji Krupa Building</t>
  </si>
  <si>
    <t>This CC is further extended upto full ht of PTC Component &amp; Gr. + 1st (Pt) upper floor with brickwork &amp; RCC framework only from 1st (Pt) to 18th (Pt) upper floors for Sale component as per approved plan dated 05/12/2022.</t>
  </si>
  <si>
    <t>V City Builders &amp; Developers LLP</t>
  </si>
  <si>
    <t>Miss. Heena : 9321914588</t>
  </si>
  <si>
    <t>Recommended rate of the Office Per Sq. Ft. (1st &amp; 2nd Floor)</t>
  </si>
  <si>
    <t xml:space="preserve">Sanket Salvi </t>
  </si>
  <si>
    <t>Mr. Shraddha Suthar 9619641005</t>
  </si>
  <si>
    <t>As per RERA - 30/06/2025</t>
  </si>
  <si>
    <t>As per RERA, completion period of project Estella is expired on Date 30/06/2025 but still project is under construction</t>
  </si>
  <si>
    <t>Pranita Mhatre</t>
  </si>
  <si>
    <t>Construction work is in process at the time of Visit (Slow Speed). Labour Found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</si>
</sst>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  <numFmt numFmtId="169" formatCode="[&gt;0]0&quot;BHK&quot;;&quot;1RK&quot;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1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9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7" fillId="3" borderId="0" xfId="1" applyNumberFormat="1" applyFont="1" applyFill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>
      <alignment horizontal="center" vertical="center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20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9" fontId="6" fillId="0" borderId="7" xfId="1" applyNumberFormat="1" applyFont="1" applyBorder="1" applyAlignment="1" applyProtection="1">
      <alignment horizontal="center" vertical="center" wrapText="1"/>
      <protection locked="0"/>
    </xf>
    <xf numFmtId="169" fontId="6" fillId="0" borderId="20" xfId="1" applyNumberFormat="1" applyFont="1" applyBorder="1" applyAlignment="1" applyProtection="1">
      <alignment horizontal="center" vertical="center" wrapText="1"/>
      <protection locked="0"/>
    </xf>
    <xf numFmtId="169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9" fontId="6" fillId="0" borderId="16" xfId="1" applyNumberFormat="1" applyFont="1" applyBorder="1" applyAlignment="1" applyProtection="1">
      <alignment horizontal="center" vertical="center" wrapText="1"/>
      <protection locked="0"/>
    </xf>
    <xf numFmtId="169" fontId="6" fillId="0" borderId="23" xfId="1" applyNumberFormat="1" applyFont="1" applyBorder="1" applyAlignment="1" applyProtection="1">
      <alignment horizontal="center" vertical="center" wrapText="1"/>
      <protection locked="0"/>
    </xf>
    <xf numFmtId="169" fontId="6" fillId="0" borderId="17" xfId="1" applyNumberFormat="1" applyFont="1" applyBorder="1" applyAlignment="1" applyProtection="1">
      <alignment horizontal="center" vertical="center" wrapText="1"/>
      <protection locked="0"/>
    </xf>
    <xf numFmtId="169" fontId="6" fillId="0" borderId="18" xfId="1" applyNumberFormat="1" applyFont="1" applyBorder="1" applyAlignment="1" applyProtection="1">
      <alignment horizontal="center" vertical="center" wrapText="1"/>
      <protection locked="0"/>
    </xf>
    <xf numFmtId="169" fontId="6" fillId="0" borderId="34" xfId="1" applyNumberFormat="1" applyFont="1" applyBorder="1" applyAlignment="1" applyProtection="1">
      <alignment horizontal="center" vertical="center" wrapText="1"/>
      <protection locked="0"/>
    </xf>
    <xf numFmtId="169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2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5" xfId="0" applyNumberFormat="1" applyFont="1" applyBorder="1" applyAlignment="1" applyProtection="1">
      <alignment horizontal="center" vertical="center"/>
      <protection locked="0"/>
    </xf>
    <xf numFmtId="1" fontId="13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349828</xdr:colOff>
      <xdr:row>362</xdr:row>
      <xdr:rowOff>181841</xdr:rowOff>
    </xdr:from>
    <xdr:to>
      <xdr:col>5</xdr:col>
      <xdr:colOff>539983</xdr:colOff>
      <xdr:row>380</xdr:row>
      <xdr:rowOff>6501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8128" y="60989441"/>
          <a:ext cx="2888905" cy="336796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10</xdr:col>
      <xdr:colOff>135082</xdr:colOff>
      <xdr:row>5</xdr:row>
      <xdr:rowOff>146338</xdr:rowOff>
    </xdr:from>
    <xdr:to>
      <xdr:col>13</xdr:col>
      <xdr:colOff>320511</xdr:colOff>
      <xdr:row>14</xdr:row>
      <xdr:rowOff>303658</xdr:rowOff>
    </xdr:to>
    <xdr:pic>
      <xdr:nvPicPr>
        <xdr:cNvPr id="13" name="Picture 12" descr="https://vsjcllp.vsjadon.com/upload/insp-155218-849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40882" y="1536988"/>
          <a:ext cx="2385704" cy="181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138545</xdr:colOff>
      <xdr:row>14</xdr:row>
      <xdr:rowOff>479714</xdr:rowOff>
    </xdr:from>
    <xdr:to>
      <xdr:col>15</xdr:col>
      <xdr:colOff>498003</xdr:colOff>
      <xdr:row>27</xdr:row>
      <xdr:rowOff>53673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0295" y="3727739"/>
          <a:ext cx="5979208" cy="2879134"/>
        </a:xfrm>
        <a:prstGeom prst="rect">
          <a:avLst/>
        </a:prstGeom>
      </xdr:spPr>
    </xdr:pic>
    <xdr:clientData/>
  </xdr:twoCellAnchor>
  <xdr:twoCellAnchor>
    <xdr:from>
      <xdr:col>9</xdr:col>
      <xdr:colOff>76200</xdr:colOff>
      <xdr:row>24</xdr:row>
      <xdr:rowOff>133350</xdr:rowOff>
    </xdr:from>
    <xdr:to>
      <xdr:col>14</xdr:col>
      <xdr:colOff>314325</xdr:colOff>
      <xdr:row>25</xdr:row>
      <xdr:rowOff>133350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620000" y="6086475"/>
          <a:ext cx="4038600" cy="190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209550</xdr:colOff>
      <xdr:row>382</xdr:row>
      <xdr:rowOff>190500</xdr:rowOff>
    </xdr:from>
    <xdr:to>
      <xdr:col>6</xdr:col>
      <xdr:colOff>617505</xdr:colOff>
      <xdr:row>400</xdr:row>
      <xdr:rowOff>190050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1550" y="68846700"/>
          <a:ext cx="456085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198881</xdr:colOff>
      <xdr:row>401</xdr:row>
      <xdr:rowOff>102870</xdr:rowOff>
    </xdr:from>
    <xdr:to>
      <xdr:col>6</xdr:col>
      <xdr:colOff>600820</xdr:colOff>
      <xdr:row>419</xdr:row>
      <xdr:rowOff>102420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881" y="72559545"/>
          <a:ext cx="455483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504825</xdr:colOff>
      <xdr:row>408</xdr:row>
      <xdr:rowOff>85725</xdr:rowOff>
    </xdr:from>
    <xdr:to>
      <xdr:col>3</xdr:col>
      <xdr:colOff>914400</xdr:colOff>
      <xdr:row>410</xdr:row>
      <xdr:rowOff>28575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14650" y="73942575"/>
          <a:ext cx="409575" cy="342900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FF00"/>
            </a:solidFill>
          </a:endParaRPr>
        </a:p>
      </xdr:txBody>
    </xdr:sp>
    <xdr:clientData/>
  </xdr:twoCellAnchor>
  <xdr:twoCellAnchor editAs="oneCell">
    <xdr:from>
      <xdr:col>8</xdr:col>
      <xdr:colOff>1187450</xdr:colOff>
      <xdr:row>175</xdr:row>
      <xdr:rowOff>1</xdr:rowOff>
    </xdr:from>
    <xdr:to>
      <xdr:col>17</xdr:col>
      <xdr:colOff>326850</xdr:colOff>
      <xdr:row>188</xdr:row>
      <xdr:rowOff>139368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80350" y="35337751"/>
          <a:ext cx="6480000" cy="269841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552450</xdr:colOff>
      <xdr:row>343</xdr:row>
      <xdr:rowOff>120650</xdr:rowOff>
    </xdr:from>
    <xdr:to>
      <xdr:col>6</xdr:col>
      <xdr:colOff>292061</xdr:colOff>
      <xdr:row>361</xdr:row>
      <xdr:rowOff>177350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2550" y="57188100"/>
          <a:ext cx="409571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298450</xdr:colOff>
      <xdr:row>355</xdr:row>
      <xdr:rowOff>57150</xdr:rowOff>
    </xdr:from>
    <xdr:to>
      <xdr:col>5</xdr:col>
      <xdr:colOff>365685</xdr:colOff>
      <xdr:row>357</xdr:row>
      <xdr:rowOff>146798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3816350" y="59486800"/>
          <a:ext cx="886385" cy="48334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388095</xdr:colOff>
      <xdr:row>357</xdr:row>
      <xdr:rowOff>169210</xdr:rowOff>
    </xdr:from>
    <xdr:to>
      <xdr:col>5</xdr:col>
      <xdr:colOff>690654</xdr:colOff>
      <xdr:row>359</xdr:row>
      <xdr:rowOff>12327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905995" y="59992560"/>
          <a:ext cx="1121709" cy="2368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Parking Tower</a:t>
          </a:r>
        </a:p>
      </xdr:txBody>
    </xdr:sp>
    <xdr:clientData/>
  </xdr:twoCellAnchor>
  <xdr:twoCellAnchor>
    <xdr:from>
      <xdr:col>8</xdr:col>
      <xdr:colOff>480060</xdr:colOff>
      <xdr:row>299</xdr:row>
      <xdr:rowOff>133350</xdr:rowOff>
    </xdr:from>
    <xdr:to>
      <xdr:col>15</xdr:col>
      <xdr:colOff>462225</xdr:colOff>
      <xdr:row>328</xdr:row>
      <xdr:rowOff>73050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429A88A8-F205-436B-8E8C-CAD34BB73661}"/>
            </a:ext>
          </a:extLst>
        </xdr:cNvPr>
        <xdr:cNvGrpSpPr/>
      </xdr:nvGrpSpPr>
      <xdr:grpSpPr>
        <a:xfrm>
          <a:off x="7033260" y="48581310"/>
          <a:ext cx="5765745" cy="5677560"/>
          <a:chOff x="473786" y="247650"/>
          <a:chExt cx="5613345" cy="5730900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B68BD73D-B5CB-411C-8AF8-7EE197F3CC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3787" y="247650"/>
            <a:ext cx="2738306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CC7E95A4-2543-403A-AD31-BE44282096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5423" y="247650"/>
            <a:ext cx="2711708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4BEF0CBF-6594-4D56-917D-3B616DEE0F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3786" y="3638550"/>
            <a:ext cx="175317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8425FD2B-E02D-4F46-967C-1CF0391847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3872" y="3638550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B722F789-E540-47FF-A286-7D6B006B1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33959" y="3638550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76200</xdr:colOff>
      <xdr:row>301</xdr:row>
      <xdr:rowOff>182880</xdr:rowOff>
    </xdr:from>
    <xdr:to>
      <xdr:col>7</xdr:col>
      <xdr:colOff>586740</xdr:colOff>
      <xdr:row>337</xdr:row>
      <xdr:rowOff>160020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6A33AF11-B27C-6EFB-5F82-8028775E0530}"/>
            </a:ext>
          </a:extLst>
        </xdr:cNvPr>
        <xdr:cNvGrpSpPr/>
      </xdr:nvGrpSpPr>
      <xdr:grpSpPr>
        <a:xfrm>
          <a:off x="76200" y="49027080"/>
          <a:ext cx="6339840" cy="7101840"/>
          <a:chOff x="-5080" y="165484"/>
          <a:chExt cx="6769302" cy="7029676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7FCF8DDE-EE61-327E-41AE-49702B9BA2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80797" y="5549240"/>
            <a:ext cx="2183425" cy="164592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7122DCB-9DFD-2A43-9874-94FE63EEC3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6245" y="165484"/>
            <a:ext cx="3933048" cy="52294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7A177CA8-6D82-C5F7-BB26-DF1C5031C0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52777" y="165484"/>
            <a:ext cx="1908507" cy="25375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2568E5CA-C22D-BCE3-1915-F68CB4F7A37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90814" y="5549240"/>
            <a:ext cx="2183425" cy="164592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C271F6D-0C3B-2CC6-1D78-41EAE63E98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5080" y="5539080"/>
            <a:ext cx="2191512" cy="164592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49F67FD5-6713-1DC4-F935-3AE7D789D6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52777" y="2857362"/>
            <a:ext cx="1908507" cy="253759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537883</xdr:colOff>
      <xdr:row>14</xdr:row>
      <xdr:rowOff>56029</xdr:rowOff>
    </xdr:from>
    <xdr:to>
      <xdr:col>3</xdr:col>
      <xdr:colOff>420231</xdr:colOff>
      <xdr:row>20</xdr:row>
      <xdr:rowOff>141600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883" y="2734235"/>
          <a:ext cx="4409524" cy="12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72zz9W25FaNRDq27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383"/>
  <sheetViews>
    <sheetView tabSelected="1" view="pageBreakPreview" topLeftCell="A199" zoomScaleNormal="100" zoomScaleSheetLayoutView="100" zoomScalePageLayoutView="85" workbookViewId="0">
      <selection activeCell="K211" sqref="K211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6" width="11.6640625" style="38" customWidth="1"/>
    <col min="7" max="7" width="11.44140625" style="38" customWidth="1"/>
    <col min="8" max="8" width="10.5546875" style="38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10.5546875" style="19" customWidth="1"/>
    <col min="13" max="13" width="11.88671875" style="19" customWidth="1"/>
    <col min="14" max="14" width="12.5546875" style="19" customWidth="1"/>
    <col min="15" max="15" width="9.88671875" style="19" customWidth="1"/>
    <col min="16" max="16" width="11.6640625" style="19" customWidth="1"/>
    <col min="17" max="247" width="9.109375" style="19"/>
    <col min="248" max="248" width="8.6640625" style="19" customWidth="1"/>
    <col min="249" max="249" width="9.8867187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88671875" style="19" customWidth="1"/>
    <col min="256" max="256" width="11.109375" style="19" customWidth="1"/>
    <col min="257" max="257" width="2.88671875" style="19" customWidth="1"/>
    <col min="258" max="258" width="3.5546875" style="19" customWidth="1"/>
    <col min="259" max="503" width="9.109375" style="19"/>
    <col min="504" max="504" width="8.6640625" style="19" customWidth="1"/>
    <col min="505" max="505" width="9.8867187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88671875" style="19" customWidth="1"/>
    <col min="512" max="512" width="11.109375" style="19" customWidth="1"/>
    <col min="513" max="513" width="2.88671875" style="19" customWidth="1"/>
    <col min="514" max="514" width="3.5546875" style="19" customWidth="1"/>
    <col min="515" max="759" width="9.109375" style="19"/>
    <col min="760" max="760" width="8.6640625" style="19" customWidth="1"/>
    <col min="761" max="761" width="9.8867187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88671875" style="19" customWidth="1"/>
    <col min="768" max="768" width="11.109375" style="19" customWidth="1"/>
    <col min="769" max="769" width="2.88671875" style="19" customWidth="1"/>
    <col min="770" max="770" width="3.5546875" style="19" customWidth="1"/>
    <col min="771" max="1015" width="9.109375" style="19"/>
    <col min="1016" max="1016" width="8.6640625" style="19" customWidth="1"/>
    <col min="1017" max="1017" width="9.8867187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88671875" style="19" customWidth="1"/>
    <col min="1024" max="1024" width="11.109375" style="19" customWidth="1"/>
    <col min="1025" max="1025" width="2.88671875" style="19" customWidth="1"/>
    <col min="1026" max="1026" width="3.5546875" style="19" customWidth="1"/>
    <col min="1027" max="1271" width="9.109375" style="19"/>
    <col min="1272" max="1272" width="8.6640625" style="19" customWidth="1"/>
    <col min="1273" max="1273" width="9.8867187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88671875" style="19" customWidth="1"/>
    <col min="1280" max="1280" width="11.109375" style="19" customWidth="1"/>
    <col min="1281" max="1281" width="2.88671875" style="19" customWidth="1"/>
    <col min="1282" max="1282" width="3.5546875" style="19" customWidth="1"/>
    <col min="1283" max="1527" width="9.109375" style="19"/>
    <col min="1528" max="1528" width="8.6640625" style="19" customWidth="1"/>
    <col min="1529" max="1529" width="9.8867187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88671875" style="19" customWidth="1"/>
    <col min="1536" max="1536" width="11.109375" style="19" customWidth="1"/>
    <col min="1537" max="1537" width="2.88671875" style="19" customWidth="1"/>
    <col min="1538" max="1538" width="3.5546875" style="19" customWidth="1"/>
    <col min="1539" max="1783" width="9.109375" style="19"/>
    <col min="1784" max="1784" width="8.6640625" style="19" customWidth="1"/>
    <col min="1785" max="1785" width="9.8867187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88671875" style="19" customWidth="1"/>
    <col min="1792" max="1792" width="11.109375" style="19" customWidth="1"/>
    <col min="1793" max="1793" width="2.88671875" style="19" customWidth="1"/>
    <col min="1794" max="1794" width="3.5546875" style="19" customWidth="1"/>
    <col min="1795" max="2039" width="9.109375" style="19"/>
    <col min="2040" max="2040" width="8.6640625" style="19" customWidth="1"/>
    <col min="2041" max="2041" width="9.8867187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88671875" style="19" customWidth="1"/>
    <col min="2048" max="2048" width="11.109375" style="19" customWidth="1"/>
    <col min="2049" max="2049" width="2.88671875" style="19" customWidth="1"/>
    <col min="2050" max="2050" width="3.5546875" style="19" customWidth="1"/>
    <col min="2051" max="2295" width="9.109375" style="19"/>
    <col min="2296" max="2296" width="8.6640625" style="19" customWidth="1"/>
    <col min="2297" max="2297" width="9.8867187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88671875" style="19" customWidth="1"/>
    <col min="2304" max="2304" width="11.109375" style="19" customWidth="1"/>
    <col min="2305" max="2305" width="2.88671875" style="19" customWidth="1"/>
    <col min="2306" max="2306" width="3.5546875" style="19" customWidth="1"/>
    <col min="2307" max="2551" width="9.109375" style="19"/>
    <col min="2552" max="2552" width="8.6640625" style="19" customWidth="1"/>
    <col min="2553" max="2553" width="9.8867187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88671875" style="19" customWidth="1"/>
    <col min="2560" max="2560" width="11.109375" style="19" customWidth="1"/>
    <col min="2561" max="2561" width="2.88671875" style="19" customWidth="1"/>
    <col min="2562" max="2562" width="3.5546875" style="19" customWidth="1"/>
    <col min="2563" max="2807" width="9.109375" style="19"/>
    <col min="2808" max="2808" width="8.6640625" style="19" customWidth="1"/>
    <col min="2809" max="2809" width="9.8867187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88671875" style="19" customWidth="1"/>
    <col min="2816" max="2816" width="11.109375" style="19" customWidth="1"/>
    <col min="2817" max="2817" width="2.88671875" style="19" customWidth="1"/>
    <col min="2818" max="2818" width="3.5546875" style="19" customWidth="1"/>
    <col min="2819" max="3063" width="9.109375" style="19"/>
    <col min="3064" max="3064" width="8.6640625" style="19" customWidth="1"/>
    <col min="3065" max="3065" width="9.8867187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88671875" style="19" customWidth="1"/>
    <col min="3072" max="3072" width="11.109375" style="19" customWidth="1"/>
    <col min="3073" max="3073" width="2.88671875" style="19" customWidth="1"/>
    <col min="3074" max="3074" width="3.5546875" style="19" customWidth="1"/>
    <col min="3075" max="3319" width="9.109375" style="19"/>
    <col min="3320" max="3320" width="8.6640625" style="19" customWidth="1"/>
    <col min="3321" max="3321" width="9.8867187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88671875" style="19" customWidth="1"/>
    <col min="3328" max="3328" width="11.109375" style="19" customWidth="1"/>
    <col min="3329" max="3329" width="2.88671875" style="19" customWidth="1"/>
    <col min="3330" max="3330" width="3.5546875" style="19" customWidth="1"/>
    <col min="3331" max="3575" width="9.109375" style="19"/>
    <col min="3576" max="3576" width="8.6640625" style="19" customWidth="1"/>
    <col min="3577" max="3577" width="9.8867187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88671875" style="19" customWidth="1"/>
    <col min="3584" max="3584" width="11.109375" style="19" customWidth="1"/>
    <col min="3585" max="3585" width="2.88671875" style="19" customWidth="1"/>
    <col min="3586" max="3586" width="3.5546875" style="19" customWidth="1"/>
    <col min="3587" max="3831" width="9.109375" style="19"/>
    <col min="3832" max="3832" width="8.6640625" style="19" customWidth="1"/>
    <col min="3833" max="3833" width="9.8867187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88671875" style="19" customWidth="1"/>
    <col min="3840" max="3840" width="11.109375" style="19" customWidth="1"/>
    <col min="3841" max="3841" width="2.88671875" style="19" customWidth="1"/>
    <col min="3842" max="3842" width="3.5546875" style="19" customWidth="1"/>
    <col min="3843" max="4087" width="9.109375" style="19"/>
    <col min="4088" max="4088" width="8.6640625" style="19" customWidth="1"/>
    <col min="4089" max="4089" width="9.8867187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88671875" style="19" customWidth="1"/>
    <col min="4096" max="4096" width="11.109375" style="19" customWidth="1"/>
    <col min="4097" max="4097" width="2.88671875" style="19" customWidth="1"/>
    <col min="4098" max="4098" width="3.5546875" style="19" customWidth="1"/>
    <col min="4099" max="4343" width="9.109375" style="19"/>
    <col min="4344" max="4344" width="8.6640625" style="19" customWidth="1"/>
    <col min="4345" max="4345" width="9.8867187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88671875" style="19" customWidth="1"/>
    <col min="4352" max="4352" width="11.109375" style="19" customWidth="1"/>
    <col min="4353" max="4353" width="2.88671875" style="19" customWidth="1"/>
    <col min="4354" max="4354" width="3.5546875" style="19" customWidth="1"/>
    <col min="4355" max="4599" width="9.109375" style="19"/>
    <col min="4600" max="4600" width="8.6640625" style="19" customWidth="1"/>
    <col min="4601" max="4601" width="9.8867187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88671875" style="19" customWidth="1"/>
    <col min="4608" max="4608" width="11.109375" style="19" customWidth="1"/>
    <col min="4609" max="4609" width="2.88671875" style="19" customWidth="1"/>
    <col min="4610" max="4610" width="3.5546875" style="19" customWidth="1"/>
    <col min="4611" max="4855" width="9.109375" style="19"/>
    <col min="4856" max="4856" width="8.6640625" style="19" customWidth="1"/>
    <col min="4857" max="4857" width="9.8867187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88671875" style="19" customWidth="1"/>
    <col min="4864" max="4864" width="11.109375" style="19" customWidth="1"/>
    <col min="4865" max="4865" width="2.88671875" style="19" customWidth="1"/>
    <col min="4866" max="4866" width="3.5546875" style="19" customWidth="1"/>
    <col min="4867" max="5111" width="9.109375" style="19"/>
    <col min="5112" max="5112" width="8.6640625" style="19" customWidth="1"/>
    <col min="5113" max="5113" width="9.8867187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88671875" style="19" customWidth="1"/>
    <col min="5120" max="5120" width="11.109375" style="19" customWidth="1"/>
    <col min="5121" max="5121" width="2.88671875" style="19" customWidth="1"/>
    <col min="5122" max="5122" width="3.5546875" style="19" customWidth="1"/>
    <col min="5123" max="5367" width="9.109375" style="19"/>
    <col min="5368" max="5368" width="8.6640625" style="19" customWidth="1"/>
    <col min="5369" max="5369" width="9.8867187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88671875" style="19" customWidth="1"/>
    <col min="5376" max="5376" width="11.109375" style="19" customWidth="1"/>
    <col min="5377" max="5377" width="2.88671875" style="19" customWidth="1"/>
    <col min="5378" max="5378" width="3.5546875" style="19" customWidth="1"/>
    <col min="5379" max="5623" width="9.109375" style="19"/>
    <col min="5624" max="5624" width="8.6640625" style="19" customWidth="1"/>
    <col min="5625" max="5625" width="9.8867187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88671875" style="19" customWidth="1"/>
    <col min="5632" max="5632" width="11.109375" style="19" customWidth="1"/>
    <col min="5633" max="5633" width="2.88671875" style="19" customWidth="1"/>
    <col min="5634" max="5634" width="3.5546875" style="19" customWidth="1"/>
    <col min="5635" max="5879" width="9.109375" style="19"/>
    <col min="5880" max="5880" width="8.6640625" style="19" customWidth="1"/>
    <col min="5881" max="5881" width="9.8867187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88671875" style="19" customWidth="1"/>
    <col min="5888" max="5888" width="11.109375" style="19" customWidth="1"/>
    <col min="5889" max="5889" width="2.88671875" style="19" customWidth="1"/>
    <col min="5890" max="5890" width="3.5546875" style="19" customWidth="1"/>
    <col min="5891" max="6135" width="9.109375" style="19"/>
    <col min="6136" max="6136" width="8.6640625" style="19" customWidth="1"/>
    <col min="6137" max="6137" width="9.8867187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88671875" style="19" customWidth="1"/>
    <col min="6144" max="6144" width="11.109375" style="19" customWidth="1"/>
    <col min="6145" max="6145" width="2.88671875" style="19" customWidth="1"/>
    <col min="6146" max="6146" width="3.5546875" style="19" customWidth="1"/>
    <col min="6147" max="6391" width="9.109375" style="19"/>
    <col min="6392" max="6392" width="8.6640625" style="19" customWidth="1"/>
    <col min="6393" max="6393" width="9.8867187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88671875" style="19" customWidth="1"/>
    <col min="6400" max="6400" width="11.109375" style="19" customWidth="1"/>
    <col min="6401" max="6401" width="2.88671875" style="19" customWidth="1"/>
    <col min="6402" max="6402" width="3.5546875" style="19" customWidth="1"/>
    <col min="6403" max="6647" width="9.109375" style="19"/>
    <col min="6648" max="6648" width="8.6640625" style="19" customWidth="1"/>
    <col min="6649" max="6649" width="9.8867187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88671875" style="19" customWidth="1"/>
    <col min="6656" max="6656" width="11.109375" style="19" customWidth="1"/>
    <col min="6657" max="6657" width="2.88671875" style="19" customWidth="1"/>
    <col min="6658" max="6658" width="3.5546875" style="19" customWidth="1"/>
    <col min="6659" max="6903" width="9.109375" style="19"/>
    <col min="6904" max="6904" width="8.6640625" style="19" customWidth="1"/>
    <col min="6905" max="6905" width="9.8867187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88671875" style="19" customWidth="1"/>
    <col min="6912" max="6912" width="11.109375" style="19" customWidth="1"/>
    <col min="6913" max="6913" width="2.88671875" style="19" customWidth="1"/>
    <col min="6914" max="6914" width="3.5546875" style="19" customWidth="1"/>
    <col min="6915" max="7159" width="9.109375" style="19"/>
    <col min="7160" max="7160" width="8.6640625" style="19" customWidth="1"/>
    <col min="7161" max="7161" width="9.8867187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88671875" style="19" customWidth="1"/>
    <col min="7168" max="7168" width="11.109375" style="19" customWidth="1"/>
    <col min="7169" max="7169" width="2.88671875" style="19" customWidth="1"/>
    <col min="7170" max="7170" width="3.5546875" style="19" customWidth="1"/>
    <col min="7171" max="7415" width="9.109375" style="19"/>
    <col min="7416" max="7416" width="8.6640625" style="19" customWidth="1"/>
    <col min="7417" max="7417" width="9.8867187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88671875" style="19" customWidth="1"/>
    <col min="7424" max="7424" width="11.109375" style="19" customWidth="1"/>
    <col min="7425" max="7425" width="2.88671875" style="19" customWidth="1"/>
    <col min="7426" max="7426" width="3.5546875" style="19" customWidth="1"/>
    <col min="7427" max="7671" width="9.109375" style="19"/>
    <col min="7672" max="7672" width="8.6640625" style="19" customWidth="1"/>
    <col min="7673" max="7673" width="9.8867187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88671875" style="19" customWidth="1"/>
    <col min="7680" max="7680" width="11.109375" style="19" customWidth="1"/>
    <col min="7681" max="7681" width="2.88671875" style="19" customWidth="1"/>
    <col min="7682" max="7682" width="3.5546875" style="19" customWidth="1"/>
    <col min="7683" max="7927" width="9.109375" style="19"/>
    <col min="7928" max="7928" width="8.6640625" style="19" customWidth="1"/>
    <col min="7929" max="7929" width="9.8867187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88671875" style="19" customWidth="1"/>
    <col min="7936" max="7936" width="11.109375" style="19" customWidth="1"/>
    <col min="7937" max="7937" width="2.88671875" style="19" customWidth="1"/>
    <col min="7938" max="7938" width="3.5546875" style="19" customWidth="1"/>
    <col min="7939" max="8183" width="9.109375" style="19"/>
    <col min="8184" max="8184" width="8.6640625" style="19" customWidth="1"/>
    <col min="8185" max="8185" width="9.8867187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88671875" style="19" customWidth="1"/>
    <col min="8192" max="8192" width="11.109375" style="19" customWidth="1"/>
    <col min="8193" max="8193" width="2.88671875" style="19" customWidth="1"/>
    <col min="8194" max="8194" width="3.5546875" style="19" customWidth="1"/>
    <col min="8195" max="8439" width="9.109375" style="19"/>
    <col min="8440" max="8440" width="8.6640625" style="19" customWidth="1"/>
    <col min="8441" max="8441" width="9.8867187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88671875" style="19" customWidth="1"/>
    <col min="8448" max="8448" width="11.109375" style="19" customWidth="1"/>
    <col min="8449" max="8449" width="2.88671875" style="19" customWidth="1"/>
    <col min="8450" max="8450" width="3.5546875" style="19" customWidth="1"/>
    <col min="8451" max="8695" width="9.109375" style="19"/>
    <col min="8696" max="8696" width="8.6640625" style="19" customWidth="1"/>
    <col min="8697" max="8697" width="9.8867187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88671875" style="19" customWidth="1"/>
    <col min="8704" max="8704" width="11.109375" style="19" customWidth="1"/>
    <col min="8705" max="8705" width="2.88671875" style="19" customWidth="1"/>
    <col min="8706" max="8706" width="3.5546875" style="19" customWidth="1"/>
    <col min="8707" max="8951" width="9.109375" style="19"/>
    <col min="8952" max="8952" width="8.6640625" style="19" customWidth="1"/>
    <col min="8953" max="8953" width="9.8867187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88671875" style="19" customWidth="1"/>
    <col min="8960" max="8960" width="11.109375" style="19" customWidth="1"/>
    <col min="8961" max="8961" width="2.88671875" style="19" customWidth="1"/>
    <col min="8962" max="8962" width="3.5546875" style="19" customWidth="1"/>
    <col min="8963" max="9207" width="9.109375" style="19"/>
    <col min="9208" max="9208" width="8.6640625" style="19" customWidth="1"/>
    <col min="9209" max="9209" width="9.8867187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88671875" style="19" customWidth="1"/>
    <col min="9216" max="9216" width="11.109375" style="19" customWidth="1"/>
    <col min="9217" max="9217" width="2.88671875" style="19" customWidth="1"/>
    <col min="9218" max="9218" width="3.5546875" style="19" customWidth="1"/>
    <col min="9219" max="9463" width="9.109375" style="19"/>
    <col min="9464" max="9464" width="8.6640625" style="19" customWidth="1"/>
    <col min="9465" max="9465" width="9.8867187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88671875" style="19" customWidth="1"/>
    <col min="9472" max="9472" width="11.109375" style="19" customWidth="1"/>
    <col min="9473" max="9473" width="2.88671875" style="19" customWidth="1"/>
    <col min="9474" max="9474" width="3.5546875" style="19" customWidth="1"/>
    <col min="9475" max="9719" width="9.109375" style="19"/>
    <col min="9720" max="9720" width="8.6640625" style="19" customWidth="1"/>
    <col min="9721" max="9721" width="9.8867187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88671875" style="19" customWidth="1"/>
    <col min="9728" max="9728" width="11.109375" style="19" customWidth="1"/>
    <col min="9729" max="9729" width="2.88671875" style="19" customWidth="1"/>
    <col min="9730" max="9730" width="3.5546875" style="19" customWidth="1"/>
    <col min="9731" max="9975" width="9.109375" style="19"/>
    <col min="9976" max="9976" width="8.6640625" style="19" customWidth="1"/>
    <col min="9977" max="9977" width="9.8867187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88671875" style="19" customWidth="1"/>
    <col min="9984" max="9984" width="11.109375" style="19" customWidth="1"/>
    <col min="9985" max="9985" width="2.88671875" style="19" customWidth="1"/>
    <col min="9986" max="9986" width="3.5546875" style="19" customWidth="1"/>
    <col min="9987" max="10231" width="9.109375" style="19"/>
    <col min="10232" max="10232" width="8.6640625" style="19" customWidth="1"/>
    <col min="10233" max="10233" width="9.8867187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88671875" style="19" customWidth="1"/>
    <col min="10240" max="10240" width="11.109375" style="19" customWidth="1"/>
    <col min="10241" max="10241" width="2.88671875" style="19" customWidth="1"/>
    <col min="10242" max="10242" width="3.5546875" style="19" customWidth="1"/>
    <col min="10243" max="10487" width="9.109375" style="19"/>
    <col min="10488" max="10488" width="8.6640625" style="19" customWidth="1"/>
    <col min="10489" max="10489" width="9.8867187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88671875" style="19" customWidth="1"/>
    <col min="10496" max="10496" width="11.109375" style="19" customWidth="1"/>
    <col min="10497" max="10497" width="2.88671875" style="19" customWidth="1"/>
    <col min="10498" max="10498" width="3.5546875" style="19" customWidth="1"/>
    <col min="10499" max="10743" width="9.109375" style="19"/>
    <col min="10744" max="10744" width="8.6640625" style="19" customWidth="1"/>
    <col min="10745" max="10745" width="9.8867187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88671875" style="19" customWidth="1"/>
    <col min="10752" max="10752" width="11.109375" style="19" customWidth="1"/>
    <col min="10753" max="10753" width="2.88671875" style="19" customWidth="1"/>
    <col min="10754" max="10754" width="3.5546875" style="19" customWidth="1"/>
    <col min="10755" max="10999" width="9.109375" style="19"/>
    <col min="11000" max="11000" width="8.6640625" style="19" customWidth="1"/>
    <col min="11001" max="11001" width="9.8867187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88671875" style="19" customWidth="1"/>
    <col min="11008" max="11008" width="11.109375" style="19" customWidth="1"/>
    <col min="11009" max="11009" width="2.88671875" style="19" customWidth="1"/>
    <col min="11010" max="11010" width="3.5546875" style="19" customWidth="1"/>
    <col min="11011" max="11255" width="9.109375" style="19"/>
    <col min="11256" max="11256" width="8.6640625" style="19" customWidth="1"/>
    <col min="11257" max="11257" width="9.8867187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88671875" style="19" customWidth="1"/>
    <col min="11264" max="11264" width="11.109375" style="19" customWidth="1"/>
    <col min="11265" max="11265" width="2.88671875" style="19" customWidth="1"/>
    <col min="11266" max="11266" width="3.5546875" style="19" customWidth="1"/>
    <col min="11267" max="11511" width="9.109375" style="19"/>
    <col min="11512" max="11512" width="8.6640625" style="19" customWidth="1"/>
    <col min="11513" max="11513" width="9.8867187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88671875" style="19" customWidth="1"/>
    <col min="11520" max="11520" width="11.109375" style="19" customWidth="1"/>
    <col min="11521" max="11521" width="2.88671875" style="19" customWidth="1"/>
    <col min="11522" max="11522" width="3.5546875" style="19" customWidth="1"/>
    <col min="11523" max="11767" width="9.109375" style="19"/>
    <col min="11768" max="11768" width="8.6640625" style="19" customWidth="1"/>
    <col min="11769" max="11769" width="9.8867187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88671875" style="19" customWidth="1"/>
    <col min="11776" max="11776" width="11.109375" style="19" customWidth="1"/>
    <col min="11777" max="11777" width="2.88671875" style="19" customWidth="1"/>
    <col min="11778" max="11778" width="3.5546875" style="19" customWidth="1"/>
    <col min="11779" max="12023" width="9.109375" style="19"/>
    <col min="12024" max="12024" width="8.6640625" style="19" customWidth="1"/>
    <col min="12025" max="12025" width="9.8867187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88671875" style="19" customWidth="1"/>
    <col min="12032" max="12032" width="11.109375" style="19" customWidth="1"/>
    <col min="12033" max="12033" width="2.88671875" style="19" customWidth="1"/>
    <col min="12034" max="12034" width="3.5546875" style="19" customWidth="1"/>
    <col min="12035" max="12279" width="9.109375" style="19"/>
    <col min="12280" max="12280" width="8.6640625" style="19" customWidth="1"/>
    <col min="12281" max="12281" width="9.8867187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88671875" style="19" customWidth="1"/>
    <col min="12288" max="12288" width="11.109375" style="19" customWidth="1"/>
    <col min="12289" max="12289" width="2.88671875" style="19" customWidth="1"/>
    <col min="12290" max="12290" width="3.5546875" style="19" customWidth="1"/>
    <col min="12291" max="12535" width="9.109375" style="19"/>
    <col min="12536" max="12536" width="8.6640625" style="19" customWidth="1"/>
    <col min="12537" max="12537" width="9.8867187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88671875" style="19" customWidth="1"/>
    <col min="12544" max="12544" width="11.109375" style="19" customWidth="1"/>
    <col min="12545" max="12545" width="2.88671875" style="19" customWidth="1"/>
    <col min="12546" max="12546" width="3.5546875" style="19" customWidth="1"/>
    <col min="12547" max="12791" width="9.109375" style="19"/>
    <col min="12792" max="12792" width="8.6640625" style="19" customWidth="1"/>
    <col min="12793" max="12793" width="9.8867187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88671875" style="19" customWidth="1"/>
    <col min="12800" max="12800" width="11.109375" style="19" customWidth="1"/>
    <col min="12801" max="12801" width="2.88671875" style="19" customWidth="1"/>
    <col min="12802" max="12802" width="3.5546875" style="19" customWidth="1"/>
    <col min="12803" max="13047" width="9.109375" style="19"/>
    <col min="13048" max="13048" width="8.6640625" style="19" customWidth="1"/>
    <col min="13049" max="13049" width="9.8867187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88671875" style="19" customWidth="1"/>
    <col min="13056" max="13056" width="11.109375" style="19" customWidth="1"/>
    <col min="13057" max="13057" width="2.88671875" style="19" customWidth="1"/>
    <col min="13058" max="13058" width="3.5546875" style="19" customWidth="1"/>
    <col min="13059" max="13303" width="9.109375" style="19"/>
    <col min="13304" max="13304" width="8.6640625" style="19" customWidth="1"/>
    <col min="13305" max="13305" width="9.8867187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88671875" style="19" customWidth="1"/>
    <col min="13312" max="13312" width="11.109375" style="19" customWidth="1"/>
    <col min="13313" max="13313" width="2.88671875" style="19" customWidth="1"/>
    <col min="13314" max="13314" width="3.5546875" style="19" customWidth="1"/>
    <col min="13315" max="13559" width="9.109375" style="19"/>
    <col min="13560" max="13560" width="8.6640625" style="19" customWidth="1"/>
    <col min="13561" max="13561" width="9.8867187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88671875" style="19" customWidth="1"/>
    <col min="13568" max="13568" width="11.109375" style="19" customWidth="1"/>
    <col min="13569" max="13569" width="2.88671875" style="19" customWidth="1"/>
    <col min="13570" max="13570" width="3.5546875" style="19" customWidth="1"/>
    <col min="13571" max="13815" width="9.109375" style="19"/>
    <col min="13816" max="13816" width="8.6640625" style="19" customWidth="1"/>
    <col min="13817" max="13817" width="9.8867187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88671875" style="19" customWidth="1"/>
    <col min="13824" max="13824" width="11.109375" style="19" customWidth="1"/>
    <col min="13825" max="13825" width="2.88671875" style="19" customWidth="1"/>
    <col min="13826" max="13826" width="3.5546875" style="19" customWidth="1"/>
    <col min="13827" max="14071" width="9.109375" style="19"/>
    <col min="14072" max="14072" width="8.6640625" style="19" customWidth="1"/>
    <col min="14073" max="14073" width="9.8867187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88671875" style="19" customWidth="1"/>
    <col min="14080" max="14080" width="11.109375" style="19" customWidth="1"/>
    <col min="14081" max="14081" width="2.88671875" style="19" customWidth="1"/>
    <col min="14082" max="14082" width="3.5546875" style="19" customWidth="1"/>
    <col min="14083" max="14327" width="9.109375" style="19"/>
    <col min="14328" max="14328" width="8.6640625" style="19" customWidth="1"/>
    <col min="14329" max="14329" width="9.8867187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88671875" style="19" customWidth="1"/>
    <col min="14336" max="14336" width="11.109375" style="19" customWidth="1"/>
    <col min="14337" max="14337" width="2.88671875" style="19" customWidth="1"/>
    <col min="14338" max="14338" width="3.5546875" style="19" customWidth="1"/>
    <col min="14339" max="14583" width="9.109375" style="19"/>
    <col min="14584" max="14584" width="8.6640625" style="19" customWidth="1"/>
    <col min="14585" max="14585" width="9.8867187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88671875" style="19" customWidth="1"/>
    <col min="14592" max="14592" width="11.109375" style="19" customWidth="1"/>
    <col min="14593" max="14593" width="2.88671875" style="19" customWidth="1"/>
    <col min="14594" max="14594" width="3.5546875" style="19" customWidth="1"/>
    <col min="14595" max="14839" width="9.109375" style="19"/>
    <col min="14840" max="14840" width="8.6640625" style="19" customWidth="1"/>
    <col min="14841" max="14841" width="9.8867187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88671875" style="19" customWidth="1"/>
    <col min="14848" max="14848" width="11.109375" style="19" customWidth="1"/>
    <col min="14849" max="14849" width="2.88671875" style="19" customWidth="1"/>
    <col min="14850" max="14850" width="3.5546875" style="19" customWidth="1"/>
    <col min="14851" max="15095" width="9.109375" style="19"/>
    <col min="15096" max="15096" width="8.6640625" style="19" customWidth="1"/>
    <col min="15097" max="15097" width="9.8867187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88671875" style="19" customWidth="1"/>
    <col min="15104" max="15104" width="11.109375" style="19" customWidth="1"/>
    <col min="15105" max="15105" width="2.88671875" style="19" customWidth="1"/>
    <col min="15106" max="15106" width="3.5546875" style="19" customWidth="1"/>
    <col min="15107" max="15351" width="9.109375" style="19"/>
    <col min="15352" max="15352" width="8.6640625" style="19" customWidth="1"/>
    <col min="15353" max="15353" width="9.8867187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88671875" style="19" customWidth="1"/>
    <col min="15360" max="15360" width="11.109375" style="19" customWidth="1"/>
    <col min="15361" max="15361" width="2.88671875" style="19" customWidth="1"/>
    <col min="15362" max="15362" width="3.5546875" style="19" customWidth="1"/>
    <col min="15363" max="15607" width="9.109375" style="19"/>
    <col min="15608" max="15608" width="8.6640625" style="19" customWidth="1"/>
    <col min="15609" max="15609" width="9.8867187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88671875" style="19" customWidth="1"/>
    <col min="15616" max="15616" width="11.109375" style="19" customWidth="1"/>
    <col min="15617" max="15617" width="2.88671875" style="19" customWidth="1"/>
    <col min="15618" max="15618" width="3.5546875" style="19" customWidth="1"/>
    <col min="15619" max="15863" width="9.109375" style="19"/>
    <col min="15864" max="15864" width="8.6640625" style="19" customWidth="1"/>
    <col min="15865" max="15865" width="9.8867187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88671875" style="19" customWidth="1"/>
    <col min="15872" max="15872" width="11.109375" style="19" customWidth="1"/>
    <col min="15873" max="15873" width="2.88671875" style="19" customWidth="1"/>
    <col min="15874" max="15874" width="3.5546875" style="19" customWidth="1"/>
    <col min="15875" max="16119" width="9.109375" style="19"/>
    <col min="16120" max="16120" width="8.6640625" style="19" customWidth="1"/>
    <col min="16121" max="16121" width="9.8867187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88671875" style="19" customWidth="1"/>
    <col min="16128" max="16128" width="11.109375" style="19" customWidth="1"/>
    <col min="16129" max="16129" width="2.88671875" style="19" customWidth="1"/>
    <col min="16130" max="16130" width="3.5546875" style="19" customWidth="1"/>
    <col min="16131" max="16384" width="9.109375" style="19"/>
  </cols>
  <sheetData>
    <row r="1" spans="1:26" ht="46.5" customHeight="1" x14ac:dyDescent="0.3">
      <c r="A1" s="173" t="s">
        <v>164</v>
      </c>
      <c r="B1" s="173"/>
      <c r="C1" s="173"/>
      <c r="D1" s="173"/>
      <c r="E1" s="173"/>
      <c r="F1" s="173"/>
      <c r="G1" s="173"/>
      <c r="H1" s="173"/>
    </row>
    <row r="2" spans="1:26" ht="16.5" customHeight="1" x14ac:dyDescent="0.3">
      <c r="A2" s="174" t="s">
        <v>0</v>
      </c>
      <c r="B2" s="174"/>
      <c r="C2" s="174"/>
      <c r="D2" s="174"/>
      <c r="E2" s="174"/>
      <c r="F2" s="174"/>
      <c r="G2" s="174"/>
      <c r="H2" s="174"/>
    </row>
    <row r="3" spans="1:26" x14ac:dyDescent="0.3">
      <c r="A3" s="127" t="s">
        <v>1</v>
      </c>
      <c r="B3" s="127"/>
      <c r="C3" s="127"/>
      <c r="D3" s="127"/>
      <c r="E3" s="127" t="str">
        <f ca="1">TEXT(TODAY(),"DD/MM/YYYY")</f>
        <v>13/08/2025</v>
      </c>
      <c r="F3" s="127"/>
      <c r="G3" s="127"/>
      <c r="H3" s="127"/>
    </row>
    <row r="4" spans="1:26" ht="15" customHeight="1" x14ac:dyDescent="0.3">
      <c r="A4" s="127" t="s">
        <v>2</v>
      </c>
      <c r="B4" s="127"/>
      <c r="C4" s="127"/>
      <c r="D4" s="127"/>
      <c r="E4" s="127" t="s">
        <v>170</v>
      </c>
      <c r="F4" s="127"/>
      <c r="G4" s="127"/>
      <c r="H4" s="127"/>
    </row>
    <row r="5" spans="1:26" x14ac:dyDescent="0.3">
      <c r="A5" s="127" t="s">
        <v>3</v>
      </c>
      <c r="B5" s="127"/>
      <c r="C5" s="127"/>
      <c r="D5" s="127"/>
      <c r="E5" s="175">
        <v>45881</v>
      </c>
      <c r="F5" s="127"/>
      <c r="G5" s="127"/>
      <c r="H5" s="127"/>
    </row>
    <row r="6" spans="1:26" ht="17.25" customHeight="1" x14ac:dyDescent="0.3">
      <c r="A6" s="127" t="s">
        <v>4</v>
      </c>
      <c r="B6" s="127"/>
      <c r="C6" s="127"/>
      <c r="D6" s="127"/>
      <c r="E6" s="127" t="s">
        <v>312</v>
      </c>
      <c r="F6" s="127"/>
      <c r="G6" s="127"/>
      <c r="H6" s="127"/>
    </row>
    <row r="7" spans="1:26" ht="17.25" customHeight="1" x14ac:dyDescent="0.3">
      <c r="A7" s="127" t="s">
        <v>5</v>
      </c>
      <c r="B7" s="127"/>
      <c r="C7" s="127"/>
      <c r="D7" s="127"/>
      <c r="E7" s="127" t="str">
        <f>E6</f>
        <v>V City Builders &amp; Developers LLP</v>
      </c>
      <c r="F7" s="127"/>
      <c r="G7" s="127"/>
      <c r="H7" s="127"/>
    </row>
    <row r="8" spans="1:26" x14ac:dyDescent="0.3">
      <c r="A8" s="127" t="s">
        <v>6</v>
      </c>
      <c r="B8" s="127"/>
      <c r="C8" s="127"/>
      <c r="D8" s="127"/>
      <c r="E8" s="121" t="s">
        <v>234</v>
      </c>
      <c r="F8" s="121"/>
      <c r="G8" s="121"/>
      <c r="H8" s="121"/>
    </row>
    <row r="9" spans="1:26" x14ac:dyDescent="0.3">
      <c r="A9" s="127" t="s">
        <v>167</v>
      </c>
      <c r="B9" s="127"/>
      <c r="C9" s="127"/>
      <c r="D9" s="127"/>
      <c r="E9" s="127">
        <v>9769766111</v>
      </c>
      <c r="F9" s="127"/>
      <c r="G9" s="127"/>
      <c r="H9" s="127"/>
    </row>
    <row r="10" spans="1:26" x14ac:dyDescent="0.3">
      <c r="A10" s="127" t="s">
        <v>168</v>
      </c>
      <c r="B10" s="127"/>
      <c r="C10" s="127"/>
      <c r="D10" s="127"/>
      <c r="E10" s="127" t="s">
        <v>316</v>
      </c>
      <c r="F10" s="127"/>
      <c r="G10" s="127"/>
      <c r="H10" s="127"/>
      <c r="I10" s="127" t="s">
        <v>313</v>
      </c>
      <c r="J10" s="127"/>
      <c r="K10" s="127"/>
      <c r="L10" s="127"/>
    </row>
    <row r="11" spans="1:26" x14ac:dyDescent="0.3">
      <c r="A11" s="127" t="s">
        <v>7</v>
      </c>
      <c r="B11" s="127"/>
      <c r="C11" s="127"/>
      <c r="D11" s="127"/>
      <c r="E11" s="127" t="s">
        <v>120</v>
      </c>
      <c r="F11" s="127"/>
      <c r="G11" s="127"/>
      <c r="H11" s="127"/>
    </row>
    <row r="12" spans="1:26" hidden="1" x14ac:dyDescent="0.3">
      <c r="A12" s="127" t="s">
        <v>247</v>
      </c>
      <c r="B12" s="127"/>
      <c r="C12" s="127"/>
      <c r="D12" s="127"/>
      <c r="E12" s="127" t="s">
        <v>248</v>
      </c>
      <c r="F12" s="127"/>
      <c r="G12" s="127"/>
      <c r="H12" s="127"/>
      <c r="L12"/>
      <c r="S12" s="50" t="s">
        <v>179</v>
      </c>
      <c r="T12" s="50" t="s">
        <v>189</v>
      </c>
      <c r="U12" s="50" t="s">
        <v>171</v>
      </c>
      <c r="V12" s="50" t="s">
        <v>194</v>
      </c>
      <c r="W12" s="50" t="s">
        <v>212</v>
      </c>
      <c r="X12"/>
      <c r="Y12" t="s">
        <v>194</v>
      </c>
      <c r="Z12" t="e">
        <f ca="1">OFFSET($S$12,1,MATCH($G19,$S$12:$W$12,0)-1,15,1)</f>
        <v>#VALUE!</v>
      </c>
    </row>
    <row r="13" spans="1:26" ht="17.25" customHeight="1" x14ac:dyDescent="0.3">
      <c r="A13" s="106" t="s">
        <v>8</v>
      </c>
      <c r="B13" s="106"/>
      <c r="C13" s="106"/>
      <c r="D13" s="106"/>
      <c r="E13" s="129" t="s">
        <v>232</v>
      </c>
      <c r="F13" s="129"/>
      <c r="G13" s="129"/>
      <c r="H13" s="129"/>
      <c r="S13" s="50" t="s">
        <v>180</v>
      </c>
      <c r="T13" s="50" t="s">
        <v>187</v>
      </c>
      <c r="U13" s="50" t="s">
        <v>209</v>
      </c>
      <c r="V13" s="50" t="s">
        <v>195</v>
      </c>
      <c r="W13" s="50" t="s">
        <v>213</v>
      </c>
      <c r="X13"/>
      <c r="Y13"/>
      <c r="Z13"/>
    </row>
    <row r="14" spans="1:26" x14ac:dyDescent="0.3">
      <c r="A14" s="106" t="s">
        <v>9</v>
      </c>
      <c r="B14" s="106"/>
      <c r="C14" s="106"/>
      <c r="D14" s="106"/>
      <c r="E14" s="129" t="s">
        <v>233</v>
      </c>
      <c r="F14" s="127"/>
      <c r="G14" s="127"/>
      <c r="H14" s="127"/>
      <c r="I14" s="206" t="e">
        <f ca="1">OFFSET($D$4,1,MATCH($J12,$D$4:$H$4,0)-1,15,1)</f>
        <v>#N/A</v>
      </c>
      <c r="J14" s="207"/>
      <c r="K14" s="207"/>
      <c r="L14" s="207"/>
      <c r="M14" s="207"/>
      <c r="N14" s="207"/>
      <c r="O14" s="207"/>
      <c r="P14" s="207"/>
      <c r="S14" s="50" t="s">
        <v>181</v>
      </c>
      <c r="T14" s="50" t="s">
        <v>188</v>
      </c>
      <c r="U14" s="50" t="s">
        <v>210</v>
      </c>
      <c r="V14" s="50" t="s">
        <v>196</v>
      </c>
      <c r="W14" s="50" t="s">
        <v>226</v>
      </c>
      <c r="X14"/>
      <c r="Y14"/>
      <c r="Z14"/>
    </row>
    <row r="15" spans="1:26" ht="36.75" customHeight="1" x14ac:dyDescent="0.3">
      <c r="A15" s="129" t="s">
        <v>10</v>
      </c>
      <c r="B15" s="129"/>
      <c r="C15" s="129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Estella, CTS No.87B, 87B/1 to 21, near Praful CHS, Mathuradas Road, , Malad, Kandivali  (West), Borivali, Mumbai - 400067.</v>
      </c>
      <c r="D15" s="129"/>
      <c r="E15" s="129"/>
      <c r="F15" s="129"/>
      <c r="G15" s="129"/>
      <c r="H15" s="129"/>
      <c r="S15" s="50" t="s">
        <v>182</v>
      </c>
      <c r="T15" s="50" t="s">
        <v>190</v>
      </c>
      <c r="U15" s="50" t="s">
        <v>211</v>
      </c>
      <c r="V15" s="50" t="s">
        <v>197</v>
      </c>
      <c r="W15" s="50" t="s">
        <v>214</v>
      </c>
      <c r="X15"/>
      <c r="Y15"/>
      <c r="Z15"/>
    </row>
    <row r="16" spans="1:26" x14ac:dyDescent="0.3">
      <c r="A16" s="129" t="s">
        <v>175</v>
      </c>
      <c r="B16" s="129"/>
      <c r="C16" s="129" t="s">
        <v>235</v>
      </c>
      <c r="D16" s="129"/>
      <c r="E16" s="129"/>
      <c r="F16" s="129"/>
      <c r="G16" s="129"/>
      <c r="H16" s="129"/>
      <c r="S16" s="50" t="s">
        <v>183</v>
      </c>
      <c r="T16" s="50" t="s">
        <v>191</v>
      </c>
      <c r="U16" s="50"/>
      <c r="V16" s="50" t="s">
        <v>198</v>
      </c>
      <c r="W16" s="50" t="s">
        <v>215</v>
      </c>
      <c r="X16"/>
      <c r="Y16"/>
      <c r="Z16"/>
    </row>
    <row r="17" spans="1:26" ht="15.75" customHeight="1" x14ac:dyDescent="0.3">
      <c r="A17" s="129" t="s">
        <v>162</v>
      </c>
      <c r="B17" s="129"/>
      <c r="C17" s="129" t="s">
        <v>29</v>
      </c>
      <c r="D17" s="129"/>
      <c r="E17" s="129"/>
      <c r="F17" s="129"/>
      <c r="G17" s="129"/>
      <c r="H17" s="129"/>
      <c r="S17" s="50" t="s">
        <v>184</v>
      </c>
      <c r="T17" s="50" t="s">
        <v>189</v>
      </c>
      <c r="U17" s="50"/>
      <c r="V17" s="50" t="s">
        <v>199</v>
      </c>
      <c r="W17" s="50" t="s">
        <v>216</v>
      </c>
      <c r="X17"/>
      <c r="Y17"/>
      <c r="Z17"/>
    </row>
    <row r="18" spans="1:26" ht="15.75" customHeight="1" x14ac:dyDescent="0.3">
      <c r="A18" s="129" t="s">
        <v>11</v>
      </c>
      <c r="B18" s="129"/>
      <c r="C18" s="127" t="s">
        <v>244</v>
      </c>
      <c r="D18" s="127"/>
      <c r="E18" s="129" t="s">
        <v>72</v>
      </c>
      <c r="F18" s="129"/>
      <c r="G18" s="129" t="s">
        <v>236</v>
      </c>
      <c r="H18" s="129"/>
      <c r="S18" s="50" t="s">
        <v>185</v>
      </c>
      <c r="T18" s="50" t="s">
        <v>192</v>
      </c>
      <c r="U18" s="50"/>
      <c r="V18" s="50" t="s">
        <v>200</v>
      </c>
      <c r="W18" s="50" t="s">
        <v>217</v>
      </c>
      <c r="X18"/>
      <c r="Y18"/>
      <c r="Z18"/>
    </row>
    <row r="19" spans="1:26" x14ac:dyDescent="0.3">
      <c r="A19" s="127" t="s">
        <v>13</v>
      </c>
      <c r="B19" s="127"/>
      <c r="C19" s="129" t="s">
        <v>253</v>
      </c>
      <c r="D19" s="129"/>
      <c r="E19" s="129" t="s">
        <v>12</v>
      </c>
      <c r="F19" s="129"/>
      <c r="G19" s="172" t="s">
        <v>171</v>
      </c>
      <c r="H19" s="172"/>
      <c r="S19" s="50" t="s">
        <v>186</v>
      </c>
      <c r="T19" s="50" t="s">
        <v>193</v>
      </c>
      <c r="U19" s="50"/>
      <c r="V19" s="50" t="s">
        <v>201</v>
      </c>
      <c r="W19" s="50" t="s">
        <v>218</v>
      </c>
      <c r="X19"/>
      <c r="Y19"/>
      <c r="Z19"/>
    </row>
    <row r="20" spans="1:26" x14ac:dyDescent="0.3">
      <c r="A20" s="127" t="s">
        <v>73</v>
      </c>
      <c r="B20" s="127"/>
      <c r="C20" s="129" t="s">
        <v>210</v>
      </c>
      <c r="D20" s="129"/>
      <c r="E20" s="129" t="s">
        <v>14</v>
      </c>
      <c r="F20" s="129"/>
      <c r="G20" s="129">
        <v>400067</v>
      </c>
      <c r="H20" s="129"/>
      <c r="S20" s="50"/>
      <c r="T20" s="50"/>
      <c r="U20" s="50"/>
      <c r="V20" s="50" t="s">
        <v>202</v>
      </c>
      <c r="W20" s="50" t="s">
        <v>219</v>
      </c>
      <c r="X20"/>
      <c r="Y20"/>
      <c r="Z20"/>
    </row>
    <row r="21" spans="1:26" ht="48.75" customHeight="1" x14ac:dyDescent="0.3">
      <c r="A21" s="106" t="s">
        <v>121</v>
      </c>
      <c r="B21" s="106"/>
      <c r="C21" s="129" t="s">
        <v>309</v>
      </c>
      <c r="D21" s="129"/>
      <c r="E21" s="157" t="s">
        <v>15</v>
      </c>
      <c r="F21" s="157"/>
      <c r="G21" s="129" t="s">
        <v>252</v>
      </c>
      <c r="H21" s="129"/>
      <c r="S21" s="50"/>
      <c r="T21" s="50"/>
      <c r="U21" s="50"/>
      <c r="V21" s="50" t="s">
        <v>203</v>
      </c>
      <c r="W21" s="50" t="s">
        <v>220</v>
      </c>
      <c r="X21"/>
      <c r="Y21"/>
      <c r="Z21"/>
    </row>
    <row r="22" spans="1:26" ht="15" customHeight="1" x14ac:dyDescent="0.3">
      <c r="A22" s="157" t="s">
        <v>74</v>
      </c>
      <c r="B22" s="157"/>
      <c r="C22" s="157"/>
      <c r="D22" s="157"/>
      <c r="E22" s="127" t="s">
        <v>16</v>
      </c>
      <c r="F22" s="127"/>
      <c r="G22" s="127"/>
      <c r="H22" s="127"/>
      <c r="S22" s="50"/>
      <c r="T22" s="50"/>
      <c r="U22" s="50"/>
      <c r="V22" s="50" t="s">
        <v>204</v>
      </c>
      <c r="W22" s="50" t="s">
        <v>221</v>
      </c>
      <c r="X22"/>
      <c r="Y22"/>
      <c r="Z22"/>
    </row>
    <row r="23" spans="1:26" ht="18.75" customHeight="1" x14ac:dyDescent="0.3">
      <c r="A23" s="157"/>
      <c r="B23" s="157"/>
      <c r="C23" s="157"/>
      <c r="D23" s="157"/>
      <c r="E23" s="127"/>
      <c r="F23" s="127"/>
      <c r="G23" s="127"/>
      <c r="H23" s="127"/>
      <c r="S23" s="50"/>
      <c r="T23" s="50"/>
      <c r="U23" s="50"/>
      <c r="V23" s="50" t="s">
        <v>205</v>
      </c>
      <c r="W23" s="50" t="s">
        <v>222</v>
      </c>
      <c r="X23"/>
      <c r="Y23"/>
      <c r="Z23"/>
    </row>
    <row r="24" spans="1:26" ht="15" customHeight="1" x14ac:dyDescent="0.3">
      <c r="A24" s="157" t="s">
        <v>17</v>
      </c>
      <c r="B24" s="157"/>
      <c r="C24" s="157"/>
      <c r="D24" s="157"/>
      <c r="E24" s="129" t="s">
        <v>18</v>
      </c>
      <c r="F24" s="129"/>
      <c r="G24" s="129"/>
      <c r="H24" s="129"/>
      <c r="S24" s="50"/>
      <c r="T24" s="50"/>
      <c r="U24" s="50"/>
      <c r="V24" s="50" t="s">
        <v>206</v>
      </c>
      <c r="W24" s="50" t="s">
        <v>223</v>
      </c>
      <c r="X24"/>
      <c r="Y24"/>
      <c r="Z24"/>
    </row>
    <row r="25" spans="1:26" ht="15" customHeight="1" x14ac:dyDescent="0.3">
      <c r="A25" s="106" t="s">
        <v>19</v>
      </c>
      <c r="B25" s="106"/>
      <c r="C25" s="106"/>
      <c r="D25" s="106"/>
      <c r="E25" s="129" t="str">
        <f>IF(AND(G19="Mumbai"),"Upper Class","Middle Class")</f>
        <v>Upper Class</v>
      </c>
      <c r="F25" s="129"/>
      <c r="G25" s="129"/>
      <c r="H25" s="129"/>
      <c r="S25" s="50"/>
      <c r="T25" s="50"/>
      <c r="U25" s="50"/>
      <c r="V25" s="50" t="s">
        <v>207</v>
      </c>
      <c r="W25" s="50" t="s">
        <v>224</v>
      </c>
      <c r="X25"/>
      <c r="Y25"/>
      <c r="Z25"/>
    </row>
    <row r="26" spans="1:26" x14ac:dyDescent="0.3">
      <c r="A26" s="106" t="s">
        <v>20</v>
      </c>
      <c r="B26" s="106"/>
      <c r="C26" s="106"/>
      <c r="D26" s="106"/>
      <c r="E26" s="129" t="s">
        <v>21</v>
      </c>
      <c r="F26" s="129"/>
      <c r="G26" s="129"/>
      <c r="H26" s="129"/>
      <c r="S26" s="50"/>
      <c r="T26" s="50"/>
      <c r="U26" s="50"/>
      <c r="V26" s="50" t="s">
        <v>208</v>
      </c>
      <c r="W26" s="50" t="s">
        <v>225</v>
      </c>
      <c r="X26"/>
      <c r="Y26"/>
      <c r="Z26"/>
    </row>
    <row r="27" spans="1:26" ht="15.75" customHeight="1" x14ac:dyDescent="0.3">
      <c r="A27" s="106" t="s">
        <v>22</v>
      </c>
      <c r="B27" s="106"/>
      <c r="C27" s="106"/>
      <c r="D27" s="106"/>
      <c r="E27" s="129" t="str">
        <f>IF(AND(G19="Mumbai"),"Developed","Developing")</f>
        <v>Developed</v>
      </c>
      <c r="F27" s="129"/>
      <c r="G27" s="129"/>
      <c r="H27" s="129"/>
    </row>
    <row r="28" spans="1:26" x14ac:dyDescent="0.3">
      <c r="A28" s="106" t="s">
        <v>23</v>
      </c>
      <c r="B28" s="106"/>
      <c r="C28" s="106"/>
      <c r="D28" s="106"/>
      <c r="E28" s="129" t="s">
        <v>24</v>
      </c>
      <c r="F28" s="129"/>
      <c r="G28" s="129"/>
      <c r="H28" s="129"/>
    </row>
    <row r="29" spans="1:26" ht="15.75" customHeight="1" x14ac:dyDescent="0.3">
      <c r="A29" s="106" t="s">
        <v>79</v>
      </c>
      <c r="B29" s="106"/>
      <c r="C29" s="106"/>
      <c r="D29" s="106"/>
      <c r="E29" s="129" t="s">
        <v>80</v>
      </c>
      <c r="F29" s="129"/>
      <c r="G29" s="129"/>
      <c r="H29" s="129"/>
    </row>
    <row r="30" spans="1:26" ht="15" customHeight="1" x14ac:dyDescent="0.3">
      <c r="A30" s="106" t="s">
        <v>32</v>
      </c>
      <c r="B30" s="106"/>
      <c r="C30" s="106"/>
      <c r="D30" s="106"/>
      <c r="E30" s="129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29"/>
      <c r="G30" s="129"/>
      <c r="H30" s="129"/>
    </row>
    <row r="31" spans="1:26" ht="15.75" customHeight="1" x14ac:dyDescent="0.3">
      <c r="A31" s="106" t="s">
        <v>91</v>
      </c>
      <c r="B31" s="106"/>
      <c r="C31" s="106"/>
      <c r="D31" s="106"/>
      <c r="E31" s="129" t="s">
        <v>33</v>
      </c>
      <c r="F31" s="129"/>
      <c r="G31" s="129"/>
      <c r="H31" s="129"/>
    </row>
    <row r="32" spans="1:26" s="20" customFormat="1" x14ac:dyDescent="0.3">
      <c r="A32" s="162" t="s">
        <v>92</v>
      </c>
      <c r="B32" s="162"/>
      <c r="C32" s="169" t="s">
        <v>172</v>
      </c>
      <c r="D32" s="170"/>
      <c r="E32" s="171"/>
      <c r="F32" s="169" t="s">
        <v>30</v>
      </c>
      <c r="G32" s="170"/>
      <c r="H32" s="171"/>
    </row>
    <row r="33" spans="1:8" s="20" customFormat="1" x14ac:dyDescent="0.3">
      <c r="A33" s="166" t="s">
        <v>25</v>
      </c>
      <c r="B33" s="166" t="s">
        <v>29</v>
      </c>
      <c r="C33" s="163" t="s">
        <v>255</v>
      </c>
      <c r="D33" s="164"/>
      <c r="E33" s="165"/>
      <c r="F33" s="163" t="s">
        <v>250</v>
      </c>
      <c r="G33" s="164"/>
      <c r="H33" s="165"/>
    </row>
    <row r="34" spans="1:8" x14ac:dyDescent="0.3">
      <c r="A34" s="166" t="s">
        <v>26</v>
      </c>
      <c r="B34" s="166" t="s">
        <v>29</v>
      </c>
      <c r="C34" s="163" t="s">
        <v>256</v>
      </c>
      <c r="D34" s="164"/>
      <c r="E34" s="165"/>
      <c r="F34" s="163" t="s">
        <v>251</v>
      </c>
      <c r="G34" s="164"/>
      <c r="H34" s="165"/>
    </row>
    <row r="35" spans="1:8" s="20" customFormat="1" x14ac:dyDescent="0.3">
      <c r="A35" s="166" t="s">
        <v>28</v>
      </c>
      <c r="B35" s="166" t="s">
        <v>29</v>
      </c>
      <c r="C35" s="163" t="s">
        <v>254</v>
      </c>
      <c r="D35" s="164"/>
      <c r="E35" s="165"/>
      <c r="F35" s="163" t="s">
        <v>249</v>
      </c>
      <c r="G35" s="164"/>
      <c r="H35" s="165"/>
    </row>
    <row r="36" spans="1:8" x14ac:dyDescent="0.3">
      <c r="A36" s="166" t="s">
        <v>27</v>
      </c>
      <c r="B36" s="166" t="s">
        <v>29</v>
      </c>
      <c r="C36" s="163" t="s">
        <v>255</v>
      </c>
      <c r="D36" s="164"/>
      <c r="E36" s="165"/>
      <c r="F36" s="163" t="s">
        <v>310</v>
      </c>
      <c r="G36" s="164"/>
      <c r="H36" s="165"/>
    </row>
    <row r="37" spans="1:8" x14ac:dyDescent="0.3">
      <c r="A37" s="106" t="s">
        <v>31</v>
      </c>
      <c r="B37" s="106"/>
      <c r="C37" s="106"/>
      <c r="D37" s="106"/>
      <c r="E37" s="106"/>
      <c r="F37" s="106"/>
      <c r="G37" s="106"/>
      <c r="H37" s="106"/>
    </row>
    <row r="38" spans="1:8" ht="15.75" customHeight="1" x14ac:dyDescent="0.3">
      <c r="A38" s="106" t="s">
        <v>165</v>
      </c>
      <c r="B38" s="106"/>
      <c r="C38" s="148" t="s">
        <v>246</v>
      </c>
      <c r="D38" s="148"/>
      <c r="E38" s="148"/>
      <c r="F38" s="148"/>
      <c r="G38" s="148"/>
      <c r="H38" s="148"/>
    </row>
    <row r="39" spans="1:8" x14ac:dyDescent="0.3">
      <c r="A39" s="106" t="s">
        <v>161</v>
      </c>
      <c r="B39" s="106"/>
      <c r="C39" s="168" t="s">
        <v>245</v>
      </c>
      <c r="D39" s="129"/>
      <c r="E39" s="129"/>
      <c r="F39" s="129"/>
      <c r="G39" s="129"/>
      <c r="H39" s="129"/>
    </row>
    <row r="40" spans="1:8" x14ac:dyDescent="0.3">
      <c r="A40" s="148" t="s">
        <v>34</v>
      </c>
      <c r="B40" s="148"/>
      <c r="C40" s="148"/>
      <c r="D40" s="148"/>
      <c r="E40" s="148"/>
      <c r="F40" s="148"/>
      <c r="G40" s="148"/>
      <c r="H40" s="148"/>
    </row>
    <row r="41" spans="1:8" x14ac:dyDescent="0.3">
      <c r="A41" s="127" t="s">
        <v>35</v>
      </c>
      <c r="B41" s="127"/>
      <c r="C41" s="127"/>
      <c r="D41" s="127"/>
      <c r="E41" s="167">
        <v>1278.5</v>
      </c>
      <c r="F41" s="167"/>
      <c r="G41" s="167"/>
      <c r="H41" s="167"/>
    </row>
    <row r="42" spans="1:8" x14ac:dyDescent="0.3">
      <c r="A42" s="127" t="s">
        <v>36</v>
      </c>
      <c r="B42" s="127"/>
      <c r="C42" s="127"/>
      <c r="D42" s="127"/>
      <c r="E42" s="160">
        <v>1</v>
      </c>
      <c r="F42" s="160"/>
      <c r="G42" s="160"/>
      <c r="H42" s="160"/>
    </row>
    <row r="43" spans="1:8" x14ac:dyDescent="0.3">
      <c r="A43" s="127" t="s">
        <v>37</v>
      </c>
      <c r="B43" s="127"/>
      <c r="C43" s="127"/>
      <c r="D43" s="127"/>
      <c r="E43" s="160">
        <f>E45/E41-E42</f>
        <v>3.2906531091122408</v>
      </c>
      <c r="F43" s="160"/>
      <c r="G43" s="160"/>
      <c r="H43" s="160"/>
    </row>
    <row r="44" spans="1:8" x14ac:dyDescent="0.3">
      <c r="A44" s="127" t="s">
        <v>38</v>
      </c>
      <c r="B44" s="127"/>
      <c r="C44" s="127"/>
      <c r="D44" s="127"/>
      <c r="E44" s="160">
        <f>E42+E43</f>
        <v>4.2906531091122408</v>
      </c>
      <c r="F44" s="160"/>
      <c r="G44" s="160"/>
      <c r="H44" s="160"/>
    </row>
    <row r="45" spans="1:8" x14ac:dyDescent="0.3">
      <c r="A45" s="127" t="s">
        <v>90</v>
      </c>
      <c r="B45" s="127"/>
      <c r="C45" s="127"/>
      <c r="D45" s="127"/>
      <c r="E45" s="161">
        <v>5485.6</v>
      </c>
      <c r="F45" s="161"/>
      <c r="G45" s="161"/>
      <c r="H45" s="161"/>
    </row>
    <row r="46" spans="1:8" x14ac:dyDescent="0.3">
      <c r="A46" s="127" t="s">
        <v>39</v>
      </c>
      <c r="B46" s="127"/>
      <c r="C46" s="127"/>
      <c r="D46" s="127"/>
      <c r="E46" s="127" t="s">
        <v>120</v>
      </c>
      <c r="F46" s="127"/>
      <c r="G46" s="127"/>
      <c r="H46" s="127"/>
    </row>
    <row r="47" spans="1:8" x14ac:dyDescent="0.3">
      <c r="A47" s="148" t="s">
        <v>40</v>
      </c>
      <c r="B47" s="148"/>
      <c r="C47" s="148"/>
      <c r="D47" s="148"/>
      <c r="E47" s="148"/>
      <c r="F47" s="148"/>
      <c r="G47" s="148"/>
      <c r="H47" s="148"/>
    </row>
    <row r="48" spans="1:8" ht="33.75" customHeight="1" x14ac:dyDescent="0.3">
      <c r="A48" s="150" t="s">
        <v>150</v>
      </c>
      <c r="B48" s="151"/>
      <c r="C48" s="152" t="s">
        <v>237</v>
      </c>
      <c r="D48" s="153"/>
      <c r="E48" s="153"/>
      <c r="F48" s="153"/>
      <c r="G48" s="153"/>
      <c r="H48" s="154"/>
    </row>
    <row r="49" spans="1:14" x14ac:dyDescent="0.3">
      <c r="A49" s="155" t="s">
        <v>41</v>
      </c>
      <c r="B49" s="113"/>
      <c r="C49" s="155" t="s">
        <v>294</v>
      </c>
      <c r="D49" s="156"/>
      <c r="E49" s="113"/>
      <c r="F49" s="18" t="s">
        <v>42</v>
      </c>
      <c r="G49" s="112">
        <v>45384</v>
      </c>
      <c r="H49" s="113"/>
    </row>
    <row r="50" spans="1:14" x14ac:dyDescent="0.3">
      <c r="A50" s="155" t="s">
        <v>43</v>
      </c>
      <c r="B50" s="113"/>
      <c r="C50" s="155" t="str">
        <f>C49</f>
        <v>R-S/PVT/0088/20220719/AP/COM</v>
      </c>
      <c r="D50" s="156"/>
      <c r="E50" s="113"/>
      <c r="F50" s="18" t="s">
        <v>42</v>
      </c>
      <c r="G50" s="112">
        <f>G49</f>
        <v>45384</v>
      </c>
      <c r="H50" s="113"/>
    </row>
    <row r="51" spans="1:14" s="21" customFormat="1" ht="18.75" customHeight="1" x14ac:dyDescent="0.3">
      <c r="A51" s="114" t="s">
        <v>154</v>
      </c>
      <c r="B51" s="115"/>
      <c r="C51" s="155" t="s">
        <v>238</v>
      </c>
      <c r="D51" s="156"/>
      <c r="E51" s="113"/>
      <c r="F51" s="18" t="s">
        <v>42</v>
      </c>
      <c r="G51" s="112">
        <v>45238</v>
      </c>
      <c r="H51" s="113"/>
    </row>
    <row r="52" spans="1:14" s="21" customFormat="1" ht="46.5" customHeight="1" x14ac:dyDescent="0.3">
      <c r="A52" s="116"/>
      <c r="B52" s="117"/>
      <c r="C52" s="155" t="s">
        <v>311</v>
      </c>
      <c r="D52" s="156"/>
      <c r="E52" s="156"/>
      <c r="F52" s="156"/>
      <c r="G52" s="156"/>
      <c r="H52" s="113"/>
    </row>
    <row r="53" spans="1:14" x14ac:dyDescent="0.3">
      <c r="A53" s="209" t="s">
        <v>44</v>
      </c>
      <c r="B53" s="210"/>
      <c r="C53" s="209" t="s">
        <v>104</v>
      </c>
      <c r="D53" s="211"/>
      <c r="E53" s="210"/>
      <c r="F53" s="42" t="s">
        <v>42</v>
      </c>
      <c r="G53" s="158" t="s">
        <v>29</v>
      </c>
      <c r="H53" s="159"/>
    </row>
    <row r="54" spans="1:14" x14ac:dyDescent="0.3">
      <c r="A54" s="180" t="s">
        <v>46</v>
      </c>
      <c r="B54" s="180"/>
      <c r="C54" s="180"/>
      <c r="D54" s="180"/>
      <c r="E54" s="180"/>
      <c r="F54" s="180"/>
      <c r="G54" s="180"/>
      <c r="H54" s="180"/>
    </row>
    <row r="55" spans="1:14" x14ac:dyDescent="0.3">
      <c r="A55" s="157" t="s">
        <v>89</v>
      </c>
      <c r="B55" s="157"/>
      <c r="C55" s="157"/>
      <c r="D55" s="106">
        <f>E45</f>
        <v>5485.6</v>
      </c>
      <c r="E55" s="106"/>
      <c r="F55" s="106"/>
      <c r="G55" s="106"/>
      <c r="H55" s="106"/>
    </row>
    <row r="56" spans="1:14" x14ac:dyDescent="0.3">
      <c r="A56" s="129" t="s">
        <v>47</v>
      </c>
      <c r="B56" s="127"/>
      <c r="C56" s="127"/>
      <c r="D56" s="127" t="s">
        <v>306</v>
      </c>
      <c r="E56" s="127"/>
      <c r="F56" s="127"/>
      <c r="G56" s="127"/>
      <c r="H56" s="127"/>
      <c r="I56" s="22"/>
    </row>
    <row r="57" spans="1:14" x14ac:dyDescent="0.3">
      <c r="A57" s="136" t="s">
        <v>48</v>
      </c>
      <c r="B57" s="137"/>
      <c r="C57" s="149"/>
      <c r="D57" s="134" t="s">
        <v>243</v>
      </c>
      <c r="E57" s="131"/>
      <c r="F57" s="131"/>
      <c r="G57" s="131"/>
      <c r="H57" s="131"/>
    </row>
    <row r="58" spans="1:14" ht="15.75" customHeight="1" x14ac:dyDescent="0.3">
      <c r="A58" s="136" t="s">
        <v>87</v>
      </c>
      <c r="B58" s="137"/>
      <c r="C58" s="137"/>
      <c r="D58" s="129" t="s">
        <v>243</v>
      </c>
      <c r="E58" s="127"/>
      <c r="F58" s="127"/>
      <c r="G58" s="127"/>
      <c r="H58" s="127"/>
    </row>
    <row r="59" spans="1:14" ht="15.75" customHeight="1" x14ac:dyDescent="0.3">
      <c r="A59" s="127" t="s">
        <v>45</v>
      </c>
      <c r="B59" s="127"/>
      <c r="C59" s="127"/>
      <c r="D59" s="128" t="s">
        <v>317</v>
      </c>
      <c r="E59" s="128"/>
      <c r="F59" s="128"/>
      <c r="G59" s="128"/>
      <c r="H59" s="128"/>
      <c r="J59" s="23"/>
      <c r="K59" s="22"/>
      <c r="N59" s="22"/>
    </row>
    <row r="60" spans="1:14" ht="15.75" customHeight="1" x14ac:dyDescent="0.3">
      <c r="A60" s="127" t="s">
        <v>85</v>
      </c>
      <c r="B60" s="127"/>
      <c r="C60" s="127"/>
      <c r="D60" s="135" t="str">
        <f>(IF(G53="NA","60 Years After Completion",IF(G53&lt;&gt;"NA",""&amp;60-ROUNDDOWN((E3-G53)/360,0)&amp;" Years"," ")))</f>
        <v>60 Years After Completion</v>
      </c>
      <c r="E60" s="135"/>
      <c r="F60" s="135"/>
      <c r="G60" s="135"/>
      <c r="H60" s="135"/>
      <c r="N60" s="22"/>
    </row>
    <row r="61" spans="1:14" ht="15.75" customHeight="1" x14ac:dyDescent="0.3">
      <c r="A61" s="127" t="s">
        <v>86</v>
      </c>
      <c r="B61" s="127"/>
      <c r="C61" s="127"/>
      <c r="D61" s="129" t="s">
        <v>24</v>
      </c>
      <c r="E61" s="129"/>
      <c r="F61" s="129"/>
      <c r="G61" s="129"/>
      <c r="H61" s="129"/>
      <c r="J61" s="24"/>
      <c r="K61" s="24"/>
    </row>
    <row r="62" spans="1:14" ht="30.9" customHeight="1" x14ac:dyDescent="0.3">
      <c r="A62" s="127" t="s">
        <v>239</v>
      </c>
      <c r="B62" s="127"/>
      <c r="C62" s="127"/>
      <c r="D62" s="129" t="s">
        <v>240</v>
      </c>
      <c r="E62" s="129"/>
      <c r="F62" s="129"/>
      <c r="G62" s="129"/>
      <c r="H62" s="129"/>
    </row>
    <row r="63" spans="1:14" x14ac:dyDescent="0.3">
      <c r="A63" s="129" t="s">
        <v>147</v>
      </c>
      <c r="B63" s="129"/>
      <c r="C63" s="129"/>
      <c r="D63" s="129" t="s">
        <v>29</v>
      </c>
      <c r="E63" s="129"/>
      <c r="F63" s="129"/>
      <c r="G63" s="129"/>
      <c r="H63" s="129"/>
      <c r="I63" s="25"/>
      <c r="J63" s="25"/>
      <c r="K63" s="25"/>
      <c r="L63" s="25"/>
      <c r="M63" s="25"/>
      <c r="N63" s="25"/>
    </row>
    <row r="64" spans="1:14" ht="15.75" customHeight="1" x14ac:dyDescent="0.3">
      <c r="A64" s="131" t="s">
        <v>84</v>
      </c>
      <c r="B64" s="131"/>
      <c r="C64" s="131"/>
      <c r="D64" s="134" t="str">
        <f ca="1">(IF(G70&gt;95%,"Nothing",IF(G70&gt;0%,"Cement, Aggregate, Steel, etc",IF(G70=0%,"Work not yet Started"))))</f>
        <v>Cement, Aggregate, Steel, etc</v>
      </c>
      <c r="E64" s="134"/>
      <c r="F64" s="134"/>
      <c r="G64" s="134"/>
      <c r="H64" s="134"/>
      <c r="J64" s="24"/>
    </row>
    <row r="65" spans="1:10" ht="33.75" customHeight="1" thickBot="1" x14ac:dyDescent="0.35">
      <c r="A65" s="134" t="s">
        <v>117</v>
      </c>
      <c r="B65" s="134"/>
      <c r="C65" s="134"/>
      <c r="D65" s="134" t="str">
        <f ca="1">(IF(D64="Nothing","Yes",IF(D64="Cement, Aggregate, Steel, etc","Under Construction",IF(D64="Work not yet Started","Work not yet Started"))))</f>
        <v>Under Construction</v>
      </c>
      <c r="E65" s="134"/>
      <c r="F65" s="134" t="str">
        <f ca="1">(IF(D64="Nothing","Yes",IF(D64="Cement, Aggregate, Steel, etc","Under Construction",IF(D64="Work not yet Started","Work not yet Started"))))</f>
        <v>Under Construction</v>
      </c>
      <c r="G65" s="134"/>
      <c r="H65" s="134"/>
    </row>
    <row r="66" spans="1:10" ht="15.75" customHeight="1" x14ac:dyDescent="0.3">
      <c r="A66" s="122" t="s">
        <v>139</v>
      </c>
      <c r="B66" s="123"/>
      <c r="C66" s="124" t="str">
        <f>D58</f>
        <v>1B+ Gr + 1st to 21st Floor</v>
      </c>
      <c r="D66" s="125"/>
      <c r="E66" s="125"/>
      <c r="F66" s="125"/>
      <c r="G66" s="125"/>
      <c r="H66" s="126"/>
      <c r="I66" s="44" t="str">
        <f ca="1">IF(D79=100%,"All work Completed. Possession granted to the Building.",IF(D78=100%,"All work Completed, Waiting for OC",I67&amp;""&amp;I68&amp;""&amp;J67&amp;""&amp;J66&amp;" "&amp;J68))</f>
        <v>Excavation, Plinth Completed, RCC upto 14 Slab, Brickwork upto 9 Floor, Internal Plaster upto 7 Floor, External Plaster upto 1 Floor, Flooring upto 1 Floor, Painting upto 1 Floor Completed</v>
      </c>
      <c r="J66" s="45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14 Slab, Brickwork upto 9 Floor, Internal Plaster upto 7 Floor, External Plaster upto 1 Floor, Flooring upto 1 Floor, Painting upto 1 Floor</v>
      </c>
    </row>
    <row r="67" spans="1:10" x14ac:dyDescent="0.3">
      <c r="A67" s="16" t="s">
        <v>141</v>
      </c>
      <c r="B67" s="48">
        <f>IF(AND(ISNUMBER(SEARCH("1B",C66))),1,IF(AND(ISNUMBER(SEARCH("2B",C66))),2,IF(AND(ISNUMBER(SEARCH("3B",C66))),3,IF(AND(ISNUMBER(SEARCH("4B",C66))),4,IF(ISNUMBER(SEARCH("5B",C66)),5,0)))))</f>
        <v>1</v>
      </c>
      <c r="C67" s="48" t="s">
        <v>71</v>
      </c>
      <c r="D67" s="48">
        <v>1</v>
      </c>
      <c r="E67" s="48" t="s">
        <v>70</v>
      </c>
      <c r="F67" s="48">
        <v>0</v>
      </c>
      <c r="G67" s="48" t="s">
        <v>78</v>
      </c>
      <c r="H67" s="17">
        <f ca="1">--TRIM(RIGHT(SUBSTITUTE(LEFT(C66,_xlfn.AGGREGATE(16,6,FIND({0,1,2,3,4,5,6,7,8,9},C66,ROW(INDIRECT("1:"&amp;LEN(C66)))),1))," ",REPT(" ",LEN(C66))),LEN(C66)))</f>
        <v>21</v>
      </c>
      <c r="I67" s="46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7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45.9" customHeight="1" x14ac:dyDescent="0.3">
      <c r="A68" s="120" t="s">
        <v>88</v>
      </c>
      <c r="B68" s="121"/>
      <c r="C68" s="132" t="str">
        <f ca="1">I66</f>
        <v>Excavation, Plinth Completed, RCC upto 14 Slab, Brickwork upto 9 Floor, Internal Plaster upto 7 Floor, External Plaster upto 1 Floor, Flooring upto 1 Floor, Painting upto 1 Floor Completed</v>
      </c>
      <c r="D68" s="132"/>
      <c r="E68" s="132"/>
      <c r="F68" s="132"/>
      <c r="G68" s="132"/>
      <c r="H68" s="133"/>
      <c r="I68" s="46" t="str">
        <f ca="1">IF(I67&lt;&gt;""," Completed","")</f>
        <v xml:space="preserve"> Completed</v>
      </c>
      <c r="J68" s="47" t="str">
        <f ca="1">IF(J66&lt;&gt;"","Completed","")</f>
        <v>Completed</v>
      </c>
    </row>
    <row r="69" spans="1:10" ht="15.75" customHeight="1" x14ac:dyDescent="0.3">
      <c r="A69" s="118" t="s">
        <v>49</v>
      </c>
      <c r="B69" s="119"/>
      <c r="C69" s="53" t="s">
        <v>138</v>
      </c>
      <c r="D69" s="53" t="s">
        <v>81</v>
      </c>
      <c r="E69" s="119" t="s">
        <v>83</v>
      </c>
      <c r="F69" s="119"/>
      <c r="G69" s="119" t="s">
        <v>82</v>
      </c>
      <c r="H69" s="130"/>
      <c r="I69" s="14" t="s">
        <v>140</v>
      </c>
      <c r="J69" s="26">
        <f ca="1">H67*25%</f>
        <v>5.25</v>
      </c>
    </row>
    <row r="70" spans="1:10" x14ac:dyDescent="0.3">
      <c r="A70" s="118" t="s">
        <v>127</v>
      </c>
      <c r="B70" s="119"/>
      <c r="C70" s="53">
        <f ca="1">J71</f>
        <v>21</v>
      </c>
      <c r="D70" s="54">
        <f ca="1">((100/H67)*C70)/100</f>
        <v>1</v>
      </c>
      <c r="E70" s="138">
        <f ca="1">(((C71/H67*10)+(40/(D67+F67+H67)*C72)+(7.5/(H67)*C73)+(7.5/(H67)*C74)+(10/H67*C75)+(10/H67*C76)+(5/H67*C77)+(5/H67*C78)+(5/H67*C79))/100)</f>
        <v>0.42359307359307358</v>
      </c>
      <c r="F70" s="139"/>
      <c r="G70" s="138">
        <f ca="1">((((C70/H67)*20)+((C71/H67)*25)+(30/(H67+F67+D67)*C72)+(5/H67*C73)+(5/H67*C74)+(5/H67*C75)+(5/H67*C76)+(0/H67*C77)+(0/H67*C78)+(5/H67*C79))/100)</f>
        <v>0.6837662337662338</v>
      </c>
      <c r="H70" s="144"/>
      <c r="I70" s="14" t="s">
        <v>99</v>
      </c>
      <c r="J70" s="27">
        <f ca="1">H67*50%</f>
        <v>10.5</v>
      </c>
    </row>
    <row r="71" spans="1:10" x14ac:dyDescent="0.3">
      <c r="A71" s="118" t="s">
        <v>50</v>
      </c>
      <c r="B71" s="119"/>
      <c r="C71" s="55">
        <f ca="1">J79</f>
        <v>21</v>
      </c>
      <c r="D71" s="54">
        <f ca="1">((100/H67)*C71)/100</f>
        <v>1</v>
      </c>
      <c r="E71" s="140"/>
      <c r="F71" s="141"/>
      <c r="G71" s="140"/>
      <c r="H71" s="145"/>
      <c r="I71" s="14" t="s">
        <v>100</v>
      </c>
      <c r="J71" s="27">
        <f ca="1">H67</f>
        <v>21</v>
      </c>
    </row>
    <row r="72" spans="1:10" ht="15.75" customHeight="1" x14ac:dyDescent="0.3">
      <c r="A72" s="118" t="s">
        <v>128</v>
      </c>
      <c r="B72" s="119"/>
      <c r="C72" s="53">
        <v>14</v>
      </c>
      <c r="D72" s="54">
        <f ca="1">((100/(D67+F67+H67))*C72)/100</f>
        <v>0.63636363636363635</v>
      </c>
      <c r="E72" s="140"/>
      <c r="F72" s="141"/>
      <c r="G72" s="140"/>
      <c r="H72" s="145"/>
      <c r="I72" s="14" t="s">
        <v>101</v>
      </c>
      <c r="J72" s="28">
        <f ca="1">(IF(B67&gt;1,(H67/(B67+2)),H67/4))</f>
        <v>5.25</v>
      </c>
    </row>
    <row r="73" spans="1:10" ht="15.75" customHeight="1" x14ac:dyDescent="0.3">
      <c r="A73" s="118" t="s">
        <v>135</v>
      </c>
      <c r="B73" s="119" t="s">
        <v>129</v>
      </c>
      <c r="C73" s="53">
        <v>9</v>
      </c>
      <c r="D73" s="54">
        <f ca="1">((100/H67)*C73)/100</f>
        <v>0.42857142857142855</v>
      </c>
      <c r="E73" s="140"/>
      <c r="F73" s="141"/>
      <c r="G73" s="140"/>
      <c r="H73" s="145"/>
      <c r="I73" s="14" t="s">
        <v>102</v>
      </c>
      <c r="J73" s="28">
        <f ca="1">(IF(B67&gt;1,(H67/(B67+2)+J72),H67/4+J72))</f>
        <v>10.5</v>
      </c>
    </row>
    <row r="74" spans="1:10" ht="15.75" customHeight="1" x14ac:dyDescent="0.3">
      <c r="A74" s="118" t="s">
        <v>136</v>
      </c>
      <c r="B74" s="119" t="s">
        <v>129</v>
      </c>
      <c r="C74" s="53">
        <v>7</v>
      </c>
      <c r="D74" s="54">
        <f ca="1">((100/H67)*C74)/100</f>
        <v>0.33333333333333337</v>
      </c>
      <c r="E74" s="140"/>
      <c r="F74" s="141"/>
      <c r="G74" s="140"/>
      <c r="H74" s="145"/>
      <c r="I74" s="14" t="s">
        <v>145</v>
      </c>
      <c r="J74" s="28">
        <f>(IF(B67&gt;1,(H67/(B67+2)+J73),0))</f>
        <v>0</v>
      </c>
    </row>
    <row r="75" spans="1:10" ht="15" customHeight="1" x14ac:dyDescent="0.3">
      <c r="A75" s="118" t="s">
        <v>134</v>
      </c>
      <c r="B75" s="119" t="s">
        <v>131</v>
      </c>
      <c r="C75" s="53">
        <v>1</v>
      </c>
      <c r="D75" s="54">
        <f ca="1">((100/(H67))*C75)/100</f>
        <v>4.7619047619047616E-2</v>
      </c>
      <c r="E75" s="140"/>
      <c r="F75" s="141"/>
      <c r="G75" s="140"/>
      <c r="H75" s="145"/>
      <c r="I75" s="14" t="s">
        <v>142</v>
      </c>
      <c r="J75" s="28">
        <f>(IF(B67&gt;2,(H67/(B67+2)+J74),0))</f>
        <v>0</v>
      </c>
    </row>
    <row r="76" spans="1:10" ht="15.75" customHeight="1" x14ac:dyDescent="0.3">
      <c r="A76" s="118" t="s">
        <v>130</v>
      </c>
      <c r="B76" s="119" t="s">
        <v>130</v>
      </c>
      <c r="C76" s="53">
        <v>1</v>
      </c>
      <c r="D76" s="54">
        <f ca="1">((100/H67)*C76)/100</f>
        <v>4.7619047619047616E-2</v>
      </c>
      <c r="E76" s="140"/>
      <c r="F76" s="141"/>
      <c r="G76" s="140"/>
      <c r="H76" s="145"/>
      <c r="I76" s="14" t="s">
        <v>143</v>
      </c>
      <c r="J76" s="29">
        <f>(IF(B67&gt;3,(H67/(B67+2)+J75),0))</f>
        <v>0</v>
      </c>
    </row>
    <row r="77" spans="1:10" ht="15.75" customHeight="1" x14ac:dyDescent="0.3">
      <c r="A77" s="118" t="s">
        <v>137</v>
      </c>
      <c r="B77" s="119"/>
      <c r="C77" s="53">
        <v>1</v>
      </c>
      <c r="D77" s="54">
        <f ca="1">((100/H67)*C77)/100</f>
        <v>4.7619047619047616E-2</v>
      </c>
      <c r="E77" s="140"/>
      <c r="F77" s="141"/>
      <c r="G77" s="140"/>
      <c r="H77" s="145"/>
      <c r="I77" s="14" t="s">
        <v>144</v>
      </c>
      <c r="J77" s="28">
        <f>(IF(B67&gt;4,(H67/(B67+2)+J76),0))</f>
        <v>0</v>
      </c>
    </row>
    <row r="78" spans="1:10" ht="15.75" customHeight="1" x14ac:dyDescent="0.3">
      <c r="A78" s="118" t="s">
        <v>132</v>
      </c>
      <c r="B78" s="119" t="s">
        <v>132</v>
      </c>
      <c r="C78" s="53">
        <v>0</v>
      </c>
      <c r="D78" s="54">
        <f ca="1">((100/(H67))*C78)/100</f>
        <v>0</v>
      </c>
      <c r="E78" s="140"/>
      <c r="F78" s="141"/>
      <c r="G78" s="140"/>
      <c r="H78" s="145"/>
      <c r="I78" s="14" t="s">
        <v>146</v>
      </c>
      <c r="J78" s="28">
        <f ca="1">(IF(B67=1,(H67/(B67+3)+J73),IF(B67=0,(H67/4+J73),IF(B67&gt;1,0))))</f>
        <v>15.75</v>
      </c>
    </row>
    <row r="79" spans="1:10" ht="16.2" thickBot="1" x14ac:dyDescent="0.35">
      <c r="A79" s="110" t="s">
        <v>133</v>
      </c>
      <c r="B79" s="111"/>
      <c r="C79" s="56">
        <v>0</v>
      </c>
      <c r="D79" s="57">
        <f ca="1">((100/(H67))*C79)/100</f>
        <v>0</v>
      </c>
      <c r="E79" s="142"/>
      <c r="F79" s="143"/>
      <c r="G79" s="142"/>
      <c r="H79" s="146"/>
      <c r="I79" s="15" t="s">
        <v>103</v>
      </c>
      <c r="J79" s="30">
        <f ca="1">(IF(B67&gt;1.5,(H67/(B67+2)+J73+MAX(0,J74-J73)+MAX(0,J75-J74)+MAX(0,J76-J75)+MAX(0,J77-J76)+MAX(0,J78-J77)),IF(B67=1,(H67/(B67+3)+J78),IF(B67=0,H67/4+J78))))</f>
        <v>21</v>
      </c>
    </row>
    <row r="80" spans="1:10" x14ac:dyDescent="0.3">
      <c r="A80" s="109" t="s">
        <v>156</v>
      </c>
      <c r="B80" s="109"/>
      <c r="C80" s="109"/>
      <c r="D80" s="109"/>
      <c r="E80" s="109"/>
      <c r="F80" s="202" t="s">
        <v>159</v>
      </c>
      <c r="G80" s="202"/>
      <c r="H80" s="202"/>
    </row>
    <row r="81" spans="1:10" x14ac:dyDescent="0.3">
      <c r="A81" s="106" t="s">
        <v>157</v>
      </c>
      <c r="B81" s="106"/>
      <c r="C81" s="106"/>
      <c r="D81" s="106"/>
      <c r="E81" s="106"/>
      <c r="F81" s="105">
        <v>16000</v>
      </c>
      <c r="G81" s="105"/>
      <c r="H81" s="105"/>
    </row>
    <row r="82" spans="1:10" x14ac:dyDescent="0.3">
      <c r="A82" s="106" t="s">
        <v>282</v>
      </c>
      <c r="B82" s="106"/>
      <c r="C82" s="106"/>
      <c r="D82" s="106"/>
      <c r="E82" s="106"/>
      <c r="F82" s="105">
        <v>25000</v>
      </c>
      <c r="G82" s="105"/>
      <c r="H82" s="105"/>
    </row>
    <row r="83" spans="1:10" hidden="1" x14ac:dyDescent="0.3">
      <c r="A83" s="106" t="s">
        <v>158</v>
      </c>
      <c r="B83" s="106"/>
      <c r="C83" s="106"/>
      <c r="D83" s="106"/>
      <c r="E83" s="106"/>
      <c r="F83" s="105"/>
      <c r="G83" s="105"/>
      <c r="H83" s="105"/>
    </row>
    <row r="84" spans="1:10" s="31" customFormat="1" hidden="1" x14ac:dyDescent="0.25">
      <c r="A84" s="106" t="s">
        <v>174</v>
      </c>
      <c r="B84" s="106"/>
      <c r="C84" s="106"/>
      <c r="D84" s="106"/>
      <c r="E84" s="106"/>
      <c r="F84" s="105"/>
      <c r="G84" s="105"/>
      <c r="H84" s="105"/>
    </row>
    <row r="85" spans="1:10" s="31" customFormat="1" hidden="1" x14ac:dyDescent="0.25">
      <c r="A85" s="106" t="s">
        <v>93</v>
      </c>
      <c r="B85" s="106"/>
      <c r="C85" s="106"/>
      <c r="D85" s="106"/>
      <c r="E85" s="106"/>
      <c r="F85" s="105"/>
      <c r="G85" s="105"/>
      <c r="H85" s="105"/>
    </row>
    <row r="86" spans="1:10" s="31" customFormat="1" hidden="1" x14ac:dyDescent="0.25">
      <c r="A86" s="106" t="s">
        <v>94</v>
      </c>
      <c r="B86" s="106"/>
      <c r="C86" s="106"/>
      <c r="D86" s="106"/>
      <c r="E86" s="106"/>
      <c r="F86" s="105"/>
      <c r="G86" s="105"/>
      <c r="H86" s="105"/>
    </row>
    <row r="87" spans="1:10" s="31" customFormat="1" hidden="1" x14ac:dyDescent="0.25">
      <c r="A87" s="106" t="s">
        <v>160</v>
      </c>
      <c r="B87" s="106"/>
      <c r="C87" s="106"/>
      <c r="D87" s="106"/>
      <c r="E87" s="106"/>
      <c r="F87" s="105"/>
      <c r="G87" s="105"/>
      <c r="H87" s="105"/>
    </row>
    <row r="88" spans="1:10" s="31" customFormat="1" hidden="1" x14ac:dyDescent="0.25">
      <c r="A88" s="106" t="s">
        <v>95</v>
      </c>
      <c r="B88" s="106"/>
      <c r="C88" s="106"/>
      <c r="D88" s="106"/>
      <c r="E88" s="106"/>
      <c r="F88" s="105"/>
      <c r="G88" s="105"/>
      <c r="H88" s="105"/>
    </row>
    <row r="89" spans="1:10" s="31" customFormat="1" hidden="1" x14ac:dyDescent="0.25">
      <c r="A89" s="106" t="s">
        <v>96</v>
      </c>
      <c r="B89" s="106"/>
      <c r="C89" s="106"/>
      <c r="D89" s="106"/>
      <c r="E89" s="106"/>
      <c r="F89" s="105"/>
      <c r="G89" s="105"/>
      <c r="H89" s="105"/>
    </row>
    <row r="90" spans="1:10" s="31" customFormat="1" hidden="1" x14ac:dyDescent="0.25">
      <c r="A90" s="106" t="s">
        <v>97</v>
      </c>
      <c r="B90" s="106"/>
      <c r="C90" s="106"/>
      <c r="D90" s="106"/>
      <c r="E90" s="106"/>
      <c r="F90" s="105"/>
      <c r="G90" s="105"/>
      <c r="H90" s="105"/>
    </row>
    <row r="91" spans="1:10" s="31" customFormat="1" hidden="1" x14ac:dyDescent="0.25">
      <c r="A91" s="106" t="s">
        <v>98</v>
      </c>
      <c r="B91" s="106"/>
      <c r="C91" s="106"/>
      <c r="D91" s="106"/>
      <c r="E91" s="106"/>
      <c r="F91" s="105"/>
      <c r="G91" s="105"/>
      <c r="H91" s="105"/>
    </row>
    <row r="92" spans="1:10" x14ac:dyDescent="0.3">
      <c r="A92" s="106" t="s">
        <v>314</v>
      </c>
      <c r="B92" s="106"/>
      <c r="C92" s="106"/>
      <c r="D92" s="106"/>
      <c r="E92" s="106"/>
      <c r="F92" s="105">
        <v>23000</v>
      </c>
      <c r="G92" s="105"/>
      <c r="H92" s="105"/>
    </row>
    <row r="93" spans="1:10" x14ac:dyDescent="0.3">
      <c r="A93" s="127" t="s">
        <v>51</v>
      </c>
      <c r="B93" s="127"/>
      <c r="C93" s="127"/>
      <c r="D93" s="127"/>
      <c r="E93" s="127"/>
      <c r="F93" s="105">
        <v>600000</v>
      </c>
      <c r="G93" s="105"/>
      <c r="H93" s="105"/>
    </row>
    <row r="94" spans="1:10" s="32" customFormat="1" x14ac:dyDescent="0.3">
      <c r="A94" s="148" t="s">
        <v>52</v>
      </c>
      <c r="B94" s="148"/>
      <c r="C94" s="148"/>
      <c r="D94" s="148"/>
      <c r="E94" s="148"/>
      <c r="F94" s="105">
        <f>F81*0.8</f>
        <v>12800</v>
      </c>
      <c r="G94" s="105"/>
      <c r="H94" s="105"/>
    </row>
    <row r="95" spans="1:10" s="33" customFormat="1" ht="15.75" customHeight="1" x14ac:dyDescent="0.3">
      <c r="A95" s="178" t="s">
        <v>273</v>
      </c>
      <c r="B95" s="178"/>
      <c r="C95" s="178"/>
      <c r="D95" s="178"/>
      <c r="E95" s="178"/>
      <c r="F95" s="178"/>
      <c r="G95" s="178"/>
      <c r="H95" s="178"/>
    </row>
    <row r="96" spans="1:10" s="33" customFormat="1" ht="15.75" customHeight="1" x14ac:dyDescent="0.3">
      <c r="A96" s="181" t="s">
        <v>53</v>
      </c>
      <c r="B96" s="181"/>
      <c r="C96" s="93" t="s">
        <v>76</v>
      </c>
      <c r="D96" s="93"/>
      <c r="E96" s="196" t="s">
        <v>54</v>
      </c>
      <c r="F96" s="196"/>
      <c r="G96" s="181" t="s">
        <v>55</v>
      </c>
      <c r="H96" s="181"/>
      <c r="I96" s="61" t="s">
        <v>280</v>
      </c>
      <c r="J96" s="33" t="s">
        <v>281</v>
      </c>
    </row>
    <row r="97" spans="1:10" s="33" customFormat="1" x14ac:dyDescent="0.3">
      <c r="A97" s="80" t="s">
        <v>278</v>
      </c>
      <c r="B97" s="80"/>
      <c r="C97" s="81">
        <f>COUNT(D115:D144)</f>
        <v>30</v>
      </c>
      <c r="D97" s="82"/>
      <c r="E97" s="81">
        <f>SUM(D115:D144)</f>
        <v>5218.387200000001</v>
      </c>
      <c r="F97" s="82"/>
      <c r="G97" s="81">
        <f>SUM(F115:F144)</f>
        <v>8088.5001599999996</v>
      </c>
      <c r="H97" s="82"/>
      <c r="I97" s="33">
        <f>25000</f>
        <v>25000</v>
      </c>
      <c r="J97" s="60">
        <f>16000000/F236</f>
        <v>16053.094325233164</v>
      </c>
    </row>
    <row r="98" spans="1:10" s="33" customFormat="1" ht="16.2" thickBot="1" x14ac:dyDescent="0.35">
      <c r="A98" s="80" t="s">
        <v>295</v>
      </c>
      <c r="B98" s="80"/>
      <c r="C98" s="81">
        <f>COUNT(D145)+COUNT(D147:D166)+COUNT(D168:D169)</f>
        <v>23</v>
      </c>
      <c r="D98" s="82"/>
      <c r="E98" s="81">
        <f>SUM(D145)+SUM(D147:D166)+SUM(D168:D169)</f>
        <v>15997.67208</v>
      </c>
      <c r="F98" s="82"/>
      <c r="G98" s="81">
        <f>SUM(F145)+SUM(F147:F166)+SUM(F168:F169)</f>
        <v>24796.391724000001</v>
      </c>
      <c r="H98" s="82"/>
      <c r="J98" s="60"/>
    </row>
    <row r="99" spans="1:10" s="33" customFormat="1" ht="15.9" customHeight="1" thickBot="1" x14ac:dyDescent="0.35">
      <c r="A99" s="83" t="s">
        <v>149</v>
      </c>
      <c r="B99" s="84"/>
      <c r="C99" s="85">
        <f>SUM(C97:C98)</f>
        <v>53</v>
      </c>
      <c r="D99" s="86"/>
      <c r="E99" s="87">
        <f>SUM(E97:E98)</f>
        <v>21216.059280000001</v>
      </c>
      <c r="F99" s="88"/>
      <c r="G99" s="89">
        <f>SUM(G97:G98)</f>
        <v>32884.891883999997</v>
      </c>
      <c r="H99" s="90"/>
    </row>
    <row r="100" spans="1:10" s="33" customFormat="1" x14ac:dyDescent="0.3">
      <c r="A100" s="178" t="s">
        <v>274</v>
      </c>
      <c r="B100" s="178"/>
      <c r="C100" s="178"/>
      <c r="D100" s="178"/>
      <c r="E100" s="178"/>
      <c r="F100" s="178"/>
      <c r="G100" s="178"/>
      <c r="H100" s="178"/>
      <c r="I100" s="60">
        <f>I97/1.5</f>
        <v>16666.666666666668</v>
      </c>
    </row>
    <row r="101" spans="1:10" s="33" customFormat="1" ht="15.75" customHeight="1" x14ac:dyDescent="0.3">
      <c r="A101" s="181" t="s">
        <v>53</v>
      </c>
      <c r="B101" s="181"/>
      <c r="C101" s="93" t="s">
        <v>76</v>
      </c>
      <c r="D101" s="93"/>
      <c r="E101" s="196" t="s">
        <v>54</v>
      </c>
      <c r="F101" s="196"/>
      <c r="G101" s="181" t="s">
        <v>55</v>
      </c>
      <c r="H101" s="181"/>
      <c r="I101" s="33">
        <f>35000</f>
        <v>35000</v>
      </c>
    </row>
    <row r="102" spans="1:10" s="33" customFormat="1" x14ac:dyDescent="0.3">
      <c r="A102" s="80" t="s">
        <v>275</v>
      </c>
      <c r="B102" s="80"/>
      <c r="C102" s="81">
        <f>COUNT(D176:D178)+COUNT(D180:D183)+COUNT(D185:D188)*2+COUNT(D191:D194)+COUNT(D196:D199)*4+COUNT(D201:D204)*7+COUNT(D207:D209)+COUNT(D211:D214)*2</f>
        <v>74</v>
      </c>
      <c r="D102" s="81"/>
      <c r="E102" s="81">
        <f>SUM(D176:D178)+SUM(D180:D183)+SUM(D185:D188)*2+SUM(D191:D194)+SUM(D196:D199)*4+SUM(D201:D204)*7+SUM(D207:D209)+SUM(D211:D214)*2</f>
        <v>50760.655919999997</v>
      </c>
      <c r="F102" s="81"/>
      <c r="G102" s="81">
        <f>SUM(F176:F178)+SUM(F180:F183)+SUM(F185:F188)*2+SUM(F191:F194)+SUM(F196:F199)*4+SUM(F201:F204)*7+SUM(F207:F209)+SUM(F211:F214)*2</f>
        <v>76140.98388</v>
      </c>
      <c r="H102" s="81"/>
      <c r="I102" s="60">
        <f>I101/1.55</f>
        <v>22580.645161290322</v>
      </c>
    </row>
    <row r="103" spans="1:10" s="33" customFormat="1" ht="16.2" thickBot="1" x14ac:dyDescent="0.35">
      <c r="A103" s="91" t="s">
        <v>149</v>
      </c>
      <c r="B103" s="91"/>
      <c r="C103" s="92">
        <f>SUM(C102)</f>
        <v>74</v>
      </c>
      <c r="D103" s="93"/>
      <c r="E103" s="92">
        <f t="shared" ref="E103" si="0">SUM(E102)</f>
        <v>50760.655919999997</v>
      </c>
      <c r="F103" s="93"/>
      <c r="G103" s="92">
        <f t="shared" ref="G103" si="1">SUM(G102)</f>
        <v>76140.98388</v>
      </c>
      <c r="H103" s="93"/>
    </row>
    <row r="104" spans="1:10" s="33" customFormat="1" hidden="1" x14ac:dyDescent="0.3">
      <c r="A104" s="178" t="s">
        <v>276</v>
      </c>
      <c r="B104" s="178"/>
      <c r="C104" s="178"/>
      <c r="D104" s="178"/>
      <c r="E104" s="178"/>
      <c r="F104" s="178"/>
      <c r="G104" s="178"/>
      <c r="H104" s="178"/>
    </row>
    <row r="105" spans="1:10" s="33" customFormat="1" ht="15.75" hidden="1" customHeight="1" x14ac:dyDescent="0.3">
      <c r="A105" s="181" t="s">
        <v>53</v>
      </c>
      <c r="B105" s="181"/>
      <c r="C105" s="93" t="s">
        <v>76</v>
      </c>
      <c r="D105" s="93"/>
      <c r="E105" s="196" t="s">
        <v>54</v>
      </c>
      <c r="F105" s="196"/>
      <c r="G105" s="181" t="s">
        <v>55</v>
      </c>
      <c r="H105" s="181"/>
    </row>
    <row r="106" spans="1:10" s="33" customFormat="1" hidden="1" x14ac:dyDescent="0.3">
      <c r="A106" s="80" t="s">
        <v>275</v>
      </c>
      <c r="B106" s="80"/>
      <c r="C106" s="189">
        <f>COUNT(D224:D225,D227)+COUNT(D232:D235)+COUNT(D239:D242)*7+COUNT(D246,D249)+COUNT(D253,D256)+COUNT(D260:D263)+COUNT(D267:D270)*2</f>
        <v>51</v>
      </c>
      <c r="D106" s="189"/>
      <c r="E106" s="81">
        <f>SUM(D224:D225,D227)+SUM(D232:D235)+SUM(D239:D242)*7+SUM(D246,D249)+SUM(D253,D256)+SUM(D260:D263)+SUM(D267:D270)*2</f>
        <v>15343.005600000004</v>
      </c>
      <c r="F106" s="81"/>
      <c r="G106" s="81">
        <f>SUM(F224:F225,F227)+SUM(F232:F235)+SUM(F239:F242)*7+SUM(F246,F249)+SUM(F253,F256)+SUM(F260:F263)+SUM(F267:F270)*2</f>
        <v>23014.508399999999</v>
      </c>
      <c r="H106" s="81"/>
    </row>
    <row r="107" spans="1:10" s="33" customFormat="1" ht="16.2" hidden="1" thickBot="1" x14ac:dyDescent="0.35">
      <c r="A107" s="91" t="s">
        <v>149</v>
      </c>
      <c r="B107" s="91"/>
      <c r="C107" s="93">
        <f>SUM(C102,C106)</f>
        <v>125</v>
      </c>
      <c r="D107" s="93"/>
      <c r="E107" s="212">
        <f>SUM(E102,E106)</f>
        <v>66103.661519999994</v>
      </c>
      <c r="F107" s="212"/>
      <c r="G107" s="212">
        <f>SUM(G102,G106)</f>
        <v>99155.492280000006</v>
      </c>
      <c r="H107" s="212"/>
    </row>
    <row r="108" spans="1:10" s="33" customFormat="1" ht="16.2" thickBot="1" x14ac:dyDescent="0.35">
      <c r="A108" s="83" t="s">
        <v>166</v>
      </c>
      <c r="B108" s="197"/>
      <c r="C108" s="198">
        <f>C99+C103</f>
        <v>127</v>
      </c>
      <c r="D108" s="86"/>
      <c r="E108" s="198">
        <f>E99+E103</f>
        <v>71976.715200000006</v>
      </c>
      <c r="F108" s="86"/>
      <c r="G108" s="198">
        <f>G99+G103</f>
        <v>109025.875764</v>
      </c>
      <c r="H108" s="86"/>
    </row>
    <row r="109" spans="1:10" s="32" customFormat="1" x14ac:dyDescent="0.3">
      <c r="A109" s="202" t="s">
        <v>56</v>
      </c>
      <c r="B109" s="202"/>
      <c r="C109" s="202"/>
      <c r="D109" s="202"/>
      <c r="E109" s="202"/>
      <c r="F109" s="202"/>
      <c r="G109" s="202"/>
      <c r="H109" s="202"/>
    </row>
    <row r="110" spans="1:10" x14ac:dyDescent="0.3">
      <c r="A110" s="208" t="s">
        <v>173</v>
      </c>
      <c r="B110" s="208"/>
      <c r="C110" s="208"/>
      <c r="D110" s="208"/>
      <c r="E110" s="208"/>
      <c r="F110" s="208"/>
      <c r="G110" s="208"/>
      <c r="H110" s="208"/>
    </row>
    <row r="111" spans="1:10" ht="47.25" customHeight="1" x14ac:dyDescent="0.3">
      <c r="A111" s="107" t="s">
        <v>118</v>
      </c>
      <c r="B111" s="107" t="s">
        <v>176</v>
      </c>
      <c r="C111" s="107" t="s">
        <v>57</v>
      </c>
      <c r="D111" s="107" t="s">
        <v>58</v>
      </c>
      <c r="E111" s="182" t="s">
        <v>155</v>
      </c>
      <c r="F111" s="41" t="s">
        <v>148</v>
      </c>
      <c r="G111" s="184" t="s">
        <v>60</v>
      </c>
      <c r="H111" s="185"/>
    </row>
    <row r="112" spans="1:10" s="35" customFormat="1" x14ac:dyDescent="0.3">
      <c r="A112" s="108"/>
      <c r="B112" s="108"/>
      <c r="C112" s="108"/>
      <c r="D112" s="108"/>
      <c r="E112" s="183"/>
      <c r="F112" s="13">
        <v>0.55000000000000004</v>
      </c>
      <c r="G112" s="186"/>
      <c r="H112" s="187"/>
    </row>
    <row r="113" spans="1:14" s="35" customFormat="1" x14ac:dyDescent="0.3">
      <c r="A113" s="71" t="s">
        <v>242</v>
      </c>
      <c r="B113" s="72"/>
      <c r="C113" s="72"/>
      <c r="D113" s="72"/>
      <c r="E113" s="72"/>
      <c r="F113" s="72"/>
      <c r="G113" s="72"/>
      <c r="H113" s="73"/>
      <c r="J113" s="34"/>
    </row>
    <row r="114" spans="1:14" s="35" customFormat="1" x14ac:dyDescent="0.3">
      <c r="A114" s="71" t="s">
        <v>258</v>
      </c>
      <c r="B114" s="72"/>
      <c r="C114" s="72"/>
      <c r="D114" s="72"/>
      <c r="E114" s="72"/>
      <c r="F114" s="72"/>
      <c r="G114" s="72"/>
      <c r="H114" s="73"/>
      <c r="J114" s="34"/>
    </row>
    <row r="115" spans="1:14" s="35" customFormat="1" ht="15.75" customHeight="1" x14ac:dyDescent="0.3">
      <c r="A115" s="62">
        <v>1</v>
      </c>
      <c r="B115" s="63" t="s">
        <v>257</v>
      </c>
      <c r="C115" s="62" t="s">
        <v>241</v>
      </c>
      <c r="D115" s="59">
        <f>(34.86)*10.764</f>
        <v>375.23303999999996</v>
      </c>
      <c r="E115" s="62">
        <v>0</v>
      </c>
      <c r="F115" s="62">
        <f>(D115+E115)*(($F$112)+1)</f>
        <v>581.61121199999991</v>
      </c>
      <c r="G115" s="74" t="str">
        <f>A114</f>
        <v>Ground Floor for Commercial &amp; Parking, Meter Room</v>
      </c>
      <c r="H115" s="75"/>
      <c r="I115" s="64">
        <v>10.763999999999999</v>
      </c>
      <c r="J115" s="59">
        <v>10.763999999999999</v>
      </c>
      <c r="L115" s="97"/>
      <c r="M115" s="97"/>
      <c r="N115" s="34"/>
    </row>
    <row r="116" spans="1:14" s="35" customFormat="1" ht="15.75" customHeight="1" x14ac:dyDescent="0.3">
      <c r="A116" s="40">
        <v>2</v>
      </c>
      <c r="B116" s="52" t="s">
        <v>257</v>
      </c>
      <c r="C116" s="40" t="s">
        <v>241</v>
      </c>
      <c r="D116" s="59">
        <f>(31.07)*10.764</f>
        <v>334.43747999999999</v>
      </c>
      <c r="E116" s="40">
        <v>0</v>
      </c>
      <c r="F116" s="40">
        <f t="shared" ref="F116:F118" si="2">(D116+E116)*(($F$112)+1)</f>
        <v>518.37809400000003</v>
      </c>
      <c r="G116" s="76"/>
      <c r="H116" s="77"/>
      <c r="I116" s="34"/>
      <c r="L116" s="97"/>
      <c r="M116" s="97"/>
      <c r="N116" s="34"/>
    </row>
    <row r="117" spans="1:14" s="35" customFormat="1" ht="15.75" customHeight="1" x14ac:dyDescent="0.3">
      <c r="A117" s="40">
        <v>3</v>
      </c>
      <c r="B117" s="52" t="s">
        <v>257</v>
      </c>
      <c r="C117" s="40" t="s">
        <v>241</v>
      </c>
      <c r="D117" s="59">
        <f>(31.3)*10.764</f>
        <v>336.91319999999996</v>
      </c>
      <c r="E117" s="40">
        <v>0</v>
      </c>
      <c r="F117" s="40">
        <f t="shared" si="2"/>
        <v>522.21546000000001</v>
      </c>
      <c r="G117" s="76"/>
      <c r="H117" s="77"/>
      <c r="I117" s="34"/>
      <c r="L117" s="97"/>
      <c r="M117" s="97"/>
      <c r="N117" s="34"/>
    </row>
    <row r="118" spans="1:14" s="35" customFormat="1" ht="15.75" customHeight="1" x14ac:dyDescent="0.3">
      <c r="A118" s="40">
        <v>4</v>
      </c>
      <c r="B118" s="52" t="s">
        <v>257</v>
      </c>
      <c r="C118" s="40" t="s">
        <v>241</v>
      </c>
      <c r="D118" s="59">
        <f>(27.73)*10.764</f>
        <v>298.48572000000001</v>
      </c>
      <c r="E118" s="40">
        <v>0</v>
      </c>
      <c r="F118" s="40">
        <f t="shared" si="2"/>
        <v>462.65286600000002</v>
      </c>
      <c r="G118" s="76"/>
      <c r="H118" s="77"/>
      <c r="I118" s="34"/>
      <c r="L118" s="97"/>
      <c r="M118" s="97"/>
      <c r="N118" s="34"/>
    </row>
    <row r="119" spans="1:14" s="35" customFormat="1" x14ac:dyDescent="0.3">
      <c r="A119" s="40">
        <v>5</v>
      </c>
      <c r="B119" s="52" t="s">
        <v>257</v>
      </c>
      <c r="C119" s="40" t="s">
        <v>241</v>
      </c>
      <c r="D119" s="59">
        <f>(31.87)*10.764</f>
        <v>343.04867999999999</v>
      </c>
      <c r="E119" s="40">
        <v>0</v>
      </c>
      <c r="F119" s="40">
        <f>(D119+E119)*(($F$112)+1)</f>
        <v>531.72545400000001</v>
      </c>
      <c r="G119" s="76"/>
      <c r="H119" s="77"/>
      <c r="I119" s="34"/>
      <c r="L119" s="97"/>
      <c r="M119" s="97"/>
      <c r="N119" s="34"/>
    </row>
    <row r="120" spans="1:14" s="35" customFormat="1" x14ac:dyDescent="0.3">
      <c r="A120" s="40">
        <v>6</v>
      </c>
      <c r="B120" s="52" t="s">
        <v>257</v>
      </c>
      <c r="C120" s="40" t="s">
        <v>241</v>
      </c>
      <c r="D120" s="59">
        <f>(37.89)*10.764</f>
        <v>407.84796</v>
      </c>
      <c r="E120" s="40">
        <v>0</v>
      </c>
      <c r="F120" s="40">
        <f t="shared" ref="F120:F122" si="3">(D120+E120)*(($F$112)+1)</f>
        <v>632.16433800000004</v>
      </c>
      <c r="G120" s="76"/>
      <c r="H120" s="77"/>
      <c r="I120" s="34">
        <f>3.5*5.6+3.23*1.39+2.55*1.92+3.54*1.89+0.88*1.72</f>
        <v>37.189899999999994</v>
      </c>
      <c r="L120" s="97"/>
      <c r="M120" s="97"/>
      <c r="N120" s="34"/>
    </row>
    <row r="121" spans="1:14" s="35" customFormat="1" x14ac:dyDescent="0.3">
      <c r="A121" s="40">
        <v>7</v>
      </c>
      <c r="B121" s="52" t="s">
        <v>257</v>
      </c>
      <c r="C121" s="40" t="s">
        <v>241</v>
      </c>
      <c r="D121" s="59">
        <f>(29.33)*10.764</f>
        <v>315.70811999999995</v>
      </c>
      <c r="E121" s="40">
        <v>0</v>
      </c>
      <c r="F121" s="40">
        <f t="shared" si="3"/>
        <v>489.34758599999992</v>
      </c>
      <c r="G121" s="76"/>
      <c r="H121" s="77"/>
      <c r="I121" s="34"/>
      <c r="L121" s="97"/>
      <c r="M121" s="97"/>
      <c r="N121" s="34"/>
    </row>
    <row r="122" spans="1:14" s="35" customFormat="1" x14ac:dyDescent="0.3">
      <c r="A122" s="40">
        <v>8</v>
      </c>
      <c r="B122" s="52" t="s">
        <v>257</v>
      </c>
      <c r="C122" s="40" t="s">
        <v>241</v>
      </c>
      <c r="D122" s="59">
        <f>(22.48)*10.764</f>
        <v>241.97471999999999</v>
      </c>
      <c r="E122" s="40">
        <v>0</v>
      </c>
      <c r="F122" s="40">
        <f t="shared" si="3"/>
        <v>375.06081599999999</v>
      </c>
      <c r="G122" s="76"/>
      <c r="H122" s="77"/>
      <c r="I122" s="34"/>
      <c r="L122" s="97"/>
      <c r="M122" s="97"/>
      <c r="N122" s="34"/>
    </row>
    <row r="123" spans="1:14" s="35" customFormat="1" x14ac:dyDescent="0.3">
      <c r="A123" s="40">
        <v>9</v>
      </c>
      <c r="B123" s="52" t="s">
        <v>257</v>
      </c>
      <c r="C123" s="40" t="s">
        <v>241</v>
      </c>
      <c r="D123" s="59">
        <f>(23.09)*10.764</f>
        <v>248.54075999999998</v>
      </c>
      <c r="E123" s="40">
        <v>0</v>
      </c>
      <c r="F123" s="40">
        <f>(D123+E123)*(($F$112)+1)</f>
        <v>385.23817799999995</v>
      </c>
      <c r="G123" s="76"/>
      <c r="H123" s="77"/>
      <c r="I123" s="34"/>
      <c r="L123" s="97"/>
      <c r="M123" s="97"/>
      <c r="N123" s="34"/>
    </row>
    <row r="124" spans="1:14" s="35" customFormat="1" x14ac:dyDescent="0.3">
      <c r="A124" s="40">
        <v>10</v>
      </c>
      <c r="B124" s="52" t="s">
        <v>257</v>
      </c>
      <c r="C124" s="40" t="s">
        <v>241</v>
      </c>
      <c r="D124" s="59">
        <f>(18.71)*10.764</f>
        <v>201.39444</v>
      </c>
      <c r="E124" s="40">
        <v>0</v>
      </c>
      <c r="F124" s="40">
        <f t="shared" ref="F124:F126" si="4">(D124+E124)*(($F$112)+1)</f>
        <v>312.161382</v>
      </c>
      <c r="G124" s="76"/>
      <c r="H124" s="77"/>
      <c r="I124" s="34"/>
      <c r="L124" s="97"/>
      <c r="M124" s="97"/>
      <c r="N124" s="34"/>
    </row>
    <row r="125" spans="1:14" s="35" customFormat="1" x14ac:dyDescent="0.3">
      <c r="A125" s="40">
        <v>11</v>
      </c>
      <c r="B125" s="52" t="s">
        <v>257</v>
      </c>
      <c r="C125" s="40" t="s">
        <v>241</v>
      </c>
      <c r="D125" s="59">
        <f>(27.96)*10.764</f>
        <v>300.96143999999998</v>
      </c>
      <c r="E125" s="40">
        <v>0</v>
      </c>
      <c r="F125" s="40">
        <f t="shared" si="4"/>
        <v>466.49023199999999</v>
      </c>
      <c r="G125" s="76"/>
      <c r="H125" s="77"/>
      <c r="I125" s="34"/>
      <c r="L125" s="97"/>
      <c r="M125" s="97"/>
      <c r="N125" s="34"/>
    </row>
    <row r="126" spans="1:14" s="35" customFormat="1" x14ac:dyDescent="0.3">
      <c r="A126" s="40">
        <v>12</v>
      </c>
      <c r="B126" s="52" t="s">
        <v>257</v>
      </c>
      <c r="C126" s="40" t="s">
        <v>241</v>
      </c>
      <c r="D126" s="59">
        <f>(26.21)*10.764</f>
        <v>282.12443999999999</v>
      </c>
      <c r="E126" s="40">
        <v>0</v>
      </c>
      <c r="F126" s="40">
        <f t="shared" si="4"/>
        <v>437.29288200000002</v>
      </c>
      <c r="G126" s="76"/>
      <c r="H126" s="77"/>
      <c r="I126" s="34"/>
      <c r="L126" s="97"/>
      <c r="M126" s="97"/>
      <c r="N126" s="34"/>
    </row>
    <row r="127" spans="1:14" s="35" customFormat="1" x14ac:dyDescent="0.3">
      <c r="A127" s="40">
        <v>13</v>
      </c>
      <c r="B127" s="52" t="s">
        <v>257</v>
      </c>
      <c r="C127" s="40" t="s">
        <v>241</v>
      </c>
      <c r="D127" s="59">
        <f>(15.82)*10.764</f>
        <v>170.28647999999998</v>
      </c>
      <c r="E127" s="40">
        <v>0</v>
      </c>
      <c r="F127" s="40">
        <f>(D127+E127)*(($F$112)+1)</f>
        <v>263.94404399999996</v>
      </c>
      <c r="G127" s="76"/>
      <c r="H127" s="77"/>
      <c r="I127" s="34"/>
      <c r="L127" s="97"/>
      <c r="M127" s="97"/>
      <c r="N127" s="34"/>
    </row>
    <row r="128" spans="1:14" s="35" customFormat="1" x14ac:dyDescent="0.3">
      <c r="A128" s="40">
        <v>14</v>
      </c>
      <c r="B128" s="52" t="s">
        <v>257</v>
      </c>
      <c r="C128" s="40" t="s">
        <v>241</v>
      </c>
      <c r="D128" s="59">
        <f>(21.01)*10.764</f>
        <v>226.15164000000001</v>
      </c>
      <c r="E128" s="40">
        <v>0</v>
      </c>
      <c r="F128" s="40">
        <f t="shared" ref="F128:F130" si="5">(D128+E128)*(($F$112)+1)</f>
        <v>350.53504200000003</v>
      </c>
      <c r="G128" s="76"/>
      <c r="H128" s="77"/>
      <c r="I128" s="34"/>
      <c r="L128" s="97"/>
      <c r="M128" s="97"/>
      <c r="N128" s="34"/>
    </row>
    <row r="129" spans="1:14" s="35" customFormat="1" x14ac:dyDescent="0.3">
      <c r="A129" s="40">
        <v>15</v>
      </c>
      <c r="B129" s="52" t="s">
        <v>257</v>
      </c>
      <c r="C129" s="40" t="s">
        <v>241</v>
      </c>
      <c r="D129" s="59">
        <f>(13.34)*10.764</f>
        <v>143.59175999999999</v>
      </c>
      <c r="E129" s="40">
        <v>0</v>
      </c>
      <c r="F129" s="40">
        <f t="shared" si="5"/>
        <v>222.567228</v>
      </c>
      <c r="G129" s="76"/>
      <c r="H129" s="77"/>
      <c r="I129" s="34"/>
      <c r="L129" s="97"/>
      <c r="M129" s="97"/>
      <c r="N129" s="34"/>
    </row>
    <row r="130" spans="1:14" s="35" customFormat="1" x14ac:dyDescent="0.3">
      <c r="A130" s="40">
        <v>16</v>
      </c>
      <c r="B130" s="52" t="s">
        <v>257</v>
      </c>
      <c r="C130" s="40" t="s">
        <v>241</v>
      </c>
      <c r="D130" s="59">
        <f>(6.88)*10.764</f>
        <v>74.056319999999999</v>
      </c>
      <c r="E130" s="40">
        <v>0</v>
      </c>
      <c r="F130" s="40">
        <f t="shared" si="5"/>
        <v>114.787296</v>
      </c>
      <c r="G130" s="76"/>
      <c r="H130" s="77"/>
      <c r="I130" s="34"/>
      <c r="L130" s="97"/>
      <c r="M130" s="97"/>
      <c r="N130" s="34"/>
    </row>
    <row r="131" spans="1:14" s="35" customFormat="1" x14ac:dyDescent="0.3">
      <c r="A131" s="40">
        <v>17</v>
      </c>
      <c r="B131" s="52" t="s">
        <v>257</v>
      </c>
      <c r="C131" s="40" t="s">
        <v>241</v>
      </c>
      <c r="D131" s="59">
        <f>(4.72)*10.764</f>
        <v>50.806079999999994</v>
      </c>
      <c r="E131" s="40">
        <v>0</v>
      </c>
      <c r="F131" s="40">
        <f>(D131+E131)*(($F$112)+1)</f>
        <v>78.749423999999991</v>
      </c>
      <c r="G131" s="76"/>
      <c r="H131" s="77"/>
      <c r="I131" s="34"/>
      <c r="L131" s="97"/>
      <c r="M131" s="97"/>
      <c r="N131" s="34"/>
    </row>
    <row r="132" spans="1:14" s="35" customFormat="1" x14ac:dyDescent="0.3">
      <c r="A132" s="40">
        <v>18</v>
      </c>
      <c r="B132" s="52" t="s">
        <v>257</v>
      </c>
      <c r="C132" s="40" t="s">
        <v>241</v>
      </c>
      <c r="D132" s="59">
        <f>(5.77)*10.764</f>
        <v>62.108279999999993</v>
      </c>
      <c r="E132" s="40">
        <v>0</v>
      </c>
      <c r="F132" s="40">
        <f t="shared" ref="F132:F134" si="6">(D132+E132)*(($F$112)+1)</f>
        <v>96.267833999999993</v>
      </c>
      <c r="G132" s="76"/>
      <c r="H132" s="77"/>
      <c r="I132" s="34"/>
      <c r="L132" s="97"/>
      <c r="M132" s="97"/>
      <c r="N132" s="34"/>
    </row>
    <row r="133" spans="1:14" s="35" customFormat="1" x14ac:dyDescent="0.3">
      <c r="A133" s="40">
        <v>19</v>
      </c>
      <c r="B133" s="52" t="s">
        <v>257</v>
      </c>
      <c r="C133" s="40" t="s">
        <v>241</v>
      </c>
      <c r="D133" s="59">
        <f>(5.86)*10.764</f>
        <v>63.077039999999997</v>
      </c>
      <c r="E133" s="40">
        <v>0</v>
      </c>
      <c r="F133" s="40">
        <f t="shared" si="6"/>
        <v>97.769412000000003</v>
      </c>
      <c r="G133" s="76"/>
      <c r="H133" s="77"/>
      <c r="I133" s="34"/>
      <c r="L133" s="97"/>
      <c r="M133" s="97"/>
      <c r="N133" s="34"/>
    </row>
    <row r="134" spans="1:14" s="35" customFormat="1" x14ac:dyDescent="0.3">
      <c r="A134" s="40">
        <v>20</v>
      </c>
      <c r="B134" s="52" t="s">
        <v>257</v>
      </c>
      <c r="C134" s="40" t="s">
        <v>241</v>
      </c>
      <c r="D134" s="59">
        <f>(2.21)*10.764</f>
        <v>23.788439999999998</v>
      </c>
      <c r="E134" s="40">
        <v>0</v>
      </c>
      <c r="F134" s="40">
        <f t="shared" si="6"/>
        <v>36.872081999999999</v>
      </c>
      <c r="G134" s="76"/>
      <c r="H134" s="77"/>
      <c r="I134" s="34"/>
      <c r="L134" s="97"/>
      <c r="M134" s="97"/>
      <c r="N134" s="34"/>
    </row>
    <row r="135" spans="1:14" s="35" customFormat="1" x14ac:dyDescent="0.3">
      <c r="A135" s="40">
        <v>21</v>
      </c>
      <c r="B135" s="52" t="s">
        <v>257</v>
      </c>
      <c r="C135" s="40" t="s">
        <v>241</v>
      </c>
      <c r="D135" s="59">
        <f>(4.6)*10.764</f>
        <v>49.514399999999995</v>
      </c>
      <c r="E135" s="40">
        <v>0</v>
      </c>
      <c r="F135" s="40">
        <f>(D135+E135)*(($F$112)+1)</f>
        <v>76.747319999999988</v>
      </c>
      <c r="G135" s="76"/>
      <c r="H135" s="77"/>
      <c r="I135" s="34"/>
      <c r="L135" s="97"/>
      <c r="M135" s="97"/>
      <c r="N135" s="34"/>
    </row>
    <row r="136" spans="1:14" s="35" customFormat="1" x14ac:dyDescent="0.3">
      <c r="A136" s="40">
        <v>22</v>
      </c>
      <c r="B136" s="52" t="s">
        <v>257</v>
      </c>
      <c r="C136" s="40" t="s">
        <v>241</v>
      </c>
      <c r="D136" s="59">
        <f>(13.28)*10.764</f>
        <v>142.94591999999997</v>
      </c>
      <c r="E136" s="40">
        <v>0</v>
      </c>
      <c r="F136" s="40">
        <f t="shared" ref="F136:F138" si="7">(D136+E136)*(($F$112)+1)</f>
        <v>221.56617599999996</v>
      </c>
      <c r="G136" s="76"/>
      <c r="H136" s="77"/>
      <c r="I136" s="34"/>
      <c r="L136" s="97"/>
      <c r="M136" s="97"/>
      <c r="N136" s="34"/>
    </row>
    <row r="137" spans="1:14" s="35" customFormat="1" x14ac:dyDescent="0.3">
      <c r="A137" s="40">
        <v>23</v>
      </c>
      <c r="B137" s="52" t="s">
        <v>257</v>
      </c>
      <c r="C137" s="40" t="s">
        <v>241</v>
      </c>
      <c r="D137" s="59">
        <f>(12.49)*10.764</f>
        <v>134.44236000000001</v>
      </c>
      <c r="E137" s="40">
        <v>0</v>
      </c>
      <c r="F137" s="40">
        <f t="shared" si="7"/>
        <v>208.38565800000001</v>
      </c>
      <c r="G137" s="76"/>
      <c r="H137" s="77"/>
      <c r="I137" s="34"/>
      <c r="L137" s="97"/>
      <c r="M137" s="97"/>
      <c r="N137" s="34"/>
    </row>
    <row r="138" spans="1:14" s="35" customFormat="1" x14ac:dyDescent="0.3">
      <c r="A138" s="40">
        <v>24</v>
      </c>
      <c r="B138" s="52" t="s">
        <v>257</v>
      </c>
      <c r="C138" s="40" t="s">
        <v>241</v>
      </c>
      <c r="D138" s="59">
        <f>(11.93)*10.764</f>
        <v>128.41451999999998</v>
      </c>
      <c r="E138" s="40">
        <v>0</v>
      </c>
      <c r="F138" s="40">
        <f t="shared" si="7"/>
        <v>199.04250599999997</v>
      </c>
      <c r="G138" s="76"/>
      <c r="H138" s="77"/>
      <c r="I138" s="34"/>
      <c r="L138" s="97"/>
      <c r="M138" s="97"/>
      <c r="N138" s="34"/>
    </row>
    <row r="139" spans="1:14" s="35" customFormat="1" x14ac:dyDescent="0.3">
      <c r="A139" s="40">
        <v>25</v>
      </c>
      <c r="B139" s="52" t="s">
        <v>257</v>
      </c>
      <c r="C139" s="40" t="s">
        <v>241</v>
      </c>
      <c r="D139" s="59">
        <f>(5.27)*10.764</f>
        <v>56.726279999999988</v>
      </c>
      <c r="E139" s="40">
        <v>0</v>
      </c>
      <c r="F139" s="40">
        <f>(D139+E139)*(($F$112)+1)</f>
        <v>87.925733999999991</v>
      </c>
      <c r="G139" s="76"/>
      <c r="H139" s="77"/>
      <c r="I139" s="34"/>
      <c r="L139" s="97"/>
      <c r="M139" s="97"/>
      <c r="N139" s="34"/>
    </row>
    <row r="140" spans="1:14" s="35" customFormat="1" x14ac:dyDescent="0.3">
      <c r="A140" s="40">
        <v>26</v>
      </c>
      <c r="B140" s="52" t="s">
        <v>257</v>
      </c>
      <c r="C140" s="40" t="s">
        <v>241</v>
      </c>
      <c r="D140" s="59">
        <f>(4.07)*10.764</f>
        <v>43.809480000000001</v>
      </c>
      <c r="E140" s="40">
        <v>0</v>
      </c>
      <c r="F140" s="40">
        <f t="shared" ref="F140:F142" si="8">(D140+E140)*(($F$112)+1)</f>
        <v>67.904694000000006</v>
      </c>
      <c r="G140" s="76"/>
      <c r="H140" s="77"/>
      <c r="I140" s="34"/>
      <c r="L140" s="97"/>
      <c r="M140" s="97"/>
      <c r="N140" s="34"/>
    </row>
    <row r="141" spans="1:14" s="35" customFormat="1" x14ac:dyDescent="0.3">
      <c r="A141" s="40">
        <v>27</v>
      </c>
      <c r="B141" s="52" t="s">
        <v>257</v>
      </c>
      <c r="C141" s="40" t="s">
        <v>241</v>
      </c>
      <c r="D141" s="59">
        <f>(2.51)*10.764</f>
        <v>27.017639999999997</v>
      </c>
      <c r="E141" s="40">
        <v>0</v>
      </c>
      <c r="F141" s="40">
        <f t="shared" si="8"/>
        <v>41.877341999999999</v>
      </c>
      <c r="G141" s="76"/>
      <c r="H141" s="77"/>
      <c r="I141" s="34"/>
      <c r="L141" s="97"/>
      <c r="M141" s="97"/>
      <c r="N141" s="34"/>
    </row>
    <row r="142" spans="1:14" s="35" customFormat="1" x14ac:dyDescent="0.3">
      <c r="A142" s="40">
        <v>28</v>
      </c>
      <c r="B142" s="52" t="s">
        <v>257</v>
      </c>
      <c r="C142" s="40" t="s">
        <v>241</v>
      </c>
      <c r="D142" s="59">
        <f>(4.7)*10.764</f>
        <v>50.590800000000002</v>
      </c>
      <c r="E142" s="40">
        <v>0</v>
      </c>
      <c r="F142" s="40">
        <f t="shared" si="8"/>
        <v>78.41574</v>
      </c>
      <c r="G142" s="76"/>
      <c r="H142" s="77"/>
      <c r="I142" s="34"/>
      <c r="L142" s="97"/>
      <c r="M142" s="97"/>
      <c r="N142" s="34"/>
    </row>
    <row r="143" spans="1:14" s="35" customFormat="1" x14ac:dyDescent="0.3">
      <c r="A143" s="40">
        <v>29</v>
      </c>
      <c r="B143" s="52" t="s">
        <v>257</v>
      </c>
      <c r="C143" s="40" t="s">
        <v>241</v>
      </c>
      <c r="D143" s="59">
        <f>(5.54)*10.764</f>
        <v>59.632559999999998</v>
      </c>
      <c r="E143" s="40">
        <v>0</v>
      </c>
      <c r="F143" s="40">
        <f t="shared" ref="F143:F144" si="9">(D143+E143)*(($F$112)+1)</f>
        <v>92.430468000000005</v>
      </c>
      <c r="G143" s="76"/>
      <c r="H143" s="77"/>
      <c r="I143" s="34"/>
      <c r="L143" s="97"/>
      <c r="M143" s="97"/>
      <c r="N143" s="34"/>
    </row>
    <row r="144" spans="1:14" s="35" customFormat="1" x14ac:dyDescent="0.3">
      <c r="A144" s="40">
        <v>30</v>
      </c>
      <c r="B144" s="52" t="s">
        <v>257</v>
      </c>
      <c r="C144" s="40" t="s">
        <v>241</v>
      </c>
      <c r="D144" s="59">
        <f>(2.3)*10.764</f>
        <v>24.757199999999997</v>
      </c>
      <c r="E144" s="40">
        <v>0</v>
      </c>
      <c r="F144" s="40">
        <f t="shared" si="9"/>
        <v>38.373659999999994</v>
      </c>
      <c r="G144" s="76"/>
      <c r="H144" s="77"/>
      <c r="I144" s="34"/>
      <c r="L144" s="97"/>
      <c r="M144" s="97"/>
      <c r="N144" s="34"/>
    </row>
    <row r="145" spans="1:14" s="35" customFormat="1" x14ac:dyDescent="0.3">
      <c r="A145" s="40">
        <v>31</v>
      </c>
      <c r="B145" s="52" t="s">
        <v>257</v>
      </c>
      <c r="C145" s="40" t="s">
        <v>295</v>
      </c>
      <c r="D145" s="59">
        <f>(52.27)*10.764</f>
        <v>562.63427999999999</v>
      </c>
      <c r="E145" s="40">
        <v>0</v>
      </c>
      <c r="F145" s="40">
        <f t="shared" ref="F145" si="10">(D145+E145)*(($F$112)+1)</f>
        <v>872.08313399999997</v>
      </c>
      <c r="G145" s="78"/>
      <c r="H145" s="79"/>
      <c r="I145" s="34"/>
      <c r="L145" s="97"/>
      <c r="M145" s="97"/>
      <c r="N145" s="34"/>
    </row>
    <row r="146" spans="1:14" s="35" customFormat="1" x14ac:dyDescent="0.3">
      <c r="A146" s="71" t="s">
        <v>284</v>
      </c>
      <c r="B146" s="72"/>
      <c r="C146" s="72"/>
      <c r="D146" s="72"/>
      <c r="E146" s="72"/>
      <c r="F146" s="72"/>
      <c r="G146" s="72"/>
      <c r="H146" s="73"/>
      <c r="J146" s="34"/>
    </row>
    <row r="147" spans="1:14" s="35" customFormat="1" ht="15.75" customHeight="1" x14ac:dyDescent="0.3">
      <c r="A147" s="40">
        <v>1</v>
      </c>
      <c r="B147" s="52" t="s">
        <v>257</v>
      </c>
      <c r="C147" s="40" t="s">
        <v>295</v>
      </c>
      <c r="D147" s="59">
        <f>(41.4)*10.764</f>
        <v>445.62959999999998</v>
      </c>
      <c r="E147" s="40">
        <v>0</v>
      </c>
      <c r="F147" s="40">
        <f>(D147+E147)*(($F$112)+1)</f>
        <v>690.72587999999996</v>
      </c>
      <c r="G147" s="74" t="str">
        <f>A146</f>
        <v>1st Floor</v>
      </c>
      <c r="H147" s="75"/>
      <c r="I147" s="34"/>
      <c r="L147" s="97"/>
      <c r="M147" s="97"/>
      <c r="N147" s="34"/>
    </row>
    <row r="148" spans="1:14" s="35" customFormat="1" ht="15.75" customHeight="1" x14ac:dyDescent="0.3">
      <c r="A148" s="40">
        <v>2</v>
      </c>
      <c r="B148" s="52" t="s">
        <v>257</v>
      </c>
      <c r="C148" s="40" t="s">
        <v>295</v>
      </c>
      <c r="D148" s="59">
        <f>(22.42)*10.764</f>
        <v>241.32888</v>
      </c>
      <c r="E148" s="40">
        <v>0</v>
      </c>
      <c r="F148" s="40">
        <f t="shared" ref="F148:F150" si="11">(D148+E148)*(($F$112)+1)</f>
        <v>374.05976400000003</v>
      </c>
      <c r="G148" s="76"/>
      <c r="H148" s="77"/>
      <c r="I148" s="34"/>
      <c r="L148" s="97"/>
      <c r="M148" s="97"/>
      <c r="N148" s="34"/>
    </row>
    <row r="149" spans="1:14" s="35" customFormat="1" ht="15.75" customHeight="1" x14ac:dyDescent="0.3">
      <c r="A149" s="40">
        <v>3</v>
      </c>
      <c r="B149" s="52" t="s">
        <v>257</v>
      </c>
      <c r="C149" s="40" t="s">
        <v>295</v>
      </c>
      <c r="D149" s="59">
        <f>(24.68)*10.764</f>
        <v>265.65551999999997</v>
      </c>
      <c r="E149" s="40">
        <v>0</v>
      </c>
      <c r="F149" s="40">
        <f t="shared" si="11"/>
        <v>411.76605599999994</v>
      </c>
      <c r="G149" s="76"/>
      <c r="H149" s="77"/>
      <c r="I149" s="34"/>
      <c r="L149" s="97"/>
      <c r="M149" s="97"/>
      <c r="N149" s="34"/>
    </row>
    <row r="150" spans="1:14" s="35" customFormat="1" ht="15.75" customHeight="1" x14ac:dyDescent="0.3">
      <c r="A150" s="40">
        <v>4</v>
      </c>
      <c r="B150" s="52" t="s">
        <v>257</v>
      </c>
      <c r="C150" s="40" t="s">
        <v>295</v>
      </c>
      <c r="D150" s="59">
        <f>(26.29)*10.764</f>
        <v>282.98555999999996</v>
      </c>
      <c r="E150" s="40">
        <v>0</v>
      </c>
      <c r="F150" s="40">
        <f t="shared" si="11"/>
        <v>438.62761799999998</v>
      </c>
      <c r="G150" s="76"/>
      <c r="H150" s="77"/>
      <c r="I150" s="34"/>
      <c r="L150" s="97"/>
      <c r="M150" s="97"/>
      <c r="N150" s="34"/>
    </row>
    <row r="151" spans="1:14" s="35" customFormat="1" x14ac:dyDescent="0.3">
      <c r="A151" s="40">
        <v>5</v>
      </c>
      <c r="B151" s="52" t="s">
        <v>257</v>
      </c>
      <c r="C151" s="40" t="s">
        <v>295</v>
      </c>
      <c r="D151" s="59">
        <f>(35.25)*10.764</f>
        <v>379.43099999999998</v>
      </c>
      <c r="E151" s="40">
        <v>0</v>
      </c>
      <c r="F151" s="40">
        <f>(D151+E151)*(($F$112)+1)</f>
        <v>588.11805000000004</v>
      </c>
      <c r="G151" s="76"/>
      <c r="H151" s="77"/>
      <c r="I151" s="34"/>
      <c r="L151" s="97"/>
      <c r="M151" s="97"/>
      <c r="N151" s="34"/>
    </row>
    <row r="152" spans="1:14" s="35" customFormat="1" x14ac:dyDescent="0.3">
      <c r="A152" s="40">
        <v>6</v>
      </c>
      <c r="B152" s="52" t="s">
        <v>257</v>
      </c>
      <c r="C152" s="40" t="s">
        <v>295</v>
      </c>
      <c r="D152" s="59">
        <f>(33.87)*10.764</f>
        <v>364.57667999999995</v>
      </c>
      <c r="E152" s="40">
        <v>0</v>
      </c>
      <c r="F152" s="40">
        <f t="shared" ref="F152:F154" si="12">(D152+E152)*(($F$112)+1)</f>
        <v>565.09385399999996</v>
      </c>
      <c r="G152" s="76"/>
      <c r="H152" s="77"/>
      <c r="I152" s="34"/>
      <c r="L152" s="97"/>
      <c r="M152" s="97"/>
      <c r="N152" s="34"/>
    </row>
    <row r="153" spans="1:14" s="35" customFormat="1" x14ac:dyDescent="0.3">
      <c r="A153" s="40">
        <v>7</v>
      </c>
      <c r="B153" s="52" t="s">
        <v>257</v>
      </c>
      <c r="C153" s="40" t="s">
        <v>295</v>
      </c>
      <c r="D153" s="59">
        <f>(60.06)*10.764</f>
        <v>646.48583999999994</v>
      </c>
      <c r="E153" s="40">
        <v>0</v>
      </c>
      <c r="F153" s="40">
        <f t="shared" si="12"/>
        <v>1002.053052</v>
      </c>
      <c r="G153" s="76"/>
      <c r="H153" s="77"/>
      <c r="I153" s="34"/>
      <c r="L153" s="97"/>
      <c r="M153" s="97"/>
      <c r="N153" s="34"/>
    </row>
    <row r="154" spans="1:14" s="35" customFormat="1" x14ac:dyDescent="0.3">
      <c r="A154" s="40">
        <v>8</v>
      </c>
      <c r="B154" s="52" t="s">
        <v>257</v>
      </c>
      <c r="C154" s="40" t="s">
        <v>295</v>
      </c>
      <c r="D154" s="59">
        <f>(78.67)*10.764</f>
        <v>846.80387999999994</v>
      </c>
      <c r="E154" s="40">
        <v>0</v>
      </c>
      <c r="F154" s="40">
        <f t="shared" si="12"/>
        <v>1312.546014</v>
      </c>
      <c r="G154" s="76"/>
      <c r="H154" s="77"/>
      <c r="I154" s="34"/>
      <c r="L154" s="97"/>
      <c r="M154" s="97"/>
      <c r="N154" s="34"/>
    </row>
    <row r="155" spans="1:14" s="35" customFormat="1" x14ac:dyDescent="0.3">
      <c r="A155" s="40">
        <v>9</v>
      </c>
      <c r="B155" s="52" t="s">
        <v>257</v>
      </c>
      <c r="C155" s="40" t="s">
        <v>295</v>
      </c>
      <c r="D155" s="59">
        <f>(61.09)*10.764</f>
        <v>657.57276000000002</v>
      </c>
      <c r="E155" s="40">
        <v>0</v>
      </c>
      <c r="F155" s="40">
        <f>(D155+E155)*(($F$112)+1)</f>
        <v>1019.237778</v>
      </c>
      <c r="G155" s="76"/>
      <c r="H155" s="77"/>
      <c r="I155" s="34"/>
      <c r="L155" s="97"/>
      <c r="M155" s="97"/>
      <c r="N155" s="34"/>
    </row>
    <row r="156" spans="1:14" s="35" customFormat="1" x14ac:dyDescent="0.3">
      <c r="A156" s="40">
        <v>10</v>
      </c>
      <c r="B156" s="52" t="s">
        <v>257</v>
      </c>
      <c r="C156" s="40" t="s">
        <v>295</v>
      </c>
      <c r="D156" s="59">
        <f>(62.95)*10.764</f>
        <v>677.59379999999999</v>
      </c>
      <c r="E156" s="40">
        <v>0</v>
      </c>
      <c r="F156" s="40">
        <f t="shared" ref="F156:F160" si="13">(D156+E156)*(($F$112)+1)</f>
        <v>1050.2703899999999</v>
      </c>
      <c r="G156" s="76"/>
      <c r="H156" s="77"/>
      <c r="I156" s="34"/>
      <c r="L156" s="97"/>
      <c r="M156" s="97"/>
      <c r="N156" s="34"/>
    </row>
    <row r="157" spans="1:14" s="35" customFormat="1" x14ac:dyDescent="0.3">
      <c r="A157" s="62">
        <v>11</v>
      </c>
      <c r="B157" s="63" t="s">
        <v>257</v>
      </c>
      <c r="C157" s="40" t="s">
        <v>295</v>
      </c>
      <c r="D157" s="59">
        <f>(48.7)*10.764</f>
        <v>524.20680000000004</v>
      </c>
      <c r="E157" s="62">
        <v>0</v>
      </c>
      <c r="F157" s="62">
        <f t="shared" si="13"/>
        <v>812.5205400000001</v>
      </c>
      <c r="G157" s="76"/>
      <c r="H157" s="77"/>
      <c r="I157" s="34"/>
      <c r="L157" s="97"/>
      <c r="M157" s="97"/>
      <c r="N157" s="34"/>
    </row>
    <row r="158" spans="1:14" s="35" customFormat="1" ht="15.75" customHeight="1" x14ac:dyDescent="0.3">
      <c r="A158" s="40">
        <v>12</v>
      </c>
      <c r="B158" s="52" t="s">
        <v>257</v>
      </c>
      <c r="C158" s="40" t="s">
        <v>295</v>
      </c>
      <c r="D158" s="59">
        <f>(54.37)*10.764</f>
        <v>585.23867999999993</v>
      </c>
      <c r="E158" s="40">
        <v>0</v>
      </c>
      <c r="F158" s="40">
        <f t="shared" si="13"/>
        <v>907.11995399999989</v>
      </c>
      <c r="G158" s="76"/>
      <c r="H158" s="77"/>
      <c r="I158" s="34"/>
      <c r="L158" s="97"/>
      <c r="M158" s="97"/>
      <c r="N158" s="34"/>
    </row>
    <row r="159" spans="1:14" s="35" customFormat="1" ht="15.75" customHeight="1" x14ac:dyDescent="0.3">
      <c r="A159" s="62">
        <v>13</v>
      </c>
      <c r="B159" s="52" t="s">
        <v>257</v>
      </c>
      <c r="C159" s="40" t="s">
        <v>295</v>
      </c>
      <c r="D159" s="59">
        <f>(14.52)*10.764</f>
        <v>156.29327999999998</v>
      </c>
      <c r="E159" s="40">
        <v>0</v>
      </c>
      <c r="F159" s="40">
        <f t="shared" si="13"/>
        <v>242.25458399999997</v>
      </c>
      <c r="G159" s="76"/>
      <c r="H159" s="77"/>
      <c r="I159" s="34"/>
      <c r="L159" s="97"/>
      <c r="M159" s="97"/>
      <c r="N159" s="34"/>
    </row>
    <row r="160" spans="1:14" s="35" customFormat="1" ht="15.75" customHeight="1" x14ac:dyDescent="0.3">
      <c r="A160" s="40">
        <v>14</v>
      </c>
      <c r="B160" s="52" t="s">
        <v>257</v>
      </c>
      <c r="C160" s="40" t="s">
        <v>295</v>
      </c>
      <c r="D160" s="59">
        <f>(14.56)*10.764</f>
        <v>156.72384</v>
      </c>
      <c r="E160" s="40">
        <v>0</v>
      </c>
      <c r="F160" s="40">
        <f t="shared" si="13"/>
        <v>242.921952</v>
      </c>
      <c r="G160" s="76"/>
      <c r="H160" s="77"/>
      <c r="I160" s="34"/>
      <c r="L160" s="97"/>
      <c r="M160" s="97"/>
      <c r="N160" s="34"/>
    </row>
    <row r="161" spans="1:14" s="35" customFormat="1" x14ac:dyDescent="0.3">
      <c r="A161" s="62">
        <v>15</v>
      </c>
      <c r="B161" s="52" t="s">
        <v>257</v>
      </c>
      <c r="C161" s="40" t="s">
        <v>295</v>
      </c>
      <c r="D161" s="59">
        <f>(14.37)*10.764</f>
        <v>154.67867999999999</v>
      </c>
      <c r="E161" s="40">
        <v>0</v>
      </c>
      <c r="F161" s="40">
        <f>(D161+E161)*(($F$112)+1)</f>
        <v>239.75195399999998</v>
      </c>
      <c r="G161" s="76"/>
      <c r="H161" s="77"/>
      <c r="I161" s="34"/>
      <c r="L161" s="97"/>
      <c r="M161" s="97"/>
      <c r="N161" s="34"/>
    </row>
    <row r="162" spans="1:14" s="35" customFormat="1" x14ac:dyDescent="0.3">
      <c r="A162" s="40">
        <v>16</v>
      </c>
      <c r="B162" s="52" t="s">
        <v>257</v>
      </c>
      <c r="C162" s="40" t="s">
        <v>295</v>
      </c>
      <c r="D162" s="59">
        <f>(14.07)*10.764</f>
        <v>151.44947999999999</v>
      </c>
      <c r="E162" s="40">
        <v>0</v>
      </c>
      <c r="F162" s="40">
        <f t="shared" ref="F162:F164" si="14">(D162+E162)*(($F$112)+1)</f>
        <v>234.74669399999999</v>
      </c>
      <c r="G162" s="76"/>
      <c r="H162" s="77"/>
      <c r="I162" s="34"/>
      <c r="L162" s="97"/>
      <c r="M162" s="97"/>
      <c r="N162" s="34"/>
    </row>
    <row r="163" spans="1:14" s="35" customFormat="1" x14ac:dyDescent="0.3">
      <c r="A163" s="62">
        <v>17</v>
      </c>
      <c r="B163" s="52" t="s">
        <v>257</v>
      </c>
      <c r="C163" s="40" t="s">
        <v>295</v>
      </c>
      <c r="D163" s="59">
        <f>(14.05)*10.764</f>
        <v>151.23419999999999</v>
      </c>
      <c r="E163" s="40">
        <v>0</v>
      </c>
      <c r="F163" s="40">
        <f t="shared" si="14"/>
        <v>234.41300999999999</v>
      </c>
      <c r="G163" s="76"/>
      <c r="H163" s="77"/>
      <c r="I163" s="34"/>
      <c r="L163" s="97"/>
      <c r="M163" s="97"/>
      <c r="N163" s="34"/>
    </row>
    <row r="164" spans="1:14" s="35" customFormat="1" x14ac:dyDescent="0.3">
      <c r="A164" s="40">
        <v>18</v>
      </c>
      <c r="B164" s="52" t="s">
        <v>257</v>
      </c>
      <c r="C164" s="40" t="s">
        <v>295</v>
      </c>
      <c r="D164" s="59">
        <f>(16.26)*10.764</f>
        <v>175.02264</v>
      </c>
      <c r="E164" s="40">
        <v>0</v>
      </c>
      <c r="F164" s="40">
        <f t="shared" si="14"/>
        <v>271.28509200000002</v>
      </c>
      <c r="G164" s="76"/>
      <c r="H164" s="77"/>
      <c r="I164" s="34"/>
      <c r="L164" s="97"/>
      <c r="M164" s="97"/>
      <c r="N164" s="34"/>
    </row>
    <row r="165" spans="1:14" s="35" customFormat="1" x14ac:dyDescent="0.3">
      <c r="A165" s="62">
        <v>19</v>
      </c>
      <c r="B165" s="52" t="s">
        <v>257</v>
      </c>
      <c r="C165" s="40" t="s">
        <v>295</v>
      </c>
      <c r="D165" s="59">
        <f>(14.91)*10.764</f>
        <v>160.49124</v>
      </c>
      <c r="E165" s="40">
        <v>0</v>
      </c>
      <c r="F165" s="40">
        <f>(D165+E165)*(($F$112)+1)</f>
        <v>248.76142200000001</v>
      </c>
      <c r="G165" s="76"/>
      <c r="H165" s="77"/>
      <c r="I165" s="34"/>
      <c r="L165" s="97"/>
      <c r="M165" s="97"/>
      <c r="N165" s="34"/>
    </row>
    <row r="166" spans="1:14" s="35" customFormat="1" x14ac:dyDescent="0.3">
      <c r="A166" s="40">
        <v>20</v>
      </c>
      <c r="B166" s="52" t="s">
        <v>257</v>
      </c>
      <c r="C166" s="40" t="s">
        <v>295</v>
      </c>
      <c r="D166" s="59">
        <f>(14.16)*10.764</f>
        <v>152.41824</v>
      </c>
      <c r="E166" s="40">
        <v>0</v>
      </c>
      <c r="F166" s="40">
        <f t="shared" ref="F166" si="15">(D166+E166)*(($F$112)+1)</f>
        <v>236.24827200000001</v>
      </c>
      <c r="G166" s="78"/>
      <c r="H166" s="79"/>
      <c r="I166" s="34">
        <f>2.7*3.73+1*2.45+1.58*0.9</f>
        <v>13.943000000000001</v>
      </c>
      <c r="L166" s="97"/>
      <c r="M166" s="97"/>
      <c r="N166" s="34"/>
    </row>
    <row r="167" spans="1:14" s="35" customFormat="1" x14ac:dyDescent="0.3">
      <c r="A167" s="71" t="s">
        <v>285</v>
      </c>
      <c r="B167" s="72"/>
      <c r="C167" s="72"/>
      <c r="D167" s="72"/>
      <c r="E167" s="72"/>
      <c r="F167" s="72"/>
      <c r="G167" s="72"/>
      <c r="H167" s="73"/>
      <c r="J167" s="34"/>
    </row>
    <row r="168" spans="1:14" s="35" customFormat="1" x14ac:dyDescent="0.3">
      <c r="A168" s="40">
        <v>1</v>
      </c>
      <c r="B168" s="52" t="s">
        <v>257</v>
      </c>
      <c r="C168" s="40" t="s">
        <v>295</v>
      </c>
      <c r="D168" s="59">
        <f>(485.14)*10.764</f>
        <v>5222.0469599999997</v>
      </c>
      <c r="E168" s="40">
        <v>0</v>
      </c>
      <c r="F168" s="40">
        <f>(D168+E168)*(($F$112)+1)</f>
        <v>8094.1727879999999</v>
      </c>
      <c r="G168" s="74" t="str">
        <f>A167</f>
        <v xml:space="preserve">2nd Floor </v>
      </c>
      <c r="H168" s="75"/>
      <c r="I168" s="34"/>
      <c r="L168" s="97"/>
      <c r="M168" s="97"/>
      <c r="N168" s="34"/>
    </row>
    <row r="169" spans="1:14" s="35" customFormat="1" x14ac:dyDescent="0.3">
      <c r="A169" s="40">
        <v>2</v>
      </c>
      <c r="B169" s="52" t="s">
        <v>257</v>
      </c>
      <c r="C169" s="40" t="s">
        <v>295</v>
      </c>
      <c r="D169" s="59">
        <f>(282.16)*10.764</f>
        <v>3037.1702399999999</v>
      </c>
      <c r="E169" s="40">
        <v>0</v>
      </c>
      <c r="F169" s="40">
        <f>(D169+E169)*(($F$112)+1)</f>
        <v>4707.6138719999999</v>
      </c>
      <c r="G169" s="78"/>
      <c r="H169" s="79"/>
      <c r="I169" s="34"/>
      <c r="L169" s="97"/>
      <c r="M169" s="97"/>
      <c r="N169" s="34"/>
    </row>
    <row r="170" spans="1:14" s="35" customFormat="1" x14ac:dyDescent="0.3">
      <c r="A170" s="199" t="s">
        <v>259</v>
      </c>
      <c r="B170" s="200"/>
      <c r="C170" s="200"/>
      <c r="D170" s="200"/>
      <c r="E170" s="200"/>
      <c r="F170" s="200"/>
      <c r="G170" s="200"/>
      <c r="H170" s="201"/>
      <c r="J170" s="58"/>
    </row>
    <row r="171" spans="1:14" ht="47.25" customHeight="1" x14ac:dyDescent="0.3">
      <c r="A171" s="184" t="s">
        <v>119</v>
      </c>
      <c r="B171" s="107" t="s">
        <v>177</v>
      </c>
      <c r="C171" s="107" t="s">
        <v>57</v>
      </c>
      <c r="D171" s="107" t="s">
        <v>58</v>
      </c>
      <c r="E171" s="182" t="s">
        <v>59</v>
      </c>
      <c r="F171" s="41" t="s">
        <v>148</v>
      </c>
      <c r="G171" s="184" t="s">
        <v>60</v>
      </c>
      <c r="H171" s="185"/>
      <c r="I171" s="34"/>
    </row>
    <row r="172" spans="1:14" s="35" customFormat="1" x14ac:dyDescent="0.3">
      <c r="A172" s="186"/>
      <c r="B172" s="108"/>
      <c r="C172" s="108"/>
      <c r="D172" s="108"/>
      <c r="E172" s="183"/>
      <c r="F172" s="13">
        <v>0.5</v>
      </c>
      <c r="G172" s="186"/>
      <c r="H172" s="187"/>
      <c r="I172" s="34"/>
    </row>
    <row r="173" spans="1:14" s="35" customFormat="1" ht="15.75" customHeight="1" x14ac:dyDescent="0.3">
      <c r="A173" s="71" t="s">
        <v>296</v>
      </c>
      <c r="B173" s="72"/>
      <c r="C173" s="72"/>
      <c r="D173" s="72"/>
      <c r="E173" s="72"/>
      <c r="F173" s="72"/>
      <c r="G173" s="72"/>
      <c r="H173" s="73"/>
      <c r="I173" s="34"/>
    </row>
    <row r="174" spans="1:14" s="35" customFormat="1" ht="15.75" customHeight="1" x14ac:dyDescent="0.3">
      <c r="A174" s="40">
        <v>1</v>
      </c>
      <c r="B174" s="40" t="s">
        <v>266</v>
      </c>
      <c r="C174" s="98" t="s">
        <v>297</v>
      </c>
      <c r="D174" s="99"/>
      <c r="E174" s="99"/>
      <c r="F174" s="100"/>
      <c r="G174" s="74" t="str">
        <f>A173</f>
        <v>3rd Floor for Residential, Society Office &amp; Fitness Center</v>
      </c>
      <c r="H174" s="75"/>
      <c r="I174" s="34"/>
    </row>
    <row r="175" spans="1:14" s="35" customFormat="1" ht="15.75" customHeight="1" x14ac:dyDescent="0.3">
      <c r="A175" s="40">
        <v>2</v>
      </c>
      <c r="B175" s="40" t="s">
        <v>266</v>
      </c>
      <c r="C175" s="101"/>
      <c r="D175" s="102"/>
      <c r="E175" s="102"/>
      <c r="F175" s="103"/>
      <c r="G175" s="76" t="str">
        <f>G174</f>
        <v>3rd Floor for Residential, Society Office &amp; Fitness Center</v>
      </c>
      <c r="H175" s="77"/>
      <c r="I175" s="34"/>
    </row>
    <row r="176" spans="1:14" s="35" customFormat="1" ht="15.75" customHeight="1" x14ac:dyDescent="0.3">
      <c r="A176" s="40">
        <v>3</v>
      </c>
      <c r="B176" s="52" t="s">
        <v>257</v>
      </c>
      <c r="C176" s="51" t="s">
        <v>260</v>
      </c>
      <c r="D176" s="59">
        <f>(20.88)*10.764</f>
        <v>224.75231999999997</v>
      </c>
      <c r="E176" s="40">
        <v>0</v>
      </c>
      <c r="F176" s="40">
        <f>D176*(($F$172)+1)+(IF(E176&lt;101,E176,IF(E176&lt;201,E176/2,IF(E176&lt;=301,E176/3,E176/4))))</f>
        <v>337.12847999999997</v>
      </c>
      <c r="G176" s="76" t="str">
        <f>G175</f>
        <v>3rd Floor for Residential, Society Office &amp; Fitness Center</v>
      </c>
      <c r="H176" s="77"/>
      <c r="I176" s="34"/>
    </row>
    <row r="177" spans="1:9" s="35" customFormat="1" ht="15.75" customHeight="1" x14ac:dyDescent="0.3">
      <c r="A177" s="40">
        <v>4</v>
      </c>
      <c r="B177" s="52" t="s">
        <v>257</v>
      </c>
      <c r="C177" s="51" t="s">
        <v>260</v>
      </c>
      <c r="D177" s="59">
        <f>(21.27)*10.764</f>
        <v>228.95027999999999</v>
      </c>
      <c r="E177" s="40">
        <v>0</v>
      </c>
      <c r="F177" s="40">
        <f>D177*(($F$172)+1)+(IF(E177&lt;101,E177,IF(E177&lt;201,E177/2,IF(E177&lt;=301,E177/3,E177/4))))</f>
        <v>343.42541999999997</v>
      </c>
      <c r="G177" s="76" t="str">
        <f>G176</f>
        <v>3rd Floor for Residential, Society Office &amp; Fitness Center</v>
      </c>
      <c r="H177" s="77"/>
      <c r="I177" s="34"/>
    </row>
    <row r="178" spans="1:9" s="35" customFormat="1" ht="15.75" customHeight="1" x14ac:dyDescent="0.3">
      <c r="A178" s="40">
        <v>5</v>
      </c>
      <c r="B178" s="52" t="s">
        <v>257</v>
      </c>
      <c r="C178" s="51" t="s">
        <v>269</v>
      </c>
      <c r="D178" s="59">
        <f>(52.7)*10.764</f>
        <v>567.26279999999997</v>
      </c>
      <c r="E178" s="40">
        <v>0</v>
      </c>
      <c r="F178" s="40">
        <f>D178*(($F$172)+1)+(IF(E178&lt;101,E178,IF(E178&lt;201,E178/2,IF(E178&lt;=301,E178/3,E178/4))))</f>
        <v>850.89419999999996</v>
      </c>
      <c r="G178" s="76" t="str">
        <f>G177</f>
        <v>3rd Floor for Residential, Society Office &amp; Fitness Center</v>
      </c>
      <c r="H178" s="77"/>
      <c r="I178" s="34">
        <f>1.63*1.05+4.12*3.15+2.29*2.82+2.77*2.4+4.11*3.6+2.29*1.37+1.29*2.13+1.29*1.37</f>
        <v>50.243600000000001</v>
      </c>
    </row>
    <row r="179" spans="1:9" s="35" customFormat="1" ht="15.75" customHeight="1" x14ac:dyDescent="0.3">
      <c r="A179" s="71" t="s">
        <v>287</v>
      </c>
      <c r="B179" s="72"/>
      <c r="C179" s="72"/>
      <c r="D179" s="72"/>
      <c r="E179" s="72"/>
      <c r="F179" s="72"/>
      <c r="G179" s="72"/>
      <c r="H179" s="73"/>
      <c r="I179" s="34"/>
    </row>
    <row r="180" spans="1:9" s="35" customFormat="1" ht="15.75" customHeight="1" x14ac:dyDescent="0.3">
      <c r="A180" s="40">
        <v>1</v>
      </c>
      <c r="B180" s="52" t="s">
        <v>257</v>
      </c>
      <c r="C180" s="51" t="s">
        <v>298</v>
      </c>
      <c r="D180" s="59">
        <f>(76.8)*10.764</f>
        <v>826.6751999999999</v>
      </c>
      <c r="E180" s="40">
        <v>0</v>
      </c>
      <c r="F180" s="40">
        <f>D180*(($F$172)+1)+(IF(E180&lt;101,E180,IF(E180&lt;201,E180/2,IF(E180&lt;=301,E180/3,E180/4))))</f>
        <v>1240.0128</v>
      </c>
      <c r="G180" s="74" t="str">
        <f>A179</f>
        <v xml:space="preserve">4th Floor </v>
      </c>
      <c r="H180" s="75"/>
      <c r="I180" s="34"/>
    </row>
    <row r="181" spans="1:9" s="35" customFormat="1" ht="15.75" customHeight="1" x14ac:dyDescent="0.3">
      <c r="A181" s="40">
        <v>2</v>
      </c>
      <c r="B181" s="52" t="s">
        <v>257</v>
      </c>
      <c r="C181" s="51" t="s">
        <v>269</v>
      </c>
      <c r="D181" s="59">
        <f>(54.63)*10.764</f>
        <v>588.03732000000002</v>
      </c>
      <c r="E181" s="40">
        <v>0</v>
      </c>
      <c r="F181" s="40">
        <f>D181*(($F$172)+1)+(IF(E181&lt;101,E181,IF(E181&lt;201,E181/2,IF(E181&lt;=301,E181/3,E181/4))))</f>
        <v>882.05598000000009</v>
      </c>
      <c r="G181" s="76" t="str">
        <f>G180</f>
        <v xml:space="preserve">4th Floor </v>
      </c>
      <c r="H181" s="77"/>
      <c r="I181" s="34"/>
    </row>
    <row r="182" spans="1:9" s="35" customFormat="1" ht="15.75" customHeight="1" x14ac:dyDescent="0.3">
      <c r="A182" s="40">
        <v>3</v>
      </c>
      <c r="B182" s="52" t="s">
        <v>257</v>
      </c>
      <c r="C182" s="51" t="s">
        <v>269</v>
      </c>
      <c r="D182" s="59">
        <f>(53.59)*10.764</f>
        <v>576.84276</v>
      </c>
      <c r="E182" s="40">
        <v>0</v>
      </c>
      <c r="F182" s="40">
        <f>D182*(($F$172)+1)+(IF(E182&lt;101,E182,IF(E182&lt;201,E182/2,IF(E182&lt;=301,E182/3,E182/4))))</f>
        <v>865.26414</v>
      </c>
      <c r="G182" s="76" t="str">
        <f>G181</f>
        <v xml:space="preserve">4th Floor </v>
      </c>
      <c r="H182" s="77"/>
      <c r="I182" s="34"/>
    </row>
    <row r="183" spans="1:9" s="35" customFormat="1" ht="15.75" customHeight="1" x14ac:dyDescent="0.3">
      <c r="A183" s="40">
        <v>4</v>
      </c>
      <c r="B183" s="52" t="s">
        <v>257</v>
      </c>
      <c r="C183" s="51" t="s">
        <v>269</v>
      </c>
      <c r="D183" s="59">
        <f>(54.66)*10.764</f>
        <v>588.36023999999998</v>
      </c>
      <c r="E183" s="40">
        <v>0</v>
      </c>
      <c r="F183" s="40">
        <f>D183*(($F$172)+1)+(IF(E183&lt;101,E183,IF(E183&lt;201,E183/2,IF(E183&lt;=301,E183/3,E183/4))))</f>
        <v>882.54035999999996</v>
      </c>
      <c r="G183" s="76" t="str">
        <f>G182</f>
        <v xml:space="preserve">4th Floor </v>
      </c>
      <c r="H183" s="77"/>
      <c r="I183" s="34"/>
    </row>
    <row r="184" spans="1:9" s="35" customFormat="1" ht="15.75" customHeight="1" x14ac:dyDescent="0.3">
      <c r="A184" s="71" t="s">
        <v>299</v>
      </c>
      <c r="B184" s="72"/>
      <c r="C184" s="72"/>
      <c r="D184" s="72"/>
      <c r="E184" s="72"/>
      <c r="F184" s="72"/>
      <c r="G184" s="72"/>
      <c r="H184" s="73"/>
      <c r="I184" s="34"/>
    </row>
    <row r="185" spans="1:9" s="35" customFormat="1" ht="15.75" customHeight="1" x14ac:dyDescent="0.3">
      <c r="A185" s="40">
        <v>1</v>
      </c>
      <c r="B185" s="52" t="s">
        <v>257</v>
      </c>
      <c r="C185" s="51" t="s">
        <v>298</v>
      </c>
      <c r="D185" s="59">
        <f>(77.96)*10.764</f>
        <v>839.16143999999986</v>
      </c>
      <c r="E185" s="40">
        <v>0</v>
      </c>
      <c r="F185" s="40">
        <f t="shared" ref="F185:F188" si="16">D185*(($F$172)+1)+(IF(E185&lt;101,E185,IF(E185&lt;201,E185/2,IF(E185&lt;=301,E185/3,E185/4))))</f>
        <v>1258.7421599999998</v>
      </c>
      <c r="G185" s="74" t="str">
        <f>A184</f>
        <v>5th &amp; 6th Floor</v>
      </c>
      <c r="H185" s="75"/>
      <c r="I185" s="34"/>
    </row>
    <row r="186" spans="1:9" s="35" customFormat="1" ht="15.75" customHeight="1" x14ac:dyDescent="0.3">
      <c r="A186" s="40">
        <v>2</v>
      </c>
      <c r="B186" s="52" t="s">
        <v>257</v>
      </c>
      <c r="C186" s="51" t="s">
        <v>269</v>
      </c>
      <c r="D186" s="59">
        <f>(54.63)*10.764</f>
        <v>588.03732000000002</v>
      </c>
      <c r="E186" s="40">
        <v>0</v>
      </c>
      <c r="F186" s="40">
        <f t="shared" si="16"/>
        <v>882.05598000000009</v>
      </c>
      <c r="G186" s="76" t="str">
        <f>G185</f>
        <v>5th &amp; 6th Floor</v>
      </c>
      <c r="H186" s="77"/>
      <c r="I186" s="34"/>
    </row>
    <row r="187" spans="1:9" s="35" customFormat="1" ht="15.75" customHeight="1" x14ac:dyDescent="0.3">
      <c r="A187" s="40">
        <v>3</v>
      </c>
      <c r="B187" s="52" t="s">
        <v>257</v>
      </c>
      <c r="C187" s="51" t="s">
        <v>269</v>
      </c>
      <c r="D187" s="59">
        <f>(53.59)*10.764</f>
        <v>576.84276</v>
      </c>
      <c r="E187" s="40">
        <v>0</v>
      </c>
      <c r="F187" s="40">
        <f t="shared" si="16"/>
        <v>865.26414</v>
      </c>
      <c r="G187" s="76" t="str">
        <f>G186</f>
        <v>5th &amp; 6th Floor</v>
      </c>
      <c r="H187" s="77"/>
      <c r="I187" s="34"/>
    </row>
    <row r="188" spans="1:9" s="35" customFormat="1" ht="15.75" customHeight="1" x14ac:dyDescent="0.3">
      <c r="A188" s="40">
        <v>4</v>
      </c>
      <c r="B188" s="52" t="s">
        <v>257</v>
      </c>
      <c r="C188" s="51" t="s">
        <v>269</v>
      </c>
      <c r="D188" s="59">
        <f>(54.66)*10.764</f>
        <v>588.36023999999998</v>
      </c>
      <c r="E188" s="40">
        <v>0</v>
      </c>
      <c r="F188" s="40">
        <f t="shared" si="16"/>
        <v>882.54035999999996</v>
      </c>
      <c r="G188" s="76" t="str">
        <f>G187</f>
        <v>5th &amp; 6th Floor</v>
      </c>
      <c r="H188" s="77"/>
      <c r="I188" s="34"/>
    </row>
    <row r="189" spans="1:9" s="35" customFormat="1" ht="15.75" customHeight="1" x14ac:dyDescent="0.3">
      <c r="A189" s="71" t="s">
        <v>300</v>
      </c>
      <c r="B189" s="72"/>
      <c r="C189" s="72"/>
      <c r="D189" s="72"/>
      <c r="E189" s="72"/>
      <c r="F189" s="72"/>
      <c r="G189" s="72"/>
      <c r="H189" s="73"/>
      <c r="I189" s="34"/>
    </row>
    <row r="190" spans="1:9" s="35" customFormat="1" ht="15.75" customHeight="1" x14ac:dyDescent="0.3">
      <c r="A190" s="40">
        <v>1</v>
      </c>
      <c r="B190" s="40" t="s">
        <v>266</v>
      </c>
      <c r="C190" s="94" t="s">
        <v>270</v>
      </c>
      <c r="D190" s="95"/>
      <c r="E190" s="95"/>
      <c r="F190" s="96"/>
      <c r="G190" s="74" t="str">
        <f>A189</f>
        <v>7th Floor (Part Refuge Area)</v>
      </c>
      <c r="H190" s="75"/>
      <c r="I190" s="34"/>
    </row>
    <row r="191" spans="1:9" s="35" customFormat="1" ht="15.75" customHeight="1" x14ac:dyDescent="0.3">
      <c r="A191" s="40">
        <v>2</v>
      </c>
      <c r="B191" s="52" t="s">
        <v>257</v>
      </c>
      <c r="C191" s="51" t="s">
        <v>301</v>
      </c>
      <c r="D191" s="59">
        <f>(73.09)*10.764</f>
        <v>786.74076000000002</v>
      </c>
      <c r="E191" s="40">
        <v>0</v>
      </c>
      <c r="F191" s="40">
        <f>D191*(($F$172)+1)+(IF(E191&lt;101,E191,IF(E191&lt;201,E191/2,IF(E191&lt;=301,E191/3,E191/4))))</f>
        <v>1180.11114</v>
      </c>
      <c r="G191" s="76"/>
      <c r="H191" s="77"/>
      <c r="I191" s="34"/>
    </row>
    <row r="192" spans="1:9" s="35" customFormat="1" ht="15.75" customHeight="1" x14ac:dyDescent="0.3">
      <c r="A192" s="40">
        <v>3</v>
      </c>
      <c r="B192" s="52" t="s">
        <v>257</v>
      </c>
      <c r="C192" s="51" t="s">
        <v>260</v>
      </c>
      <c r="D192" s="59">
        <f>(16.98)*10.764</f>
        <v>182.77271999999999</v>
      </c>
      <c r="E192" s="40">
        <v>0</v>
      </c>
      <c r="F192" s="40">
        <f>D192*(($F$172)+1)+(IF(E192&lt;101,E192,IF(E192&lt;201,E192/2,IF(E192&lt;=301,E192/3,E192/4))))</f>
        <v>274.15908000000002</v>
      </c>
      <c r="G192" s="76"/>
      <c r="H192" s="77"/>
      <c r="I192" s="34"/>
    </row>
    <row r="193" spans="1:9" s="35" customFormat="1" ht="15.75" customHeight="1" x14ac:dyDescent="0.3">
      <c r="A193" s="40">
        <v>4</v>
      </c>
      <c r="B193" s="52" t="s">
        <v>257</v>
      </c>
      <c r="C193" s="51" t="s">
        <v>260</v>
      </c>
      <c r="D193" s="59">
        <f>(38.21)*10.764</f>
        <v>411.29244</v>
      </c>
      <c r="E193" s="40">
        <v>0</v>
      </c>
      <c r="F193" s="40">
        <f>D193*(($F$172)+1)+(IF(E193&lt;101,E193,IF(E193&lt;201,E193/2,IF(E193&lt;=301,E193/3,E193/4))))</f>
        <v>616.93866000000003</v>
      </c>
      <c r="G193" s="76"/>
      <c r="H193" s="77"/>
      <c r="I193" s="34"/>
    </row>
    <row r="194" spans="1:9" s="35" customFormat="1" ht="15.75" customHeight="1" x14ac:dyDescent="0.3">
      <c r="A194" s="40">
        <v>5</v>
      </c>
      <c r="B194" s="52" t="s">
        <v>257</v>
      </c>
      <c r="C194" s="51" t="s">
        <v>269</v>
      </c>
      <c r="D194" s="59">
        <f>(62.84)*10.764</f>
        <v>676.40976000000001</v>
      </c>
      <c r="E194" s="40">
        <v>0</v>
      </c>
      <c r="F194" s="40">
        <f t="shared" ref="F194" si="17">D194*(($F$172)+1)+(IF(E194&lt;101,E194,IF(E194&lt;201,E194/2,IF(E194&lt;=301,E194/3,E194/4))))</f>
        <v>1014.61464</v>
      </c>
      <c r="G194" s="78"/>
      <c r="H194" s="79"/>
      <c r="I194" s="34"/>
    </row>
    <row r="195" spans="1:9" s="35" customFormat="1" ht="15.75" customHeight="1" x14ac:dyDescent="0.3">
      <c r="A195" s="71" t="s">
        <v>302</v>
      </c>
      <c r="B195" s="72"/>
      <c r="C195" s="72"/>
      <c r="D195" s="72"/>
      <c r="E195" s="72"/>
      <c r="F195" s="72"/>
      <c r="G195" s="72"/>
      <c r="H195" s="73"/>
      <c r="I195" s="34"/>
    </row>
    <row r="196" spans="1:9" s="35" customFormat="1" ht="15.75" customHeight="1" x14ac:dyDescent="0.3">
      <c r="A196" s="40">
        <v>1</v>
      </c>
      <c r="B196" s="52" t="s">
        <v>257</v>
      </c>
      <c r="C196" s="51" t="s">
        <v>298</v>
      </c>
      <c r="D196" s="59">
        <f>(79.95)*10.764</f>
        <v>860.58179999999993</v>
      </c>
      <c r="E196" s="40">
        <v>0</v>
      </c>
      <c r="F196" s="40">
        <f t="shared" ref="F196:F199" si="18">D196*(($F$172)+1)+(IF(E196&lt;101,E196,IF(E196&lt;201,E196/2,IF(E196&lt;=301,E196/3,E196/4))))</f>
        <v>1290.8726999999999</v>
      </c>
      <c r="G196" s="74" t="str">
        <f>A195</f>
        <v>8th to 11th Floor</v>
      </c>
      <c r="H196" s="75"/>
      <c r="I196" s="34"/>
    </row>
    <row r="197" spans="1:9" s="35" customFormat="1" ht="15.75" customHeight="1" x14ac:dyDescent="0.3">
      <c r="A197" s="40">
        <v>2</v>
      </c>
      <c r="B197" s="52" t="s">
        <v>257</v>
      </c>
      <c r="C197" s="51" t="s">
        <v>269</v>
      </c>
      <c r="D197" s="59">
        <f>(62.41)*10.764</f>
        <v>671.78123999999991</v>
      </c>
      <c r="E197" s="40">
        <v>0</v>
      </c>
      <c r="F197" s="40">
        <f t="shared" si="18"/>
        <v>1007.6718599999999</v>
      </c>
      <c r="G197" s="76" t="str">
        <f>G196</f>
        <v>8th to 11th Floor</v>
      </c>
      <c r="H197" s="77"/>
      <c r="I197" s="34"/>
    </row>
    <row r="198" spans="1:9" s="35" customFormat="1" ht="15.75" customHeight="1" x14ac:dyDescent="0.3">
      <c r="A198" s="40">
        <v>3</v>
      </c>
      <c r="B198" s="52" t="s">
        <v>257</v>
      </c>
      <c r="C198" s="51" t="s">
        <v>269</v>
      </c>
      <c r="D198" s="59">
        <f>(59.19)*10.764</f>
        <v>637.12115999999992</v>
      </c>
      <c r="E198" s="40">
        <v>0</v>
      </c>
      <c r="F198" s="40">
        <f t="shared" si="18"/>
        <v>955.68173999999988</v>
      </c>
      <c r="G198" s="76" t="str">
        <f>G197</f>
        <v>8th to 11th Floor</v>
      </c>
      <c r="H198" s="77"/>
      <c r="I198" s="34"/>
    </row>
    <row r="199" spans="1:9" s="35" customFormat="1" ht="15.75" customHeight="1" x14ac:dyDescent="0.3">
      <c r="A199" s="40">
        <v>4</v>
      </c>
      <c r="B199" s="52" t="s">
        <v>257</v>
      </c>
      <c r="C199" s="51" t="s">
        <v>269</v>
      </c>
      <c r="D199" s="59">
        <f>(62.84)*10.764</f>
        <v>676.40976000000001</v>
      </c>
      <c r="E199" s="40">
        <v>0</v>
      </c>
      <c r="F199" s="40">
        <f t="shared" si="18"/>
        <v>1014.61464</v>
      </c>
      <c r="G199" s="76" t="str">
        <f>G198</f>
        <v>8th to 11th Floor</v>
      </c>
      <c r="H199" s="77"/>
      <c r="I199" s="34"/>
    </row>
    <row r="200" spans="1:9" s="35" customFormat="1" ht="15.75" customHeight="1" x14ac:dyDescent="0.3">
      <c r="A200" s="71" t="s">
        <v>303</v>
      </c>
      <c r="B200" s="72"/>
      <c r="C200" s="72"/>
      <c r="D200" s="72"/>
      <c r="E200" s="72"/>
      <c r="F200" s="72"/>
      <c r="G200" s="72"/>
      <c r="H200" s="73"/>
      <c r="I200" s="34"/>
    </row>
    <row r="201" spans="1:9" s="35" customFormat="1" ht="15.75" customHeight="1" x14ac:dyDescent="0.3">
      <c r="A201" s="40">
        <v>1</v>
      </c>
      <c r="B201" s="52" t="s">
        <v>257</v>
      </c>
      <c r="C201" s="51" t="s">
        <v>298</v>
      </c>
      <c r="D201" s="59">
        <f>(86.87)*10.764</f>
        <v>935.06867999999997</v>
      </c>
      <c r="E201" s="40">
        <v>0</v>
      </c>
      <c r="F201" s="40">
        <f t="shared" ref="F201:F204" si="19">D201*(($F$172)+1)+(IF(E201&lt;101,E201,IF(E201&lt;201,E201/2,IF(E201&lt;=301,E201/3,E201/4))))</f>
        <v>1402.60302</v>
      </c>
      <c r="G201" s="74" t="str">
        <f>A200</f>
        <v>12th, 13th &amp; 15th to 19th Floor</v>
      </c>
      <c r="H201" s="75"/>
      <c r="I201" s="34"/>
    </row>
    <row r="202" spans="1:9" s="35" customFormat="1" ht="15.75" customHeight="1" x14ac:dyDescent="0.3">
      <c r="A202" s="40">
        <v>2</v>
      </c>
      <c r="B202" s="52" t="s">
        <v>257</v>
      </c>
      <c r="C202" s="51" t="s">
        <v>269</v>
      </c>
      <c r="D202" s="59">
        <f>(62.41)*10.764</f>
        <v>671.78123999999991</v>
      </c>
      <c r="E202" s="40">
        <v>0</v>
      </c>
      <c r="F202" s="40">
        <f t="shared" si="19"/>
        <v>1007.6718599999999</v>
      </c>
      <c r="G202" s="76" t="str">
        <f>G201</f>
        <v>12th, 13th &amp; 15th to 19th Floor</v>
      </c>
      <c r="H202" s="77"/>
      <c r="I202" s="34"/>
    </row>
    <row r="203" spans="1:9" s="35" customFormat="1" ht="15.75" customHeight="1" x14ac:dyDescent="0.3">
      <c r="A203" s="40">
        <v>3</v>
      </c>
      <c r="B203" s="52" t="s">
        <v>257</v>
      </c>
      <c r="C203" s="51" t="s">
        <v>269</v>
      </c>
      <c r="D203" s="59">
        <f>(59.19)*10.764</f>
        <v>637.12115999999992</v>
      </c>
      <c r="E203" s="40">
        <v>0</v>
      </c>
      <c r="F203" s="40">
        <f t="shared" si="19"/>
        <v>955.68173999999988</v>
      </c>
      <c r="G203" s="76" t="str">
        <f>G202</f>
        <v>12th, 13th &amp; 15th to 19th Floor</v>
      </c>
      <c r="H203" s="77"/>
      <c r="I203" s="34"/>
    </row>
    <row r="204" spans="1:9" s="35" customFormat="1" ht="15.75" customHeight="1" x14ac:dyDescent="0.3">
      <c r="A204" s="40">
        <v>4</v>
      </c>
      <c r="B204" s="52" t="s">
        <v>257</v>
      </c>
      <c r="C204" s="51" t="s">
        <v>269</v>
      </c>
      <c r="D204" s="59">
        <f>(62.84)*10.764</f>
        <v>676.40976000000001</v>
      </c>
      <c r="E204" s="40">
        <v>0</v>
      </c>
      <c r="F204" s="40">
        <f t="shared" si="19"/>
        <v>1014.61464</v>
      </c>
      <c r="G204" s="76" t="str">
        <f>G203</f>
        <v>12th, 13th &amp; 15th to 19th Floor</v>
      </c>
      <c r="H204" s="77"/>
      <c r="I204" s="34"/>
    </row>
    <row r="205" spans="1:9" s="35" customFormat="1" ht="15.75" customHeight="1" x14ac:dyDescent="0.3">
      <c r="A205" s="71" t="s">
        <v>304</v>
      </c>
      <c r="B205" s="72"/>
      <c r="C205" s="72"/>
      <c r="D205" s="72"/>
      <c r="E205" s="72"/>
      <c r="F205" s="72"/>
      <c r="G205" s="72"/>
      <c r="H205" s="73"/>
      <c r="I205" s="34"/>
    </row>
    <row r="206" spans="1:9" s="35" customFormat="1" ht="15.75" customHeight="1" x14ac:dyDescent="0.3">
      <c r="A206" s="40">
        <v>1</v>
      </c>
      <c r="B206" s="40" t="s">
        <v>266</v>
      </c>
      <c r="C206" s="94" t="s">
        <v>270</v>
      </c>
      <c r="D206" s="95"/>
      <c r="E206" s="95"/>
      <c r="F206" s="96"/>
      <c r="G206" s="74" t="str">
        <f>A205</f>
        <v>14th Floor (Part Refuge Area)</v>
      </c>
      <c r="H206" s="75"/>
      <c r="I206" s="34"/>
    </row>
    <row r="207" spans="1:9" s="35" customFormat="1" ht="15.75" customHeight="1" x14ac:dyDescent="0.3">
      <c r="A207" s="40">
        <v>2</v>
      </c>
      <c r="B207" s="52" t="s">
        <v>257</v>
      </c>
      <c r="C207" s="51" t="s">
        <v>269</v>
      </c>
      <c r="D207" s="59">
        <f>(62.41)*10.764</f>
        <v>671.78123999999991</v>
      </c>
      <c r="E207" s="40">
        <v>0</v>
      </c>
      <c r="F207" s="40">
        <f>D207*(($F$172)+1)+(IF(E207&lt;101,E207,IF(E207&lt;201,E207/2,IF(E207&lt;=301,E207/3,E207/4))))</f>
        <v>1007.6718599999999</v>
      </c>
      <c r="G207" s="76" t="str">
        <f>G206</f>
        <v>14th Floor (Part Refuge Area)</v>
      </c>
      <c r="H207" s="77"/>
      <c r="I207" s="34"/>
    </row>
    <row r="208" spans="1:9" s="35" customFormat="1" ht="15.75" customHeight="1" x14ac:dyDescent="0.3">
      <c r="A208" s="40">
        <v>3</v>
      </c>
      <c r="B208" s="52" t="s">
        <v>257</v>
      </c>
      <c r="C208" s="51" t="s">
        <v>269</v>
      </c>
      <c r="D208" s="59">
        <f>(59.19)*10.764</f>
        <v>637.12115999999992</v>
      </c>
      <c r="E208" s="40">
        <v>0</v>
      </c>
      <c r="F208" s="40">
        <f>D208*(($F$172)+1)+(IF(E208&lt;101,E208,IF(E208&lt;201,E208/2,IF(E208&lt;=301,E208/3,E208/4))))</f>
        <v>955.68173999999988</v>
      </c>
      <c r="G208" s="76" t="str">
        <f>G207</f>
        <v>14th Floor (Part Refuge Area)</v>
      </c>
      <c r="H208" s="77"/>
      <c r="I208" s="34"/>
    </row>
    <row r="209" spans="1:14" s="35" customFormat="1" ht="15.75" customHeight="1" x14ac:dyDescent="0.3">
      <c r="A209" s="40">
        <v>4</v>
      </c>
      <c r="B209" s="52" t="s">
        <v>257</v>
      </c>
      <c r="C209" s="51" t="s">
        <v>269</v>
      </c>
      <c r="D209" s="59">
        <f>(62.84)*10.764</f>
        <v>676.40976000000001</v>
      </c>
      <c r="E209" s="40">
        <v>0</v>
      </c>
      <c r="F209" s="40">
        <f>D209*(($F$172)+1)+(IF(E209&lt;101,E209,IF(E209&lt;201,E209/2,IF(E209&lt;=301,E209/3,E209/4))))</f>
        <v>1014.61464</v>
      </c>
      <c r="G209" s="76" t="str">
        <f>G208</f>
        <v>14th Floor (Part Refuge Area)</v>
      </c>
      <c r="H209" s="77"/>
      <c r="I209" s="34"/>
    </row>
    <row r="210" spans="1:14" s="35" customFormat="1" ht="15.75" customHeight="1" x14ac:dyDescent="0.3">
      <c r="A210" s="71" t="s">
        <v>305</v>
      </c>
      <c r="B210" s="72"/>
      <c r="C210" s="72"/>
      <c r="D210" s="72"/>
      <c r="E210" s="72"/>
      <c r="F210" s="72"/>
      <c r="G210" s="72"/>
      <c r="H210" s="73"/>
      <c r="I210" s="34"/>
    </row>
    <row r="211" spans="1:14" s="35" customFormat="1" ht="15.75" customHeight="1" x14ac:dyDescent="0.3">
      <c r="A211" s="40">
        <v>1</v>
      </c>
      <c r="B211" s="52" t="s">
        <v>257</v>
      </c>
      <c r="C211" s="51" t="s">
        <v>298</v>
      </c>
      <c r="D211" s="59">
        <f>(90.66)*10.764</f>
        <v>975.86423999999988</v>
      </c>
      <c r="E211" s="40">
        <v>0</v>
      </c>
      <c r="F211" s="40">
        <f t="shared" ref="F211:F214" si="20">D211*(($F$172)+1)+(IF(E211&lt;101,E211,IF(E211&lt;201,E211/2,IF(E211&lt;=301,E211/3,E211/4))))</f>
        <v>1463.7963599999998</v>
      </c>
      <c r="G211" s="74" t="str">
        <f>A210</f>
        <v>20th &amp; 21st Floor</v>
      </c>
      <c r="H211" s="75"/>
      <c r="I211" s="34">
        <f>2.4*1.2+3.17*5.45+3.13*3.2+2.29*3+2.98*3.35+3.65*3.35+3.65*3.28+2.29*1.29+1.37*2.34+1.52*0.91+1.52*0.91+1.37*2.27+3.17*1.05</f>
        <v>86.589699999999993</v>
      </c>
    </row>
    <row r="212" spans="1:14" s="35" customFormat="1" ht="15.75" customHeight="1" x14ac:dyDescent="0.3">
      <c r="A212" s="40">
        <v>2</v>
      </c>
      <c r="B212" s="52" t="s">
        <v>257</v>
      </c>
      <c r="C212" s="51" t="s">
        <v>269</v>
      </c>
      <c r="D212" s="59">
        <f>(66.1)*10.764</f>
        <v>711.5003999999999</v>
      </c>
      <c r="E212" s="40">
        <v>0</v>
      </c>
      <c r="F212" s="40">
        <f t="shared" si="20"/>
        <v>1067.2505999999998</v>
      </c>
      <c r="G212" s="76" t="str">
        <f>G211</f>
        <v>20th &amp; 21st Floor</v>
      </c>
      <c r="H212" s="77"/>
      <c r="I212" s="34"/>
    </row>
    <row r="213" spans="1:14" s="35" customFormat="1" ht="15.75" customHeight="1" x14ac:dyDescent="0.3">
      <c r="A213" s="40">
        <v>3</v>
      </c>
      <c r="B213" s="52" t="s">
        <v>257</v>
      </c>
      <c r="C213" s="51" t="s">
        <v>269</v>
      </c>
      <c r="D213" s="59">
        <f>(59.19)*10.764</f>
        <v>637.12115999999992</v>
      </c>
      <c r="E213" s="40">
        <v>0</v>
      </c>
      <c r="F213" s="40">
        <f t="shared" si="20"/>
        <v>955.68173999999988</v>
      </c>
      <c r="G213" s="76" t="str">
        <f>G212</f>
        <v>20th &amp; 21st Floor</v>
      </c>
      <c r="H213" s="77"/>
      <c r="I213" s="34"/>
    </row>
    <row r="214" spans="1:14" s="35" customFormat="1" ht="15.75" customHeight="1" x14ac:dyDescent="0.3">
      <c r="A214" s="40">
        <v>4</v>
      </c>
      <c r="B214" s="52" t="s">
        <v>257</v>
      </c>
      <c r="C214" s="51" t="s">
        <v>269</v>
      </c>
      <c r="D214" s="59">
        <f>(67.69)*10.764</f>
        <v>728.61515999999995</v>
      </c>
      <c r="E214" s="40">
        <v>0</v>
      </c>
      <c r="F214" s="40">
        <f t="shared" si="20"/>
        <v>1092.92274</v>
      </c>
      <c r="G214" s="76" t="str">
        <f>G213</f>
        <v>20th &amp; 21st Floor</v>
      </c>
      <c r="H214" s="77"/>
      <c r="I214" s="34"/>
    </row>
    <row r="215" spans="1:14" s="35" customFormat="1" hidden="1" x14ac:dyDescent="0.3">
      <c r="A215" s="190" t="s">
        <v>286</v>
      </c>
      <c r="B215" s="191"/>
      <c r="C215" s="191"/>
      <c r="D215" s="191"/>
      <c r="E215" s="191"/>
      <c r="F215" s="191"/>
      <c r="G215" s="191"/>
      <c r="H215" s="192"/>
      <c r="J215" s="34"/>
    </row>
    <row r="216" spans="1:14" s="35" customFormat="1" ht="15.75" hidden="1" customHeight="1" x14ac:dyDescent="0.3">
      <c r="A216" s="40">
        <v>1</v>
      </c>
      <c r="B216" s="52" t="s">
        <v>266</v>
      </c>
      <c r="C216" s="193" t="s">
        <v>262</v>
      </c>
      <c r="D216" s="194"/>
      <c r="E216" s="194"/>
      <c r="F216" s="195"/>
      <c r="G216" s="74" t="str">
        <f>A215</f>
        <v xml:space="preserve">3rd Floor for Residential </v>
      </c>
      <c r="H216" s="75"/>
      <c r="I216" s="34"/>
      <c r="L216" s="97"/>
      <c r="M216" s="97"/>
      <c r="N216" s="34"/>
    </row>
    <row r="217" spans="1:14" s="35" customFormat="1" ht="15.75" hidden="1" customHeight="1" x14ac:dyDescent="0.3">
      <c r="A217" s="40">
        <f t="shared" ref="A217:A219" si="21">A216+1</f>
        <v>2</v>
      </c>
      <c r="B217" s="52" t="s">
        <v>266</v>
      </c>
      <c r="C217" s="193" t="s">
        <v>263</v>
      </c>
      <c r="D217" s="194"/>
      <c r="E217" s="194">
        <v>0</v>
      </c>
      <c r="F217" s="195">
        <f>D217*(($F$172)+1)+(IF(E217&lt;101,E217,IF(E217&lt;201,E217/2,IF(E217&lt;=301,E217/3,E217/4))))</f>
        <v>0</v>
      </c>
      <c r="G217" s="76"/>
      <c r="H217" s="77"/>
      <c r="I217" s="34"/>
      <c r="L217" s="97"/>
      <c r="M217" s="97"/>
      <c r="N217" s="34"/>
    </row>
    <row r="218" spans="1:14" s="35" customFormat="1" ht="15.75" hidden="1" customHeight="1" x14ac:dyDescent="0.3">
      <c r="A218" s="40">
        <f t="shared" si="21"/>
        <v>3</v>
      </c>
      <c r="B218" s="52" t="s">
        <v>266</v>
      </c>
      <c r="C218" s="193" t="s">
        <v>264</v>
      </c>
      <c r="D218" s="194"/>
      <c r="E218" s="194">
        <v>0</v>
      </c>
      <c r="F218" s="195">
        <f>D218*(($F$172)+1)+(IF(E218&lt;101,E218,IF(E218&lt;201,E218/2,IF(E218&lt;=301,E218/3,E218/4))))</f>
        <v>0</v>
      </c>
      <c r="G218" s="76"/>
      <c r="H218" s="77"/>
      <c r="I218" s="34"/>
      <c r="L218" s="97"/>
      <c r="M218" s="97"/>
      <c r="N218" s="34"/>
    </row>
    <row r="219" spans="1:14" s="35" customFormat="1" ht="15.75" hidden="1" customHeight="1" x14ac:dyDescent="0.3">
      <c r="A219" s="40">
        <f t="shared" si="21"/>
        <v>4</v>
      </c>
      <c r="B219" s="52" t="s">
        <v>266</v>
      </c>
      <c r="C219" s="193" t="s">
        <v>265</v>
      </c>
      <c r="D219" s="194"/>
      <c r="E219" s="194">
        <v>0</v>
      </c>
      <c r="F219" s="195">
        <f>D219*(($F$172)+1)+(IF(E219&lt;101,E219,IF(E219&lt;201,E219/2,IF(E219&lt;=301,E219/3,E219/4))))</f>
        <v>0</v>
      </c>
      <c r="G219" s="76"/>
      <c r="H219" s="77"/>
      <c r="I219" s="59">
        <v>10.763999999999999</v>
      </c>
      <c r="L219" s="97"/>
      <c r="M219" s="97"/>
      <c r="N219" s="34"/>
    </row>
    <row r="220" spans="1:14" s="35" customFormat="1" hidden="1" x14ac:dyDescent="0.3">
      <c r="A220" s="40">
        <v>5</v>
      </c>
      <c r="B220" s="52" t="s">
        <v>257</v>
      </c>
      <c r="C220" s="51" t="s">
        <v>260</v>
      </c>
      <c r="D220" s="59">
        <f>(20.94)*10.764</f>
        <v>225.39815999999999</v>
      </c>
      <c r="E220" s="40">
        <v>0</v>
      </c>
      <c r="F220" s="40">
        <f t="shared" ref="F220:F221" si="22">D220*(($F$172)+1)+(IF(E220&lt;101,E220,IF(E220&lt;201,E220/2,IF(E220&lt;=301,E220/3,E220/4))))</f>
        <v>338.09724</v>
      </c>
      <c r="G220" s="76"/>
      <c r="H220" s="77"/>
      <c r="I220" s="34"/>
      <c r="N220" s="34"/>
    </row>
    <row r="221" spans="1:14" s="35" customFormat="1" hidden="1" x14ac:dyDescent="0.3">
      <c r="A221" s="40">
        <v>6</v>
      </c>
      <c r="B221" s="52" t="s">
        <v>257</v>
      </c>
      <c r="C221" s="51" t="s">
        <v>261</v>
      </c>
      <c r="D221" s="59">
        <f>(21.26)*10.764</f>
        <v>228.84263999999999</v>
      </c>
      <c r="E221" s="40">
        <v>0</v>
      </c>
      <c r="F221" s="40">
        <f t="shared" si="22"/>
        <v>343.26396</v>
      </c>
      <c r="G221" s="76"/>
      <c r="H221" s="77"/>
      <c r="I221" s="34"/>
      <c r="N221" s="34"/>
    </row>
    <row r="222" spans="1:14" s="35" customFormat="1" hidden="1" x14ac:dyDescent="0.3">
      <c r="A222" s="40">
        <f>A221+1</f>
        <v>7</v>
      </c>
      <c r="B222" s="52" t="s">
        <v>257</v>
      </c>
      <c r="C222" s="51" t="s">
        <v>269</v>
      </c>
      <c r="D222" s="59">
        <f>(52.68)*10.764</f>
        <v>567.04751999999996</v>
      </c>
      <c r="E222" s="40">
        <v>0</v>
      </c>
      <c r="F222" s="40">
        <f>D222*(($F$172)+1)+(IF(E222&lt;101,E222,IF(E222&lt;201,E222/2,IF(E222&lt;=301,E222/3,E222/4))))</f>
        <v>850.57127999999989</v>
      </c>
      <c r="G222" s="78"/>
      <c r="H222" s="79"/>
      <c r="I222" s="34"/>
      <c r="N222" s="34"/>
    </row>
    <row r="223" spans="1:14" s="35" customFormat="1" hidden="1" x14ac:dyDescent="0.3">
      <c r="A223" s="179" t="s">
        <v>287</v>
      </c>
      <c r="B223" s="179"/>
      <c r="C223" s="179"/>
      <c r="D223" s="179"/>
      <c r="E223" s="179"/>
      <c r="F223" s="179"/>
      <c r="G223" s="179"/>
      <c r="H223" s="179"/>
      <c r="I223" s="34"/>
      <c r="L223" s="97"/>
      <c r="M223" s="97"/>
    </row>
    <row r="224" spans="1:14" s="35" customFormat="1" ht="15.75" hidden="1" customHeight="1" x14ac:dyDescent="0.3">
      <c r="A224" s="40">
        <v>1</v>
      </c>
      <c r="B224" s="40" t="s">
        <v>267</v>
      </c>
      <c r="C224" s="51" t="s">
        <v>261</v>
      </c>
      <c r="D224" s="59">
        <f>(27.88)*10.764</f>
        <v>300.10031999999995</v>
      </c>
      <c r="E224" s="40">
        <v>0</v>
      </c>
      <c r="F224" s="40">
        <f t="shared" ref="F224:F225" si="23">D224*(($F$172)+1)+(IF(E224&lt;101,E224,IF(E224&lt;201,E224/2,IF(E224&lt;=301,E224/3,E224/4))))</f>
        <v>450.1504799999999</v>
      </c>
      <c r="G224" s="74" t="str">
        <f>A223</f>
        <v xml:space="preserve">4th Floor </v>
      </c>
      <c r="H224" s="75"/>
      <c r="I224" s="34"/>
      <c r="N224" s="34"/>
    </row>
    <row r="225" spans="1:14" s="35" customFormat="1" ht="15.75" hidden="1" customHeight="1" x14ac:dyDescent="0.3">
      <c r="A225" s="40">
        <f t="shared" ref="A225:A230" si="24">A224+1</f>
        <v>2</v>
      </c>
      <c r="B225" s="40" t="s">
        <v>267</v>
      </c>
      <c r="C225" s="51" t="s">
        <v>261</v>
      </c>
      <c r="D225" s="59">
        <f>(27.97)*10.764</f>
        <v>301.06907999999999</v>
      </c>
      <c r="E225" s="40">
        <v>0</v>
      </c>
      <c r="F225" s="40">
        <f t="shared" si="23"/>
        <v>451.60361999999998</v>
      </c>
      <c r="G225" s="76"/>
      <c r="H225" s="77"/>
      <c r="I225" s="34"/>
      <c r="N225" s="34"/>
    </row>
    <row r="226" spans="1:14" s="35" customFormat="1" ht="15.75" hidden="1" customHeight="1" x14ac:dyDescent="0.3">
      <c r="A226" s="40">
        <f t="shared" si="24"/>
        <v>3</v>
      </c>
      <c r="B226" s="52" t="s">
        <v>266</v>
      </c>
      <c r="C226" s="193" t="s">
        <v>268</v>
      </c>
      <c r="D226" s="194"/>
      <c r="E226" s="194"/>
      <c r="F226" s="195"/>
      <c r="G226" s="76"/>
      <c r="H226" s="77"/>
      <c r="I226" s="34"/>
      <c r="N226" s="34"/>
    </row>
    <row r="227" spans="1:14" s="35" customFormat="1" ht="15.75" hidden="1" customHeight="1" x14ac:dyDescent="0.3">
      <c r="A227" s="40">
        <f t="shared" si="24"/>
        <v>4</v>
      </c>
      <c r="B227" s="40" t="s">
        <v>267</v>
      </c>
      <c r="C227" s="51" t="s">
        <v>261</v>
      </c>
      <c r="D227" s="59">
        <f>(27.96)*10.764</f>
        <v>300.96143999999998</v>
      </c>
      <c r="E227" s="40">
        <v>0</v>
      </c>
      <c r="F227" s="40">
        <f>D227*(($F$172)+1)+(IF(E227&lt;101,E227,IF(E227&lt;201,E227/2,IF(E227&lt;=301,E227/3,E227/4))))</f>
        <v>451.44215999999994</v>
      </c>
      <c r="G227" s="76"/>
      <c r="H227" s="77"/>
      <c r="I227" s="34"/>
      <c r="N227" s="34"/>
    </row>
    <row r="228" spans="1:14" s="35" customFormat="1" ht="15.75" hidden="1" customHeight="1" x14ac:dyDescent="0.3">
      <c r="A228" s="40">
        <f t="shared" si="24"/>
        <v>5</v>
      </c>
      <c r="B228" s="52" t="s">
        <v>257</v>
      </c>
      <c r="C228" s="51" t="s">
        <v>260</v>
      </c>
      <c r="D228" s="59">
        <f>(16.91)*10.764</f>
        <v>182.01924</v>
      </c>
      <c r="E228" s="40">
        <v>0</v>
      </c>
      <c r="F228" s="40">
        <f>D228*(($F$172)+1)+(IF(E228&lt;101,E228,IF(E228&lt;201,E228/2,IF(E228&lt;=301,E228/3,E228/4))))</f>
        <v>273.02886000000001</v>
      </c>
      <c r="G228" s="76"/>
      <c r="H228" s="77"/>
      <c r="I228" s="34"/>
      <c r="N228" s="34"/>
    </row>
    <row r="229" spans="1:14" s="35" customFormat="1" ht="15.75" hidden="1" customHeight="1" x14ac:dyDescent="0.3">
      <c r="A229" s="40">
        <f t="shared" si="24"/>
        <v>6</v>
      </c>
      <c r="B229" s="52" t="s">
        <v>257</v>
      </c>
      <c r="C229" s="51" t="s">
        <v>261</v>
      </c>
      <c r="D229" s="59">
        <f>(38.44)*10.764</f>
        <v>413.76815999999997</v>
      </c>
      <c r="E229" s="40">
        <v>0</v>
      </c>
      <c r="F229" s="40">
        <f>D229*(($F$172)+1)+(IF(E229&lt;101,E229,IF(E229&lt;201,E229/2,IF(E229&lt;=301,E229/3,E229/4))))</f>
        <v>620.65223999999989</v>
      </c>
      <c r="G229" s="76"/>
      <c r="H229" s="77"/>
      <c r="I229" s="34"/>
      <c r="N229" s="34"/>
    </row>
    <row r="230" spans="1:14" s="35" customFormat="1" ht="15.75" hidden="1" customHeight="1" x14ac:dyDescent="0.3">
      <c r="A230" s="40">
        <f t="shared" si="24"/>
        <v>7</v>
      </c>
      <c r="B230" s="52" t="s">
        <v>257</v>
      </c>
      <c r="C230" s="51" t="s">
        <v>269</v>
      </c>
      <c r="D230" s="59">
        <f>(54.71)*10.764</f>
        <v>588.89843999999994</v>
      </c>
      <c r="E230" s="40">
        <v>0</v>
      </c>
      <c r="F230" s="40">
        <f>D230*(($F$172)+1)+(IF(E230&lt;101,E230,IF(E230&lt;201,E230/2,IF(E230&lt;=301,E230/3,E230/4))))</f>
        <v>883.34765999999991</v>
      </c>
      <c r="G230" s="78"/>
      <c r="H230" s="79"/>
      <c r="I230" s="34"/>
      <c r="N230" s="34"/>
    </row>
    <row r="231" spans="1:14" s="35" customFormat="1" ht="15.75" hidden="1" customHeight="1" x14ac:dyDescent="0.3">
      <c r="A231" s="71" t="s">
        <v>288</v>
      </c>
      <c r="B231" s="72"/>
      <c r="C231" s="72"/>
      <c r="D231" s="72"/>
      <c r="E231" s="72"/>
      <c r="F231" s="72"/>
      <c r="G231" s="72"/>
      <c r="H231" s="73"/>
      <c r="I231" s="34"/>
    </row>
    <row r="232" spans="1:14" s="35" customFormat="1" ht="15.75" hidden="1" customHeight="1" x14ac:dyDescent="0.3">
      <c r="A232" s="40">
        <v>1</v>
      </c>
      <c r="B232" s="40" t="s">
        <v>267</v>
      </c>
      <c r="C232" s="51" t="s">
        <v>261</v>
      </c>
      <c r="D232" s="59">
        <f>(27.88)*10.764</f>
        <v>300.10031999999995</v>
      </c>
      <c r="E232" s="40">
        <v>0</v>
      </c>
      <c r="F232" s="40">
        <f t="shared" ref="F232:F237" si="25">D232*(($F$172)+1)+(IF(E232&lt;101,E232,IF(E232&lt;201,E232/2,IF(E232&lt;=301,E232/3,E232/4))))</f>
        <v>450.1504799999999</v>
      </c>
      <c r="G232" s="74" t="str">
        <f>A231</f>
        <v>5th Floor</v>
      </c>
      <c r="H232" s="75"/>
      <c r="I232" s="34"/>
    </row>
    <row r="233" spans="1:14" s="35" customFormat="1" ht="15.75" hidden="1" customHeight="1" x14ac:dyDescent="0.3">
      <c r="A233" s="40">
        <v>2</v>
      </c>
      <c r="B233" s="40" t="s">
        <v>267</v>
      </c>
      <c r="C233" s="51" t="s">
        <v>261</v>
      </c>
      <c r="D233" s="59">
        <f>(27.97)*10.764</f>
        <v>301.06907999999999</v>
      </c>
      <c r="E233" s="40">
        <v>0</v>
      </c>
      <c r="F233" s="40">
        <f t="shared" si="25"/>
        <v>451.60361999999998</v>
      </c>
      <c r="G233" s="76" t="str">
        <f>G232</f>
        <v>5th Floor</v>
      </c>
      <c r="H233" s="77"/>
      <c r="I233" s="34"/>
    </row>
    <row r="234" spans="1:14" s="35" customFormat="1" ht="15.75" hidden="1" customHeight="1" x14ac:dyDescent="0.3">
      <c r="A234" s="40">
        <v>3</v>
      </c>
      <c r="B234" s="40" t="s">
        <v>267</v>
      </c>
      <c r="C234" s="51" t="s">
        <v>261</v>
      </c>
      <c r="D234" s="59">
        <f>(28)*10.764</f>
        <v>301.392</v>
      </c>
      <c r="E234" s="40">
        <v>0</v>
      </c>
      <c r="F234" s="40">
        <f t="shared" si="25"/>
        <v>452.08799999999997</v>
      </c>
      <c r="G234" s="76" t="str">
        <f>G233</f>
        <v>5th Floor</v>
      </c>
      <c r="H234" s="77"/>
      <c r="I234" s="34"/>
    </row>
    <row r="235" spans="1:14" s="35" customFormat="1" ht="15.75" hidden="1" customHeight="1" x14ac:dyDescent="0.3">
      <c r="A235" s="40">
        <v>4</v>
      </c>
      <c r="B235" s="40" t="s">
        <v>267</v>
      </c>
      <c r="C235" s="51" t="s">
        <v>261</v>
      </c>
      <c r="D235" s="59">
        <f>(27.96)*10.764</f>
        <v>300.96143999999998</v>
      </c>
      <c r="E235" s="40">
        <v>0</v>
      </c>
      <c r="F235" s="40">
        <f t="shared" si="25"/>
        <v>451.44215999999994</v>
      </c>
      <c r="G235" s="76" t="str">
        <f>G234</f>
        <v>5th Floor</v>
      </c>
      <c r="H235" s="77"/>
      <c r="I235" s="34"/>
    </row>
    <row r="236" spans="1:14" s="35" customFormat="1" ht="15.75" hidden="1" customHeight="1" x14ac:dyDescent="0.3">
      <c r="A236" s="40">
        <v>5</v>
      </c>
      <c r="B236" s="52" t="s">
        <v>257</v>
      </c>
      <c r="C236" s="51" t="s">
        <v>269</v>
      </c>
      <c r="D236" s="59">
        <f>(61.73)*10.764</f>
        <v>664.4617199999999</v>
      </c>
      <c r="E236" s="40">
        <v>0</v>
      </c>
      <c r="F236" s="40">
        <f t="shared" si="25"/>
        <v>996.69257999999991</v>
      </c>
      <c r="G236" s="76" t="str">
        <f>G235</f>
        <v>5th Floor</v>
      </c>
      <c r="H236" s="77"/>
      <c r="I236" s="34"/>
    </row>
    <row r="237" spans="1:14" s="35" customFormat="1" ht="15.75" hidden="1" customHeight="1" x14ac:dyDescent="0.3">
      <c r="A237" s="40">
        <v>6</v>
      </c>
      <c r="B237" s="52" t="s">
        <v>257</v>
      </c>
      <c r="C237" s="51" t="s">
        <v>269</v>
      </c>
      <c r="D237" s="59">
        <f>(54.71)*10.764</f>
        <v>588.89843999999994</v>
      </c>
      <c r="E237" s="40">
        <v>0</v>
      </c>
      <c r="F237" s="40">
        <f t="shared" si="25"/>
        <v>883.34765999999991</v>
      </c>
      <c r="G237" s="78" t="str">
        <f>G236</f>
        <v>5th Floor</v>
      </c>
      <c r="H237" s="79"/>
      <c r="I237" s="34"/>
    </row>
    <row r="238" spans="1:14" s="35" customFormat="1" hidden="1" x14ac:dyDescent="0.3">
      <c r="A238" s="71" t="s">
        <v>289</v>
      </c>
      <c r="B238" s="72"/>
      <c r="C238" s="72"/>
      <c r="D238" s="72"/>
      <c r="E238" s="72"/>
      <c r="F238" s="72"/>
      <c r="G238" s="72"/>
      <c r="H238" s="73"/>
      <c r="I238" s="34"/>
    </row>
    <row r="239" spans="1:14" s="35" customFormat="1" ht="15.75" hidden="1" customHeight="1" x14ac:dyDescent="0.3">
      <c r="A239" s="40">
        <v>1</v>
      </c>
      <c r="B239" s="40" t="s">
        <v>267</v>
      </c>
      <c r="C239" s="51" t="s">
        <v>261</v>
      </c>
      <c r="D239" s="59">
        <f>(27.88)*10.764</f>
        <v>300.10031999999995</v>
      </c>
      <c r="E239" s="40">
        <v>0</v>
      </c>
      <c r="F239" s="40">
        <f t="shared" ref="F239:F244" si="26">D239*(($F$172)+1)+(IF(E239&lt;101,E239,IF(E239&lt;201,E239/2,IF(E239&lt;=301,E239/3,E239/4))))</f>
        <v>450.1504799999999</v>
      </c>
      <c r="G239" s="74" t="str">
        <f>A238</f>
        <v>6th &amp; 8th to 13th Floor</v>
      </c>
      <c r="H239" s="75"/>
      <c r="I239" s="34"/>
    </row>
    <row r="240" spans="1:14" s="35" customFormat="1" ht="15.75" hidden="1" customHeight="1" x14ac:dyDescent="0.3">
      <c r="A240" s="40">
        <v>2</v>
      </c>
      <c r="B240" s="40" t="s">
        <v>267</v>
      </c>
      <c r="C240" s="51" t="s">
        <v>261</v>
      </c>
      <c r="D240" s="59">
        <f>(27.97)*10.764</f>
        <v>301.06907999999999</v>
      </c>
      <c r="E240" s="40">
        <v>0</v>
      </c>
      <c r="F240" s="40">
        <f t="shared" si="26"/>
        <v>451.60361999999998</v>
      </c>
      <c r="G240" s="76"/>
      <c r="H240" s="77"/>
      <c r="I240" s="34"/>
    </row>
    <row r="241" spans="1:9" s="35" customFormat="1" ht="15.75" hidden="1" customHeight="1" x14ac:dyDescent="0.3">
      <c r="A241" s="40">
        <v>3</v>
      </c>
      <c r="B241" s="40" t="s">
        <v>267</v>
      </c>
      <c r="C241" s="51" t="s">
        <v>261</v>
      </c>
      <c r="D241" s="59">
        <f>(28)*10.764</f>
        <v>301.392</v>
      </c>
      <c r="E241" s="40">
        <v>0</v>
      </c>
      <c r="F241" s="40">
        <f t="shared" si="26"/>
        <v>452.08799999999997</v>
      </c>
      <c r="G241" s="76"/>
      <c r="H241" s="77"/>
      <c r="I241" s="34"/>
    </row>
    <row r="242" spans="1:9" s="35" customFormat="1" ht="15.75" hidden="1" customHeight="1" x14ac:dyDescent="0.3">
      <c r="A242" s="40">
        <v>4</v>
      </c>
      <c r="B242" s="40" t="s">
        <v>267</v>
      </c>
      <c r="C242" s="51" t="s">
        <v>261</v>
      </c>
      <c r="D242" s="59">
        <f>(27.96)*10.764</f>
        <v>300.96143999999998</v>
      </c>
      <c r="E242" s="40">
        <v>0</v>
      </c>
      <c r="F242" s="40">
        <f t="shared" si="26"/>
        <v>451.44215999999994</v>
      </c>
      <c r="G242" s="76"/>
      <c r="H242" s="77"/>
      <c r="I242" s="34"/>
    </row>
    <row r="243" spans="1:9" s="35" customFormat="1" ht="15.75" hidden="1" customHeight="1" x14ac:dyDescent="0.3">
      <c r="A243" s="40">
        <v>5</v>
      </c>
      <c r="B243" s="52" t="s">
        <v>257</v>
      </c>
      <c r="C243" s="51" t="s">
        <v>269</v>
      </c>
      <c r="D243" s="59">
        <f>(61.73)*10.764</f>
        <v>664.4617199999999</v>
      </c>
      <c r="E243" s="40">
        <v>0</v>
      </c>
      <c r="F243" s="40">
        <f t="shared" si="26"/>
        <v>996.69257999999991</v>
      </c>
      <c r="G243" s="76"/>
      <c r="H243" s="77"/>
      <c r="I243" s="34"/>
    </row>
    <row r="244" spans="1:9" s="35" customFormat="1" ht="15.75" hidden="1" customHeight="1" x14ac:dyDescent="0.3">
      <c r="A244" s="40">
        <v>6</v>
      </c>
      <c r="B244" s="52" t="s">
        <v>257</v>
      </c>
      <c r="C244" s="51" t="s">
        <v>269</v>
      </c>
      <c r="D244" s="59">
        <f>(62.73)*10.764</f>
        <v>675.22571999999991</v>
      </c>
      <c r="E244" s="40">
        <v>0</v>
      </c>
      <c r="F244" s="40">
        <f t="shared" si="26"/>
        <v>1012.8385799999999</v>
      </c>
      <c r="G244" s="78"/>
      <c r="H244" s="79"/>
      <c r="I244" s="34"/>
    </row>
    <row r="245" spans="1:9" s="35" customFormat="1" hidden="1" x14ac:dyDescent="0.3">
      <c r="A245" s="71" t="s">
        <v>290</v>
      </c>
      <c r="B245" s="72"/>
      <c r="C245" s="72"/>
      <c r="D245" s="72"/>
      <c r="E245" s="72"/>
      <c r="F245" s="72"/>
      <c r="G245" s="72"/>
      <c r="H245" s="73"/>
      <c r="I245" s="34"/>
    </row>
    <row r="246" spans="1:9" s="35" customFormat="1" ht="15.75" hidden="1" customHeight="1" x14ac:dyDescent="0.3">
      <c r="A246" s="40">
        <v>1</v>
      </c>
      <c r="B246" s="40" t="s">
        <v>267</v>
      </c>
      <c r="C246" s="51" t="s">
        <v>261</v>
      </c>
      <c r="D246" s="59">
        <f>(27.88)*10.764</f>
        <v>300.10031999999995</v>
      </c>
      <c r="E246" s="40">
        <v>0</v>
      </c>
      <c r="F246" s="40">
        <f>D246*(($F$172)+1)+(IF(E246&lt;101,E246,IF(E246&lt;201,E246/2,IF(E246&lt;=301,E246/3,E246/4))))</f>
        <v>450.1504799999999</v>
      </c>
      <c r="G246" s="74" t="str">
        <f>A245</f>
        <v>7th Floor for Part Refuge Area</v>
      </c>
      <c r="H246" s="75"/>
      <c r="I246" s="59">
        <v>10.763999999999999</v>
      </c>
    </row>
    <row r="247" spans="1:9" s="35" customFormat="1" ht="15.75" hidden="1" customHeight="1" x14ac:dyDescent="0.3">
      <c r="A247" s="40">
        <v>2</v>
      </c>
      <c r="B247" s="40" t="s">
        <v>266</v>
      </c>
      <c r="C247" s="104" t="s">
        <v>270</v>
      </c>
      <c r="D247" s="104"/>
      <c r="E247" s="104"/>
      <c r="F247" s="104"/>
      <c r="G247" s="76"/>
      <c r="H247" s="77"/>
      <c r="I247" s="34"/>
    </row>
    <row r="248" spans="1:9" s="35" customFormat="1" ht="15.75" hidden="1" customHeight="1" x14ac:dyDescent="0.3">
      <c r="A248" s="40">
        <v>3</v>
      </c>
      <c r="B248" s="40" t="s">
        <v>266</v>
      </c>
      <c r="C248" s="104"/>
      <c r="D248" s="104"/>
      <c r="E248" s="104"/>
      <c r="F248" s="104"/>
      <c r="G248" s="76"/>
      <c r="H248" s="77"/>
      <c r="I248" s="34"/>
    </row>
    <row r="249" spans="1:9" s="35" customFormat="1" ht="15.75" hidden="1" customHeight="1" x14ac:dyDescent="0.3">
      <c r="A249" s="40">
        <v>4</v>
      </c>
      <c r="B249" s="40" t="s">
        <v>267</v>
      </c>
      <c r="C249" s="51" t="s">
        <v>261</v>
      </c>
      <c r="D249" s="59">
        <f>(27.96)*10.764</f>
        <v>300.96143999999998</v>
      </c>
      <c r="E249" s="40">
        <v>0</v>
      </c>
      <c r="F249" s="40">
        <f>D249*(($F$172)+1)+(IF(E249&lt;101,E249,IF(E249&lt;201,E249/2,IF(E249&lt;=301,E249/3,E249/4))))</f>
        <v>451.44215999999994</v>
      </c>
      <c r="G249" s="76"/>
      <c r="H249" s="77"/>
      <c r="I249" s="34"/>
    </row>
    <row r="250" spans="1:9" s="35" customFormat="1" ht="15.75" hidden="1" customHeight="1" x14ac:dyDescent="0.3">
      <c r="A250" s="40">
        <v>5</v>
      </c>
      <c r="B250" s="52" t="s">
        <v>257</v>
      </c>
      <c r="C250" s="51" t="s">
        <v>269</v>
      </c>
      <c r="D250" s="59">
        <f>(61.73)*10.764</f>
        <v>664.4617199999999</v>
      </c>
      <c r="E250" s="40">
        <v>0</v>
      </c>
      <c r="F250" s="40">
        <f>D250*(($F$172)+1)+(IF(E250&lt;101,E250,IF(E250&lt;201,E250/2,IF(E250&lt;=301,E250/3,E250/4))))</f>
        <v>996.69257999999991</v>
      </c>
      <c r="G250" s="76"/>
      <c r="H250" s="77"/>
      <c r="I250" s="34"/>
    </row>
    <row r="251" spans="1:9" s="35" customFormat="1" ht="15.75" hidden="1" customHeight="1" x14ac:dyDescent="0.3">
      <c r="A251" s="40">
        <v>6</v>
      </c>
      <c r="B251" s="52" t="s">
        <v>257</v>
      </c>
      <c r="C251" s="51" t="s">
        <v>269</v>
      </c>
      <c r="D251" s="59">
        <f>(62.73)*10.764</f>
        <v>675.22571999999991</v>
      </c>
      <c r="E251" s="40">
        <v>0</v>
      </c>
      <c r="F251" s="40">
        <f>D251*(($F$172)+1)+(IF(E251&lt;101,E251,IF(E251&lt;201,E251/2,IF(E251&lt;=301,E251/3,E251/4))))</f>
        <v>1012.8385799999999</v>
      </c>
      <c r="G251" s="78"/>
      <c r="H251" s="79"/>
      <c r="I251" s="34"/>
    </row>
    <row r="252" spans="1:9" s="35" customFormat="1" hidden="1" x14ac:dyDescent="0.3">
      <c r="A252" s="71" t="s">
        <v>291</v>
      </c>
      <c r="B252" s="72"/>
      <c r="C252" s="72"/>
      <c r="D252" s="72"/>
      <c r="E252" s="72"/>
      <c r="F252" s="72"/>
      <c r="G252" s="72"/>
      <c r="H252" s="73"/>
      <c r="I252" s="34"/>
    </row>
    <row r="253" spans="1:9" s="35" customFormat="1" ht="15.75" hidden="1" customHeight="1" x14ac:dyDescent="0.3">
      <c r="A253" s="40">
        <v>1</v>
      </c>
      <c r="B253" s="40" t="s">
        <v>267</v>
      </c>
      <c r="C253" s="51" t="s">
        <v>261</v>
      </c>
      <c r="D253" s="59">
        <f>(27.88)*10.764</f>
        <v>300.10031999999995</v>
      </c>
      <c r="E253" s="40">
        <v>0</v>
      </c>
      <c r="F253" s="40">
        <f>D253*(($F$172)+1)+(IF(E253&lt;101,E253,IF(E253&lt;201,E253/2,IF(E253&lt;=301,E253/3,E253/4))))</f>
        <v>450.1504799999999</v>
      </c>
      <c r="G253" s="74" t="str">
        <f>A252</f>
        <v xml:space="preserve">14th Floor for Part Refuge Area </v>
      </c>
      <c r="H253" s="75"/>
      <c r="I253" s="34"/>
    </row>
    <row r="254" spans="1:9" s="35" customFormat="1" ht="15.75" hidden="1" customHeight="1" x14ac:dyDescent="0.3">
      <c r="A254" s="40">
        <v>2</v>
      </c>
      <c r="B254" s="40" t="s">
        <v>266</v>
      </c>
      <c r="C254" s="104" t="s">
        <v>270</v>
      </c>
      <c r="D254" s="104"/>
      <c r="E254" s="104"/>
      <c r="F254" s="104"/>
      <c r="G254" s="76"/>
      <c r="H254" s="77"/>
      <c r="I254" s="34"/>
    </row>
    <row r="255" spans="1:9" s="35" customFormat="1" ht="15.75" hidden="1" customHeight="1" x14ac:dyDescent="0.3">
      <c r="A255" s="40">
        <v>3</v>
      </c>
      <c r="B255" s="40" t="s">
        <v>266</v>
      </c>
      <c r="C255" s="104"/>
      <c r="D255" s="104"/>
      <c r="E255" s="104"/>
      <c r="F255" s="104"/>
      <c r="G255" s="76"/>
      <c r="H255" s="77"/>
      <c r="I255" s="34"/>
    </row>
    <row r="256" spans="1:9" s="35" customFormat="1" ht="15.75" hidden="1" customHeight="1" x14ac:dyDescent="0.3">
      <c r="A256" s="40">
        <v>4</v>
      </c>
      <c r="B256" s="40" t="s">
        <v>267</v>
      </c>
      <c r="C256" s="51" t="s">
        <v>261</v>
      </c>
      <c r="D256" s="59">
        <f>(27.96)*10.764</f>
        <v>300.96143999999998</v>
      </c>
      <c r="E256" s="40">
        <v>0</v>
      </c>
      <c r="F256" s="40">
        <f>D256*(($F$172)+1)+(IF(E256&lt;101,E256,IF(E256&lt;201,E256/2,IF(E256&lt;=301,E256/3,E256/4))))</f>
        <v>451.44215999999994</v>
      </c>
      <c r="G256" s="76"/>
      <c r="H256" s="77"/>
      <c r="I256" s="34"/>
    </row>
    <row r="257" spans="1:9" s="35" customFormat="1" ht="15.75" hidden="1" customHeight="1" x14ac:dyDescent="0.3">
      <c r="A257" s="40">
        <v>5</v>
      </c>
      <c r="B257" s="52" t="s">
        <v>257</v>
      </c>
      <c r="C257" s="51" t="s">
        <v>269</v>
      </c>
      <c r="D257" s="59">
        <f>(61.73)*10.764</f>
        <v>664.4617199999999</v>
      </c>
      <c r="E257" s="40">
        <v>0</v>
      </c>
      <c r="F257" s="40">
        <f>D257*(($F$172)+1)+(IF(E257&lt;101,E257,IF(E257&lt;201,E257/2,IF(E257&lt;=301,E257/3,E257/4))))</f>
        <v>996.69257999999991</v>
      </c>
      <c r="G257" s="76"/>
      <c r="H257" s="77"/>
      <c r="I257" s="34"/>
    </row>
    <row r="258" spans="1:9" s="35" customFormat="1" ht="15.75" hidden="1" customHeight="1" x14ac:dyDescent="0.3">
      <c r="A258" s="40">
        <v>6</v>
      </c>
      <c r="B258" s="52" t="s">
        <v>257</v>
      </c>
      <c r="C258" s="51" t="s">
        <v>269</v>
      </c>
      <c r="D258" s="59">
        <f>(62.73)*10.764</f>
        <v>675.22571999999991</v>
      </c>
      <c r="E258" s="40">
        <v>0</v>
      </c>
      <c r="F258" s="40">
        <f>D258*(($F$172)+1)+(IF(E258&lt;101,E258,IF(E258&lt;201,E258/2,IF(E258&lt;=301,E258/3,E258/4))))</f>
        <v>1012.8385799999999</v>
      </c>
      <c r="G258" s="78"/>
      <c r="H258" s="79"/>
      <c r="I258" s="34"/>
    </row>
    <row r="259" spans="1:9" s="35" customFormat="1" hidden="1" x14ac:dyDescent="0.3">
      <c r="A259" s="71" t="s">
        <v>271</v>
      </c>
      <c r="B259" s="72"/>
      <c r="C259" s="72"/>
      <c r="D259" s="72"/>
      <c r="E259" s="72"/>
      <c r="F259" s="72"/>
      <c r="G259" s="72"/>
      <c r="H259" s="73"/>
      <c r="I259" s="34"/>
    </row>
    <row r="260" spans="1:9" s="35" customFormat="1" ht="15.75" hidden="1" customHeight="1" x14ac:dyDescent="0.3">
      <c r="A260" s="40">
        <v>1</v>
      </c>
      <c r="B260" s="40" t="s">
        <v>267</v>
      </c>
      <c r="C260" s="51" t="s">
        <v>261</v>
      </c>
      <c r="D260" s="59">
        <f>(27.88)*10.764</f>
        <v>300.10031999999995</v>
      </c>
      <c r="E260" s="40">
        <v>0</v>
      </c>
      <c r="F260" s="40">
        <f>D260*(($F$172)+1)+(IF(E260&lt;101,E260,IF(E260&lt;201,E260/2,IF(E260&lt;=301,E260/3,E260/4))))</f>
        <v>450.1504799999999</v>
      </c>
      <c r="G260" s="74" t="str">
        <f>A259</f>
        <v>15th Floor (Part Terrace Area)</v>
      </c>
      <c r="H260" s="75"/>
      <c r="I260" s="34"/>
    </row>
    <row r="261" spans="1:9" s="35" customFormat="1" ht="15.75" hidden="1" customHeight="1" x14ac:dyDescent="0.3">
      <c r="A261" s="40">
        <v>2</v>
      </c>
      <c r="B261" s="40" t="s">
        <v>267</v>
      </c>
      <c r="C261" s="51" t="s">
        <v>261</v>
      </c>
      <c r="D261" s="59">
        <f>(27.97)*10.764</f>
        <v>301.06907999999999</v>
      </c>
      <c r="E261" s="40">
        <v>0</v>
      </c>
      <c r="F261" s="40">
        <f>D261*(($F$172)+1)+(IF(E261&lt;101,E261,IF(E261&lt;201,E261/2,IF(E261&lt;=301,E261/3,E261/4))))</f>
        <v>451.60361999999998</v>
      </c>
      <c r="G261" s="76"/>
      <c r="H261" s="77"/>
      <c r="I261" s="34"/>
    </row>
    <row r="262" spans="1:9" s="35" customFormat="1" ht="15.75" hidden="1" customHeight="1" x14ac:dyDescent="0.3">
      <c r="A262" s="40">
        <v>3</v>
      </c>
      <c r="B262" s="40" t="s">
        <v>267</v>
      </c>
      <c r="C262" s="51" t="s">
        <v>261</v>
      </c>
      <c r="D262" s="59">
        <f>(28)*10.764</f>
        <v>301.392</v>
      </c>
      <c r="E262" s="40">
        <v>0</v>
      </c>
      <c r="F262" s="40">
        <f>D262*(($F$172)+1)+(IF(E262&lt;101,E262,IF(E262&lt;201,E262/2,IF(E262&lt;=301,E262/3,E262/4))))</f>
        <v>452.08799999999997</v>
      </c>
      <c r="G262" s="76"/>
      <c r="H262" s="77"/>
      <c r="I262" s="34"/>
    </row>
    <row r="263" spans="1:9" s="35" customFormat="1" ht="15.75" hidden="1" customHeight="1" x14ac:dyDescent="0.3">
      <c r="A263" s="40">
        <v>4</v>
      </c>
      <c r="B263" s="40" t="s">
        <v>267</v>
      </c>
      <c r="C263" s="51" t="s">
        <v>261</v>
      </c>
      <c r="D263" s="59">
        <f>(27.96)*10.764</f>
        <v>300.96143999999998</v>
      </c>
      <c r="E263" s="40">
        <v>0</v>
      </c>
      <c r="F263" s="40">
        <f>D263*(($F$172)+1)+(IF(E263&lt;101,E263,IF(E263&lt;201,E263/2,IF(E263&lt;=301,E263/3,E263/4))))</f>
        <v>451.44215999999994</v>
      </c>
      <c r="G263" s="76"/>
      <c r="H263" s="77"/>
      <c r="I263" s="34"/>
    </row>
    <row r="264" spans="1:9" s="35" customFormat="1" ht="15.75" hidden="1" customHeight="1" x14ac:dyDescent="0.3">
      <c r="A264" s="40">
        <v>5</v>
      </c>
      <c r="B264" s="40" t="s">
        <v>266</v>
      </c>
      <c r="C264" s="104" t="s">
        <v>277</v>
      </c>
      <c r="D264" s="104"/>
      <c r="E264" s="104"/>
      <c r="F264" s="104"/>
      <c r="G264" s="76"/>
      <c r="H264" s="77"/>
      <c r="I264" s="34"/>
    </row>
    <row r="265" spans="1:9" s="35" customFormat="1" ht="15.75" hidden="1" customHeight="1" x14ac:dyDescent="0.3">
      <c r="A265" s="40">
        <v>6</v>
      </c>
      <c r="B265" s="40" t="s">
        <v>266</v>
      </c>
      <c r="C265" s="104"/>
      <c r="D265" s="104"/>
      <c r="E265" s="104"/>
      <c r="F265" s="104"/>
      <c r="G265" s="78"/>
      <c r="H265" s="79"/>
      <c r="I265" s="34"/>
    </row>
    <row r="266" spans="1:9" s="35" customFormat="1" hidden="1" x14ac:dyDescent="0.3">
      <c r="A266" s="71" t="s">
        <v>292</v>
      </c>
      <c r="B266" s="72"/>
      <c r="C266" s="72"/>
      <c r="D266" s="72"/>
      <c r="E266" s="72"/>
      <c r="F266" s="72"/>
      <c r="G266" s="72"/>
      <c r="H266" s="73"/>
      <c r="I266" s="34"/>
    </row>
    <row r="267" spans="1:9" s="35" customFormat="1" ht="15.75" hidden="1" customHeight="1" x14ac:dyDescent="0.3">
      <c r="A267" s="40">
        <v>1</v>
      </c>
      <c r="B267" s="40" t="s">
        <v>267</v>
      </c>
      <c r="C267" s="51" t="s">
        <v>261</v>
      </c>
      <c r="D267" s="59">
        <f>(27.88)*10.764</f>
        <v>300.10031999999995</v>
      </c>
      <c r="E267" s="40">
        <v>0</v>
      </c>
      <c r="F267" s="40">
        <f>D267*(($F$172)+1)+(IF(E267&lt;101,E267,IF(E267&lt;201,E267/2,IF(E267&lt;=301,E267/3,E267/4))))</f>
        <v>450.1504799999999</v>
      </c>
      <c r="G267" s="74" t="str">
        <f>A266</f>
        <v xml:space="preserve">16th &amp; 17th Floor </v>
      </c>
      <c r="H267" s="75"/>
      <c r="I267" s="34"/>
    </row>
    <row r="268" spans="1:9" s="35" customFormat="1" ht="15.75" hidden="1" customHeight="1" x14ac:dyDescent="0.3">
      <c r="A268" s="40">
        <v>2</v>
      </c>
      <c r="B268" s="40" t="s">
        <v>267</v>
      </c>
      <c r="C268" s="51" t="s">
        <v>261</v>
      </c>
      <c r="D268" s="59">
        <f>(27.97)*10.764</f>
        <v>301.06907999999999</v>
      </c>
      <c r="E268" s="40">
        <v>0</v>
      </c>
      <c r="F268" s="40">
        <f>D268*(($F$172)+1)+(IF(E268&lt;101,E268,IF(E268&lt;201,E268/2,IF(E268&lt;=301,E268/3,E268/4))))</f>
        <v>451.60361999999998</v>
      </c>
      <c r="G268" s="76"/>
      <c r="H268" s="77"/>
      <c r="I268" s="34"/>
    </row>
    <row r="269" spans="1:9" s="35" customFormat="1" ht="15.75" hidden="1" customHeight="1" x14ac:dyDescent="0.3">
      <c r="A269" s="40">
        <v>3</v>
      </c>
      <c r="B269" s="40" t="s">
        <v>267</v>
      </c>
      <c r="C269" s="51" t="s">
        <v>261</v>
      </c>
      <c r="D269" s="59">
        <f>(28)*10.764</f>
        <v>301.392</v>
      </c>
      <c r="E269" s="40">
        <v>0</v>
      </c>
      <c r="F269" s="40">
        <f>D269*(($F$172)+1)+(IF(E269&lt;101,E269,IF(E269&lt;201,E269/2,IF(E269&lt;=301,E269/3,E269/4))))</f>
        <v>452.08799999999997</v>
      </c>
      <c r="G269" s="76"/>
      <c r="H269" s="77"/>
      <c r="I269" s="34"/>
    </row>
    <row r="270" spans="1:9" s="35" customFormat="1" ht="15.75" hidden="1" customHeight="1" x14ac:dyDescent="0.3">
      <c r="A270" s="40">
        <v>4</v>
      </c>
      <c r="B270" s="40" t="s">
        <v>267</v>
      </c>
      <c r="C270" s="51" t="s">
        <v>261</v>
      </c>
      <c r="D270" s="59">
        <f>(27.96)*10.764</f>
        <v>300.96143999999998</v>
      </c>
      <c r="E270" s="40">
        <v>0</v>
      </c>
      <c r="F270" s="40">
        <f>D270*(($F$172)+1)+(IF(E270&lt;101,E270,IF(E270&lt;201,E270/2,IF(E270&lt;=301,E270/3,E270/4))))</f>
        <v>451.44215999999994</v>
      </c>
      <c r="G270" s="76"/>
      <c r="H270" s="77"/>
      <c r="I270" s="34"/>
    </row>
    <row r="271" spans="1:9" s="35" customFormat="1" ht="15.75" hidden="1" customHeight="1" x14ac:dyDescent="0.3">
      <c r="A271" s="40">
        <v>5</v>
      </c>
      <c r="B271" s="40" t="s">
        <v>266</v>
      </c>
      <c r="C271" s="104" t="s">
        <v>283</v>
      </c>
      <c r="D271" s="104"/>
      <c r="E271" s="104"/>
      <c r="F271" s="104"/>
      <c r="G271" s="76"/>
      <c r="H271" s="77"/>
      <c r="I271" s="34"/>
    </row>
    <row r="272" spans="1:9" s="35" customFormat="1" ht="15.75" hidden="1" customHeight="1" x14ac:dyDescent="0.3">
      <c r="A272" s="40">
        <v>6</v>
      </c>
      <c r="B272" s="40" t="s">
        <v>266</v>
      </c>
      <c r="C272" s="104"/>
      <c r="D272" s="104"/>
      <c r="E272" s="104"/>
      <c r="F272" s="104"/>
      <c r="G272" s="78"/>
      <c r="H272" s="79"/>
      <c r="I272" s="34"/>
    </row>
    <row r="273" spans="1:9" s="35" customFormat="1" hidden="1" x14ac:dyDescent="0.3">
      <c r="A273" s="71" t="s">
        <v>272</v>
      </c>
      <c r="B273" s="72"/>
      <c r="C273" s="72"/>
      <c r="D273" s="72"/>
      <c r="E273" s="72"/>
      <c r="F273" s="72"/>
      <c r="G273" s="72"/>
      <c r="H273" s="73"/>
      <c r="I273" s="34"/>
    </row>
    <row r="274" spans="1:9" s="33" customFormat="1" x14ac:dyDescent="0.3">
      <c r="A274" s="147" t="s">
        <v>68</v>
      </c>
      <c r="B274" s="147"/>
      <c r="C274" s="147"/>
      <c r="D274" s="147"/>
      <c r="E274" s="147"/>
      <c r="F274" s="147"/>
      <c r="G274" s="147"/>
      <c r="H274" s="147"/>
    </row>
    <row r="275" spans="1:9" s="33" customFormat="1" x14ac:dyDescent="0.3">
      <c r="A275" s="43" t="s">
        <v>152</v>
      </c>
      <c r="B275" s="203" t="s">
        <v>320</v>
      </c>
      <c r="C275" s="204"/>
      <c r="D275" s="204"/>
      <c r="E275" s="204"/>
      <c r="F275" s="204"/>
      <c r="G275" s="204"/>
      <c r="H275" s="205"/>
    </row>
    <row r="276" spans="1:9" s="33" customFormat="1" x14ac:dyDescent="0.3">
      <c r="A276" s="43" t="s">
        <v>152</v>
      </c>
      <c r="B276" s="203" t="str">
        <f>(IF(F171="Saleable area Loading :","We have considered Saleable area of Flats as per our Calculation.","We considered Saleable area of Flat as per Builder area Sheet."))</f>
        <v>We have considered Saleable area of Flats as per our Calculation.</v>
      </c>
      <c r="C276" s="204"/>
      <c r="D276" s="204"/>
      <c r="E276" s="204"/>
      <c r="F276" s="204"/>
      <c r="G276" s="204"/>
      <c r="H276" s="205"/>
    </row>
    <row r="277" spans="1:9" s="33" customFormat="1" x14ac:dyDescent="0.3">
      <c r="A277" s="43" t="s">
        <v>152</v>
      </c>
      <c r="B277" s="203" t="str">
        <f>(IF(F111="Saleable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77" s="204"/>
      <c r="D277" s="204"/>
      <c r="E277" s="204"/>
      <c r="F277" s="204"/>
      <c r="G277" s="204"/>
      <c r="H277" s="205"/>
    </row>
    <row r="278" spans="1:9" s="33" customFormat="1" x14ac:dyDescent="0.3">
      <c r="A278" s="43" t="s">
        <v>152</v>
      </c>
      <c r="B278" s="68" t="s">
        <v>122</v>
      </c>
      <c r="C278" s="69"/>
      <c r="D278" s="69"/>
      <c r="E278" s="69"/>
      <c r="F278" s="69"/>
      <c r="G278" s="69"/>
      <c r="H278" s="70"/>
    </row>
    <row r="279" spans="1:9" s="33" customFormat="1" x14ac:dyDescent="0.3">
      <c r="A279" s="43" t="s">
        <v>152</v>
      </c>
      <c r="B279" s="68" t="s">
        <v>308</v>
      </c>
      <c r="C279" s="69"/>
      <c r="D279" s="69"/>
      <c r="E279" s="69"/>
      <c r="F279" s="69"/>
      <c r="G279" s="69"/>
      <c r="H279" s="70"/>
    </row>
    <row r="280" spans="1:9" s="33" customFormat="1" x14ac:dyDescent="0.3">
      <c r="A280" s="43" t="s">
        <v>152</v>
      </c>
      <c r="B280" s="68" t="s">
        <v>151</v>
      </c>
      <c r="C280" s="69"/>
      <c r="D280" s="69"/>
      <c r="E280" s="69"/>
      <c r="F280" s="69"/>
      <c r="G280" s="69"/>
      <c r="H280" s="70"/>
    </row>
    <row r="281" spans="1:9" s="33" customFormat="1" x14ac:dyDescent="0.3">
      <c r="A281" s="43" t="s">
        <v>152</v>
      </c>
      <c r="B281" s="68" t="s">
        <v>123</v>
      </c>
      <c r="C281" s="69"/>
      <c r="D281" s="69"/>
      <c r="E281" s="69"/>
      <c r="F281" s="69"/>
      <c r="G281" s="69"/>
      <c r="H281" s="70"/>
    </row>
    <row r="282" spans="1:9" s="33" customFormat="1" ht="34.5" customHeight="1" x14ac:dyDescent="0.3">
      <c r="A282" s="43" t="s">
        <v>152</v>
      </c>
      <c r="B282" s="68" t="s">
        <v>153</v>
      </c>
      <c r="C282" s="69"/>
      <c r="D282" s="69"/>
      <c r="E282" s="69"/>
      <c r="F282" s="69"/>
      <c r="G282" s="69"/>
      <c r="H282" s="70"/>
    </row>
    <row r="283" spans="1:9" s="33" customFormat="1" x14ac:dyDescent="0.3">
      <c r="A283" s="43" t="s">
        <v>152</v>
      </c>
      <c r="B283" s="68" t="s">
        <v>124</v>
      </c>
      <c r="C283" s="69"/>
      <c r="D283" s="69"/>
      <c r="E283" s="69"/>
      <c r="F283" s="69"/>
      <c r="G283" s="69"/>
      <c r="H283" s="70"/>
    </row>
    <row r="284" spans="1:9" s="33" customFormat="1" ht="32.25" hidden="1" customHeight="1" x14ac:dyDescent="0.3">
      <c r="A284" s="43" t="s">
        <v>152</v>
      </c>
      <c r="B284" s="65" t="s">
        <v>178</v>
      </c>
      <c r="C284" s="66"/>
      <c r="D284" s="66"/>
      <c r="E284" s="66"/>
      <c r="F284" s="66"/>
      <c r="G284" s="66"/>
      <c r="H284" s="67"/>
    </row>
    <row r="285" spans="1:9" s="33" customFormat="1" x14ac:dyDescent="0.3">
      <c r="A285" s="43" t="s">
        <v>152</v>
      </c>
      <c r="B285" s="68" t="s">
        <v>279</v>
      </c>
      <c r="C285" s="69"/>
      <c r="D285" s="69"/>
      <c r="E285" s="69"/>
      <c r="F285" s="69"/>
      <c r="G285" s="69"/>
      <c r="H285" s="70"/>
    </row>
    <row r="286" spans="1:9" s="33" customFormat="1" x14ac:dyDescent="0.3">
      <c r="A286" s="43" t="s">
        <v>152</v>
      </c>
      <c r="B286" s="68" t="s">
        <v>293</v>
      </c>
      <c r="C286" s="69"/>
      <c r="D286" s="69"/>
      <c r="E286" s="69"/>
      <c r="F286" s="69"/>
      <c r="G286" s="69"/>
      <c r="H286" s="70"/>
    </row>
    <row r="287" spans="1:9" s="33" customFormat="1" x14ac:dyDescent="0.3">
      <c r="A287" s="43" t="s">
        <v>152</v>
      </c>
      <c r="B287" s="68" t="s">
        <v>307</v>
      </c>
      <c r="C287" s="69"/>
      <c r="D287" s="69"/>
      <c r="E287" s="69"/>
      <c r="F287" s="69"/>
      <c r="G287" s="69"/>
      <c r="H287" s="70"/>
    </row>
    <row r="288" spans="1:9" ht="34.200000000000003" customHeight="1" x14ac:dyDescent="0.3">
      <c r="A288" s="43" t="s">
        <v>152</v>
      </c>
      <c r="B288" s="65" t="s">
        <v>318</v>
      </c>
      <c r="C288" s="66"/>
      <c r="D288" s="66"/>
      <c r="E288" s="66"/>
      <c r="F288" s="66"/>
      <c r="G288" s="66"/>
      <c r="H288" s="67"/>
    </row>
    <row r="289" spans="1:8" x14ac:dyDescent="0.3">
      <c r="A289" s="180" t="s">
        <v>61</v>
      </c>
      <c r="B289" s="180"/>
      <c r="C289" s="180"/>
      <c r="D289" s="180"/>
      <c r="E289" s="180"/>
      <c r="F289" s="180"/>
      <c r="G289" s="180"/>
      <c r="H289" s="180"/>
    </row>
    <row r="290" spans="1:8" ht="15.75" customHeight="1" x14ac:dyDescent="0.3">
      <c r="A290" s="106" t="s">
        <v>62</v>
      </c>
      <c r="B290" s="106"/>
      <c r="C290" s="106"/>
      <c r="D290" s="106"/>
      <c r="E290" s="106"/>
      <c r="F290" s="106"/>
      <c r="G290" s="106"/>
      <c r="H290" s="106"/>
    </row>
    <row r="291" spans="1:8" x14ac:dyDescent="0.3">
      <c r="A291" s="188" t="s">
        <v>63</v>
      </c>
      <c r="B291" s="188"/>
      <c r="C291" s="188"/>
      <c r="D291" s="188"/>
      <c r="E291" s="188"/>
      <c r="F291" s="188"/>
      <c r="G291" s="188"/>
      <c r="H291" s="188"/>
    </row>
    <row r="292" spans="1:8" x14ac:dyDescent="0.3">
      <c r="A292" s="106" t="s">
        <v>64</v>
      </c>
      <c r="B292" s="106"/>
      <c r="C292" s="106"/>
      <c r="D292" s="106"/>
      <c r="E292" s="106"/>
      <c r="F292" s="106"/>
      <c r="G292" s="106"/>
      <c r="H292" s="106"/>
    </row>
    <row r="293" spans="1:8" x14ac:dyDescent="0.3">
      <c r="A293" s="106" t="s">
        <v>65</v>
      </c>
      <c r="B293" s="106"/>
      <c r="C293" s="106"/>
      <c r="D293" s="106"/>
      <c r="E293" s="106"/>
      <c r="F293" s="106"/>
      <c r="G293" s="106"/>
      <c r="H293" s="106"/>
    </row>
    <row r="294" spans="1:8" x14ac:dyDescent="0.3">
      <c r="A294" s="106" t="s">
        <v>125</v>
      </c>
      <c r="B294" s="106"/>
      <c r="C294" s="106"/>
      <c r="D294" s="106"/>
      <c r="E294" s="106"/>
      <c r="F294" s="106"/>
      <c r="G294" s="106"/>
      <c r="H294" s="106"/>
    </row>
    <row r="295" spans="1:8" x14ac:dyDescent="0.3">
      <c r="A295" s="157" t="s">
        <v>126</v>
      </c>
      <c r="B295" s="157"/>
      <c r="C295" s="157"/>
      <c r="D295" s="157"/>
      <c r="E295" s="157"/>
      <c r="F295" s="157"/>
      <c r="G295" s="157"/>
      <c r="H295" s="157"/>
    </row>
    <row r="296" spans="1:8" x14ac:dyDescent="0.3">
      <c r="A296" s="177" t="s">
        <v>75</v>
      </c>
      <c r="B296" s="177"/>
      <c r="C296" s="177" t="s">
        <v>315</v>
      </c>
      <c r="D296" s="177"/>
      <c r="E296" s="177" t="s">
        <v>105</v>
      </c>
      <c r="F296" s="177"/>
      <c r="G296" s="177" t="s">
        <v>319</v>
      </c>
      <c r="H296" s="177"/>
    </row>
    <row r="297" spans="1:8" x14ac:dyDescent="0.3">
      <c r="A297" s="176" t="s">
        <v>77</v>
      </c>
      <c r="B297" s="176"/>
      <c r="C297" s="176"/>
      <c r="D297" s="176"/>
      <c r="E297" s="176"/>
      <c r="F297" s="176"/>
      <c r="G297" s="176"/>
      <c r="H297" s="176"/>
    </row>
    <row r="298" spans="1:8" x14ac:dyDescent="0.3">
      <c r="A298" s="176"/>
      <c r="B298" s="176"/>
      <c r="C298" s="176"/>
      <c r="D298" s="176"/>
      <c r="E298" s="176"/>
      <c r="F298" s="176"/>
      <c r="G298" s="176"/>
      <c r="H298" s="176"/>
    </row>
    <row r="299" spans="1:8" x14ac:dyDescent="0.3">
      <c r="A299" s="176"/>
      <c r="B299" s="176"/>
      <c r="C299" s="176"/>
      <c r="D299" s="176"/>
      <c r="E299" s="176"/>
      <c r="F299" s="176"/>
      <c r="G299" s="176"/>
      <c r="H299" s="176"/>
    </row>
    <row r="300" spans="1:8" x14ac:dyDescent="0.3">
      <c r="A300" s="176"/>
      <c r="B300" s="176"/>
      <c r="C300" s="176"/>
      <c r="D300" s="176"/>
      <c r="E300" s="176"/>
      <c r="F300" s="176"/>
      <c r="G300" s="176"/>
      <c r="H300" s="176"/>
    </row>
    <row r="301" spans="1:8" x14ac:dyDescent="0.3">
      <c r="A301" s="36" t="s">
        <v>66</v>
      </c>
      <c r="B301" s="37"/>
      <c r="C301" s="37"/>
      <c r="D301" s="36" t="str">
        <f>E8</f>
        <v>Estella</v>
      </c>
      <c r="F301" s="37"/>
      <c r="G301" s="37"/>
      <c r="H301" s="37"/>
    </row>
    <row r="302" spans="1:8" x14ac:dyDescent="0.3">
      <c r="A302" s="37"/>
      <c r="B302" s="37"/>
      <c r="C302" s="37"/>
      <c r="D302" s="37"/>
      <c r="E302" s="37"/>
      <c r="F302" s="37"/>
      <c r="G302" s="37"/>
      <c r="H302" s="37"/>
    </row>
    <row r="303" spans="1:8" ht="15" customHeight="1" x14ac:dyDescent="0.3">
      <c r="A303" s="37"/>
      <c r="B303" s="37"/>
      <c r="C303" s="37"/>
      <c r="D303" s="37"/>
      <c r="E303" s="37"/>
      <c r="F303" s="37"/>
      <c r="G303" s="37"/>
      <c r="H303" s="37"/>
    </row>
    <row r="343" spans="1:1" x14ac:dyDescent="0.3">
      <c r="A343" s="39" t="s">
        <v>163</v>
      </c>
    </row>
    <row r="383" spans="1:1" x14ac:dyDescent="0.3">
      <c r="A383" s="39" t="s">
        <v>67</v>
      </c>
    </row>
  </sheetData>
  <mergeCells count="388">
    <mergeCell ref="I10:L10"/>
    <mergeCell ref="B286:H286"/>
    <mergeCell ref="L219:M219"/>
    <mergeCell ref="L216:M216"/>
    <mergeCell ref="L217:M217"/>
    <mergeCell ref="B285:H285"/>
    <mergeCell ref="A92:E92"/>
    <mergeCell ref="F92:H92"/>
    <mergeCell ref="A266:H266"/>
    <mergeCell ref="A252:H252"/>
    <mergeCell ref="G253:H258"/>
    <mergeCell ref="A273:H273"/>
    <mergeCell ref="A104:H104"/>
    <mergeCell ref="A105:B105"/>
    <mergeCell ref="C105:D105"/>
    <mergeCell ref="E105:F105"/>
    <mergeCell ref="G105:H105"/>
    <mergeCell ref="A107:B107"/>
    <mergeCell ref="C107:D107"/>
    <mergeCell ref="E107:F107"/>
    <mergeCell ref="G107:H107"/>
    <mergeCell ref="G97:H97"/>
    <mergeCell ref="B282:H282"/>
    <mergeCell ref="B280:H280"/>
    <mergeCell ref="B281:H281"/>
    <mergeCell ref="I14:P14"/>
    <mergeCell ref="F91:H91"/>
    <mergeCell ref="F89:H89"/>
    <mergeCell ref="A110:H110"/>
    <mergeCell ref="G96:H96"/>
    <mergeCell ref="A90:E90"/>
    <mergeCell ref="A53:B53"/>
    <mergeCell ref="C53:E53"/>
    <mergeCell ref="D55:H55"/>
    <mergeCell ref="F90:H90"/>
    <mergeCell ref="E96:F96"/>
    <mergeCell ref="A96:B96"/>
    <mergeCell ref="C101:D101"/>
    <mergeCell ref="D63:H63"/>
    <mergeCell ref="A42:D42"/>
    <mergeCell ref="A75:B75"/>
    <mergeCell ref="A49:B49"/>
    <mergeCell ref="C49:E49"/>
    <mergeCell ref="G49:H49"/>
    <mergeCell ref="G51:H51"/>
    <mergeCell ref="A50:B50"/>
    <mergeCell ref="A54:H54"/>
    <mergeCell ref="E19:F19"/>
    <mergeCell ref="B277:H277"/>
    <mergeCell ref="A245:H245"/>
    <mergeCell ref="G260:H265"/>
    <mergeCell ref="F80:H80"/>
    <mergeCell ref="F85:H85"/>
    <mergeCell ref="A86:E86"/>
    <mergeCell ref="F86:H86"/>
    <mergeCell ref="A87:E87"/>
    <mergeCell ref="A89:E89"/>
    <mergeCell ref="F83:H83"/>
    <mergeCell ref="A88:E88"/>
    <mergeCell ref="C97:D97"/>
    <mergeCell ref="E97:F97"/>
    <mergeCell ref="F81:H81"/>
    <mergeCell ref="C226:F226"/>
    <mergeCell ref="F88:H88"/>
    <mergeCell ref="C96:D96"/>
    <mergeCell ref="G108:H108"/>
    <mergeCell ref="A146:H146"/>
    <mergeCell ref="G232:H237"/>
    <mergeCell ref="C264:F265"/>
    <mergeCell ref="C254:F255"/>
    <mergeCell ref="A85:E85"/>
    <mergeCell ref="A106:B106"/>
    <mergeCell ref="A294:H294"/>
    <mergeCell ref="A291:H291"/>
    <mergeCell ref="A101:B101"/>
    <mergeCell ref="D171:D172"/>
    <mergeCell ref="E171:E172"/>
    <mergeCell ref="G171:H172"/>
    <mergeCell ref="C106:D106"/>
    <mergeCell ref="A215:H215"/>
    <mergeCell ref="B284:H284"/>
    <mergeCell ref="C216:F216"/>
    <mergeCell ref="C217:F217"/>
    <mergeCell ref="C218:F218"/>
    <mergeCell ref="C219:F219"/>
    <mergeCell ref="A290:H290"/>
    <mergeCell ref="E101:F101"/>
    <mergeCell ref="B283:H283"/>
    <mergeCell ref="A108:B108"/>
    <mergeCell ref="C108:D108"/>
    <mergeCell ref="E108:F108"/>
    <mergeCell ref="A170:H170"/>
    <mergeCell ref="B171:B172"/>
    <mergeCell ref="A109:H109"/>
    <mergeCell ref="B275:H275"/>
    <mergeCell ref="B276:H276"/>
    <mergeCell ref="A297:H300"/>
    <mergeCell ref="A296:B296"/>
    <mergeCell ref="E296:F296"/>
    <mergeCell ref="C296:D296"/>
    <mergeCell ref="G296:H296"/>
    <mergeCell ref="A95:H95"/>
    <mergeCell ref="A93:E93"/>
    <mergeCell ref="F93:H93"/>
    <mergeCell ref="A94:E94"/>
    <mergeCell ref="F94:H94"/>
    <mergeCell ref="A223:H223"/>
    <mergeCell ref="A102:B102"/>
    <mergeCell ref="A97:B97"/>
    <mergeCell ref="A292:H292"/>
    <mergeCell ref="A100:H100"/>
    <mergeCell ref="A295:H295"/>
    <mergeCell ref="A293:H293"/>
    <mergeCell ref="A289:H289"/>
    <mergeCell ref="G101:H101"/>
    <mergeCell ref="C111:C112"/>
    <mergeCell ref="E111:E112"/>
    <mergeCell ref="G111:H112"/>
    <mergeCell ref="A171:A172"/>
    <mergeCell ref="G216:H22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20:B20"/>
    <mergeCell ref="C20:D20"/>
    <mergeCell ref="E20:F20"/>
    <mergeCell ref="G20:H20"/>
    <mergeCell ref="G19:H19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4:D24"/>
    <mergeCell ref="E24:H24"/>
    <mergeCell ref="A61:C61"/>
    <mergeCell ref="D61:H61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E45:H45"/>
    <mergeCell ref="E46:H46"/>
    <mergeCell ref="A44:D44"/>
    <mergeCell ref="E106:F106"/>
    <mergeCell ref="A32:B32"/>
    <mergeCell ref="C33:E33"/>
    <mergeCell ref="A34:B34"/>
    <mergeCell ref="C34:E34"/>
    <mergeCell ref="F33:H33"/>
    <mergeCell ref="F34:H34"/>
    <mergeCell ref="E42:H42"/>
    <mergeCell ref="A37:H37"/>
    <mergeCell ref="A36:B36"/>
    <mergeCell ref="C36:E36"/>
    <mergeCell ref="A41:D41"/>
    <mergeCell ref="E41:H41"/>
    <mergeCell ref="A40:H40"/>
    <mergeCell ref="F36:H36"/>
    <mergeCell ref="A39:B39"/>
    <mergeCell ref="C39:H39"/>
    <mergeCell ref="E69:F69"/>
    <mergeCell ref="A62:C62"/>
    <mergeCell ref="D62:H62"/>
    <mergeCell ref="A65:C65"/>
    <mergeCell ref="D65:H65"/>
    <mergeCell ref="A38:B38"/>
    <mergeCell ref="C38:H38"/>
    <mergeCell ref="A46:D46"/>
    <mergeCell ref="A47:H47"/>
    <mergeCell ref="D57:H57"/>
    <mergeCell ref="A57:C57"/>
    <mergeCell ref="A48:B48"/>
    <mergeCell ref="C48:H48"/>
    <mergeCell ref="C50:E50"/>
    <mergeCell ref="A55:C55"/>
    <mergeCell ref="A56:C56"/>
    <mergeCell ref="D56:H56"/>
    <mergeCell ref="G53:H53"/>
    <mergeCell ref="C52:H52"/>
    <mergeCell ref="C51:E51"/>
    <mergeCell ref="A45:D45"/>
    <mergeCell ref="A43:D43"/>
    <mergeCell ref="E43:H43"/>
    <mergeCell ref="E44:H44"/>
    <mergeCell ref="L151:M151"/>
    <mergeCell ref="L152:M152"/>
    <mergeCell ref="L153:M153"/>
    <mergeCell ref="L154:M154"/>
    <mergeCell ref="L155:M155"/>
    <mergeCell ref="L156:M156"/>
    <mergeCell ref="L157:M157"/>
    <mergeCell ref="A167:H167"/>
    <mergeCell ref="L168:M168"/>
    <mergeCell ref="L118:M118"/>
    <mergeCell ref="L117:M117"/>
    <mergeCell ref="L116:M116"/>
    <mergeCell ref="L115:M115"/>
    <mergeCell ref="A114:H114"/>
    <mergeCell ref="L147:M147"/>
    <mergeCell ref="L148:M148"/>
    <mergeCell ref="L149:M149"/>
    <mergeCell ref="L150:M150"/>
    <mergeCell ref="L132:M132"/>
    <mergeCell ref="L122:M122"/>
    <mergeCell ref="L119:M119"/>
    <mergeCell ref="B279:H279"/>
    <mergeCell ref="A77:B77"/>
    <mergeCell ref="C102:D102"/>
    <mergeCell ref="E102:F102"/>
    <mergeCell ref="G102:H102"/>
    <mergeCell ref="F87:H87"/>
    <mergeCell ref="A81:E81"/>
    <mergeCell ref="E70:F79"/>
    <mergeCell ref="G70:H79"/>
    <mergeCell ref="A78:B78"/>
    <mergeCell ref="A91:E91"/>
    <mergeCell ref="G106:H106"/>
    <mergeCell ref="G224:H230"/>
    <mergeCell ref="A259:H259"/>
    <mergeCell ref="G246:H251"/>
    <mergeCell ref="G239:H244"/>
    <mergeCell ref="A113:H113"/>
    <mergeCell ref="B111:B112"/>
    <mergeCell ref="A111:A112"/>
    <mergeCell ref="C171:C172"/>
    <mergeCell ref="B278:H278"/>
    <mergeCell ref="A274:H274"/>
    <mergeCell ref="A238:H238"/>
    <mergeCell ref="A231:H231"/>
    <mergeCell ref="A79:B79"/>
    <mergeCell ref="G50:H50"/>
    <mergeCell ref="A51:B52"/>
    <mergeCell ref="A76:B76"/>
    <mergeCell ref="A69:B69"/>
    <mergeCell ref="A72:B72"/>
    <mergeCell ref="A68:B68"/>
    <mergeCell ref="A66:B66"/>
    <mergeCell ref="C66:H66"/>
    <mergeCell ref="A74:B74"/>
    <mergeCell ref="A59:C59"/>
    <mergeCell ref="A60:C60"/>
    <mergeCell ref="D59:H59"/>
    <mergeCell ref="A63:C63"/>
    <mergeCell ref="A70:B70"/>
    <mergeCell ref="G69:H69"/>
    <mergeCell ref="A64:C64"/>
    <mergeCell ref="C68:H68"/>
    <mergeCell ref="A71:B71"/>
    <mergeCell ref="A73:B73"/>
    <mergeCell ref="D64:H64"/>
    <mergeCell ref="D58:H58"/>
    <mergeCell ref="D60:H60"/>
    <mergeCell ref="A58:C58"/>
    <mergeCell ref="F82:H82"/>
    <mergeCell ref="A82:E82"/>
    <mergeCell ref="D111:D112"/>
    <mergeCell ref="A84:E84"/>
    <mergeCell ref="A83:E83"/>
    <mergeCell ref="A80:E80"/>
    <mergeCell ref="F84:H84"/>
    <mergeCell ref="C247:F248"/>
    <mergeCell ref="L145:M145"/>
    <mergeCell ref="G115:H145"/>
    <mergeCell ref="L158:M158"/>
    <mergeCell ref="L159:M159"/>
    <mergeCell ref="L160:M160"/>
    <mergeCell ref="L161:M161"/>
    <mergeCell ref="L162:M162"/>
    <mergeCell ref="L163:M163"/>
    <mergeCell ref="L164:M164"/>
    <mergeCell ref="L165:M165"/>
    <mergeCell ref="L166:M166"/>
    <mergeCell ref="G147:H166"/>
    <mergeCell ref="L223:M223"/>
    <mergeCell ref="L120:M120"/>
    <mergeCell ref="L121:M121"/>
    <mergeCell ref="C206:F206"/>
    <mergeCell ref="C271:F272"/>
    <mergeCell ref="G267:H272"/>
    <mergeCell ref="L128:M128"/>
    <mergeCell ref="L123:M123"/>
    <mergeCell ref="L124:M124"/>
    <mergeCell ref="L125:M125"/>
    <mergeCell ref="L141:M141"/>
    <mergeCell ref="L142:M142"/>
    <mergeCell ref="L138:M138"/>
    <mergeCell ref="L139:M139"/>
    <mergeCell ref="L140:M140"/>
    <mergeCell ref="L135:M135"/>
    <mergeCell ref="L136:M136"/>
    <mergeCell ref="L137:M137"/>
    <mergeCell ref="L133:M133"/>
    <mergeCell ref="L134:M134"/>
    <mergeCell ref="L129:M129"/>
    <mergeCell ref="L130:M130"/>
    <mergeCell ref="L131:M131"/>
    <mergeCell ref="L126:M126"/>
    <mergeCell ref="L127:M127"/>
    <mergeCell ref="L143:M143"/>
    <mergeCell ref="L218:M218"/>
    <mergeCell ref="L144:M144"/>
    <mergeCell ref="G206:H209"/>
    <mergeCell ref="L169:M169"/>
    <mergeCell ref="G168:H169"/>
    <mergeCell ref="A173:H173"/>
    <mergeCell ref="G174:H178"/>
    <mergeCell ref="C174:F175"/>
    <mergeCell ref="A179:H179"/>
    <mergeCell ref="G180:H183"/>
    <mergeCell ref="A184:H184"/>
    <mergeCell ref="G185:H188"/>
    <mergeCell ref="B288:H288"/>
    <mergeCell ref="B287:H287"/>
    <mergeCell ref="A210:H210"/>
    <mergeCell ref="G211:H214"/>
    <mergeCell ref="G190:H194"/>
    <mergeCell ref="A98:B98"/>
    <mergeCell ref="C98:D98"/>
    <mergeCell ref="E98:F98"/>
    <mergeCell ref="G98:H98"/>
    <mergeCell ref="A99:B99"/>
    <mergeCell ref="C99:D99"/>
    <mergeCell ref="E99:F99"/>
    <mergeCell ref="G99:H99"/>
    <mergeCell ref="A103:B103"/>
    <mergeCell ref="C103:D103"/>
    <mergeCell ref="E103:F103"/>
    <mergeCell ref="G103:H103"/>
    <mergeCell ref="A189:H189"/>
    <mergeCell ref="C190:F190"/>
    <mergeCell ref="A195:H195"/>
    <mergeCell ref="G196:H199"/>
    <mergeCell ref="A200:H200"/>
    <mergeCell ref="G201:H204"/>
    <mergeCell ref="A205:H205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11:E112" xr:uid="{00000000-0002-0000-0000-000003000000}">
      <formula1>"Attached Loft area,Attached Terrace area,Attached Mezzanine area"</formula1>
    </dataValidation>
    <dataValidation type="list" allowBlank="1" showInputMessage="1" showErrorMessage="1" sqref="F112 F172" xr:uid="{00000000-0002-0000-0000-000004000000}">
      <formula1>"45%,50%,55%,60%"</formula1>
    </dataValidation>
    <dataValidation type="list" allowBlank="1" showInputMessage="1" showErrorMessage="1" sqref="G296:H296" xr:uid="{00000000-0002-0000-0000-000005000000}">
      <formula1>"Gaurav Panchal,Kunal Kadam,Pranita Mhatre,Shruti Fule,Pooja Kawale,Mansee Mohite,Anjali Kamble, Hitakshi Mhatre, Sachin Sawant"</formula1>
    </dataValidation>
    <dataValidation type="list" allowBlank="1" showInputMessage="1" showErrorMessage="1" sqref="F80:H80" xr:uid="{00000000-0002-0000-0000-000006000000}">
      <formula1>"On Saleable Area,On Builtup Area,On Carpet Area,On Plot Area"</formula1>
    </dataValidation>
    <dataValidation type="list" allowBlank="1" showInputMessage="1" showErrorMessage="1" sqref="F93:H93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11 F171" xr:uid="{00000000-0002-0000-0000-000008000000}">
      <formula1>"Saleable area Loading :,Builder Saleable area"</formula1>
    </dataValidation>
    <dataValidation type="list" allowBlank="1" showInputMessage="1" showErrorMessage="1" sqref="B111:B112" xr:uid="{00000000-0002-0000-0000-000009000000}">
      <formula1>"Shop No. (Sale Plan),Sale / Rehab,Sale / Mhada"</formula1>
    </dataValidation>
    <dataValidation type="list" allowBlank="1" showInputMessage="1" showErrorMessage="1" sqref="B171:B172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288" max="7" man="1"/>
    <brk id="300" max="7" man="1"/>
    <brk id="342" max="7" man="1"/>
    <brk id="382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G21" sqref="G21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13" t="s">
        <v>106</v>
      </c>
      <c r="C3" s="213"/>
      <c r="D3" s="213"/>
      <c r="E3" s="213"/>
      <c r="F3" s="213"/>
      <c r="G3" s="213"/>
      <c r="H3" s="213"/>
    </row>
    <row r="4" spans="1:9" x14ac:dyDescent="0.3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49"/>
      <c r="C4" s="49" t="s">
        <v>12</v>
      </c>
      <c r="D4" s="50" t="s">
        <v>179</v>
      </c>
      <c r="E4" s="50" t="s">
        <v>189</v>
      </c>
      <c r="F4" s="50" t="s">
        <v>171</v>
      </c>
      <c r="G4" s="50" t="s">
        <v>194</v>
      </c>
      <c r="H4" s="50" t="s">
        <v>212</v>
      </c>
      <c r="J4" t="s">
        <v>194</v>
      </c>
      <c r="K4" t="s">
        <v>210</v>
      </c>
    </row>
    <row r="5" spans="2:11" x14ac:dyDescent="0.3">
      <c r="B5" s="49"/>
      <c r="C5" s="49"/>
      <c r="D5" s="50" t="s">
        <v>180</v>
      </c>
      <c r="E5" s="50" t="s">
        <v>187</v>
      </c>
      <c r="F5" s="50" t="s">
        <v>209</v>
      </c>
      <c r="G5" s="50" t="s">
        <v>195</v>
      </c>
      <c r="H5" s="50" t="s">
        <v>213</v>
      </c>
    </row>
    <row r="6" spans="2:11" x14ac:dyDescent="0.3">
      <c r="B6" s="49"/>
      <c r="C6" s="49"/>
      <c r="D6" s="50" t="s">
        <v>181</v>
      </c>
      <c r="E6" s="50" t="s">
        <v>188</v>
      </c>
      <c r="F6" s="50" t="s">
        <v>210</v>
      </c>
      <c r="G6" s="50" t="s">
        <v>196</v>
      </c>
      <c r="H6" s="50" t="s">
        <v>226</v>
      </c>
    </row>
    <row r="7" spans="2:11" x14ac:dyDescent="0.3">
      <c r="B7" s="49"/>
      <c r="C7" s="49"/>
      <c r="D7" s="50" t="s">
        <v>182</v>
      </c>
      <c r="E7" s="50" t="s">
        <v>190</v>
      </c>
      <c r="F7" s="50" t="s">
        <v>211</v>
      </c>
      <c r="G7" s="50" t="s">
        <v>197</v>
      </c>
      <c r="H7" s="50" t="s">
        <v>214</v>
      </c>
    </row>
    <row r="8" spans="2:11" x14ac:dyDescent="0.3">
      <c r="B8" s="49"/>
      <c r="C8" s="49"/>
      <c r="D8" s="50" t="s">
        <v>183</v>
      </c>
      <c r="E8" s="50" t="s">
        <v>191</v>
      </c>
      <c r="F8" s="50"/>
      <c r="G8" s="50" t="s">
        <v>198</v>
      </c>
      <c r="H8" s="50" t="s">
        <v>215</v>
      </c>
    </row>
    <row r="9" spans="2:11" x14ac:dyDescent="0.3">
      <c r="B9" s="49"/>
      <c r="C9" s="49"/>
      <c r="D9" s="50" t="s">
        <v>184</v>
      </c>
      <c r="E9" s="50" t="s">
        <v>189</v>
      </c>
      <c r="F9" s="50"/>
      <c r="G9" s="50" t="s">
        <v>199</v>
      </c>
      <c r="H9" s="50" t="s">
        <v>216</v>
      </c>
    </row>
    <row r="10" spans="2:11" x14ac:dyDescent="0.3">
      <c r="B10" s="49"/>
      <c r="C10" s="49"/>
      <c r="D10" s="50" t="s">
        <v>185</v>
      </c>
      <c r="E10" s="50" t="s">
        <v>192</v>
      </c>
      <c r="F10" s="50"/>
      <c r="G10" s="50" t="s">
        <v>200</v>
      </c>
      <c r="H10" s="50" t="s">
        <v>217</v>
      </c>
    </row>
    <row r="11" spans="2:11" x14ac:dyDescent="0.3">
      <c r="B11" s="49"/>
      <c r="C11" s="49"/>
      <c r="D11" s="50" t="s">
        <v>186</v>
      </c>
      <c r="E11" s="50" t="s">
        <v>193</v>
      </c>
      <c r="F11" s="50"/>
      <c r="G11" s="50" t="s">
        <v>201</v>
      </c>
      <c r="H11" s="50" t="s">
        <v>218</v>
      </c>
    </row>
    <row r="12" spans="2:11" x14ac:dyDescent="0.3">
      <c r="B12" s="49"/>
      <c r="C12" s="49"/>
      <c r="D12" s="50"/>
      <c r="E12" s="50"/>
      <c r="F12" s="50"/>
      <c r="G12" s="50" t="s">
        <v>202</v>
      </c>
      <c r="H12" s="50" t="s">
        <v>219</v>
      </c>
    </row>
    <row r="13" spans="2:11" x14ac:dyDescent="0.3">
      <c r="B13" s="49"/>
      <c r="C13" s="49"/>
      <c r="D13" s="50"/>
      <c r="E13" s="50"/>
      <c r="F13" s="50"/>
      <c r="G13" s="50" t="s">
        <v>203</v>
      </c>
      <c r="H13" s="50" t="s">
        <v>220</v>
      </c>
    </row>
    <row r="14" spans="2:11" x14ac:dyDescent="0.3">
      <c r="B14" s="49"/>
      <c r="C14" s="49"/>
      <c r="D14" s="50"/>
      <c r="E14" s="50"/>
      <c r="F14" s="50"/>
      <c r="G14" s="50" t="s">
        <v>204</v>
      </c>
      <c r="H14" s="50" t="s">
        <v>221</v>
      </c>
    </row>
    <row r="15" spans="2:11" x14ac:dyDescent="0.3">
      <c r="B15" s="49"/>
      <c r="C15" s="49"/>
      <c r="D15" s="50"/>
      <c r="E15" s="50"/>
      <c r="F15" s="50"/>
      <c r="G15" s="50" t="s">
        <v>205</v>
      </c>
      <c r="H15" s="50" t="s">
        <v>222</v>
      </c>
    </row>
    <row r="16" spans="2:11" x14ac:dyDescent="0.3">
      <c r="B16" s="49"/>
      <c r="C16" s="49"/>
      <c r="D16" s="50"/>
      <c r="E16" s="50"/>
      <c r="F16" s="50"/>
      <c r="G16" s="50" t="s">
        <v>206</v>
      </c>
      <c r="H16" s="50" t="s">
        <v>223</v>
      </c>
    </row>
    <row r="17" spans="2:8" x14ac:dyDescent="0.3">
      <c r="B17" s="49"/>
      <c r="C17" s="49"/>
      <c r="D17" s="50"/>
      <c r="E17" s="50"/>
      <c r="F17" s="50"/>
      <c r="G17" s="50" t="s">
        <v>207</v>
      </c>
      <c r="H17" s="50" t="s">
        <v>224</v>
      </c>
    </row>
    <row r="18" spans="2:8" x14ac:dyDescent="0.3">
      <c r="B18" s="49"/>
      <c r="C18" s="49"/>
      <c r="D18" s="50"/>
      <c r="E18" s="50"/>
      <c r="F18" s="50"/>
      <c r="G18" s="50" t="s">
        <v>208</v>
      </c>
      <c r="H18" s="50" t="s">
        <v>225</v>
      </c>
    </row>
    <row r="24" spans="2:8" x14ac:dyDescent="0.3">
      <c r="C24" t="s">
        <v>169</v>
      </c>
    </row>
    <row r="25" spans="2:8" x14ac:dyDescent="0.3">
      <c r="C25" t="s">
        <v>227</v>
      </c>
    </row>
    <row r="26" spans="2:8" x14ac:dyDescent="0.3">
      <c r="C26" t="s">
        <v>228</v>
      </c>
    </row>
    <row r="27" spans="2:8" x14ac:dyDescent="0.3">
      <c r="C27" t="s">
        <v>229</v>
      </c>
    </row>
    <row r="28" spans="2:8" x14ac:dyDescent="0.3">
      <c r="C28" t="s">
        <v>230</v>
      </c>
    </row>
    <row r="29" spans="2:8" x14ac:dyDescent="0.3">
      <c r="C29" t="s">
        <v>231</v>
      </c>
    </row>
    <row r="30" spans="2:8" x14ac:dyDescent="0.3">
      <c r="C30" t="s">
        <v>169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2025-08-13T05:49:57Z</cp:lastPrinted>
  <dcterms:created xsi:type="dcterms:W3CDTF">2019-07-16T09:29:46Z</dcterms:created>
  <dcterms:modified xsi:type="dcterms:W3CDTF">2025-08-13T05:54:10Z</dcterms:modified>
</cp:coreProperties>
</file>