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Sep 2025\AXIS\Update\17490 - Dosti Greater Thane -Sector 3A -Cluster 1B Phase 1,\"/>
    </mc:Choice>
  </mc:AlternateContent>
  <bookViews>
    <workbookView xWindow="0" yWindow="0" windowWidth="16875" windowHeight="699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Report!$A$1:$H$548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7" i="1" l="1"/>
  <c r="B116" i="1" l="1"/>
  <c r="H116" i="1"/>
  <c r="J120" i="1" l="1"/>
  <c r="C119" i="1" s="1"/>
  <c r="D121" i="1"/>
  <c r="J115" i="1"/>
  <c r="J117" i="1" s="1"/>
  <c r="D128" i="1"/>
  <c r="D124" i="1"/>
  <c r="J119" i="1"/>
  <c r="D127" i="1"/>
  <c r="D123" i="1"/>
  <c r="D122" i="1"/>
  <c r="D126" i="1"/>
  <c r="D125" i="1"/>
  <c r="J118" i="1"/>
  <c r="J125" i="1"/>
  <c r="J121" i="1"/>
  <c r="J126" i="1"/>
  <c r="J123" i="1"/>
  <c r="J124" i="1"/>
  <c r="B130" i="1"/>
  <c r="H74" i="1"/>
  <c r="J122" i="1" l="1"/>
  <c r="D119" i="1"/>
  <c r="J140" i="1"/>
  <c r="J138" i="1"/>
  <c r="J139" i="1"/>
  <c r="J137" i="1"/>
  <c r="J78" i="1"/>
  <c r="C77" i="1" s="1"/>
  <c r="J77" i="1"/>
  <c r="D85" i="1"/>
  <c r="D83" i="1"/>
  <c r="D81" i="1"/>
  <c r="D79" i="1"/>
  <c r="J76" i="1"/>
  <c r="J73" i="1"/>
  <c r="J75" i="1" s="1"/>
  <c r="D86" i="1"/>
  <c r="D84" i="1"/>
  <c r="D82" i="1"/>
  <c r="D80" i="1"/>
  <c r="B74" i="1"/>
  <c r="H130" i="1"/>
  <c r="J127" i="1" l="1"/>
  <c r="J128" i="1" s="1"/>
  <c r="C120" i="1"/>
  <c r="G119" i="1" s="1"/>
  <c r="J134" i="1"/>
  <c r="C133" i="1" s="1"/>
  <c r="E133" i="1"/>
  <c r="D141" i="1"/>
  <c r="D139" i="1"/>
  <c r="D137" i="1"/>
  <c r="D135" i="1"/>
  <c r="J132" i="1"/>
  <c r="J129" i="1"/>
  <c r="J131" i="1" s="1"/>
  <c r="D142" i="1"/>
  <c r="D140" i="1"/>
  <c r="D138" i="1"/>
  <c r="D136" i="1"/>
  <c r="D134" i="1"/>
  <c r="J133" i="1"/>
  <c r="J135" i="1"/>
  <c r="J136" i="1" s="1"/>
  <c r="J141" i="1" s="1"/>
  <c r="J142" i="1" s="1"/>
  <c r="J84" i="1"/>
  <c r="J82" i="1"/>
  <c r="J83" i="1"/>
  <c r="J81" i="1"/>
  <c r="J79" i="1"/>
  <c r="D77" i="1"/>
  <c r="J179" i="1"/>
  <c r="J116" i="1" l="1"/>
  <c r="J80" i="1"/>
  <c r="J85" i="1" s="1"/>
  <c r="J86" i="1" s="1"/>
  <c r="D120" i="1"/>
  <c r="I116" i="1" s="1"/>
  <c r="I117" i="1" s="1"/>
  <c r="E119" i="1"/>
  <c r="G133" i="1"/>
  <c r="J74" i="1"/>
  <c r="D403" i="1"/>
  <c r="F403" i="1" s="1"/>
  <c r="H403" i="1" s="1"/>
  <c r="D402" i="1"/>
  <c r="F402" i="1" s="1"/>
  <c r="H402" i="1" s="1"/>
  <c r="D401" i="1"/>
  <c r="F401" i="1" s="1"/>
  <c r="H401" i="1" s="1"/>
  <c r="D400" i="1"/>
  <c r="F400" i="1" s="1"/>
  <c r="H400" i="1" s="1"/>
  <c r="D399" i="1"/>
  <c r="F399" i="1" s="1"/>
  <c r="H399" i="1" s="1"/>
  <c r="D398" i="1"/>
  <c r="F398" i="1" s="1"/>
  <c r="H398" i="1" s="1"/>
  <c r="D397" i="1"/>
  <c r="F397" i="1" s="1"/>
  <c r="H397" i="1" s="1"/>
  <c r="A397" i="1"/>
  <c r="A398" i="1" s="1"/>
  <c r="A399" i="1" s="1"/>
  <c r="A400" i="1" s="1"/>
  <c r="A401" i="1" s="1"/>
  <c r="A402" i="1" s="1"/>
  <c r="A403" i="1" s="1"/>
  <c r="D396" i="1"/>
  <c r="F396" i="1" s="1"/>
  <c r="H396" i="1" s="1"/>
  <c r="E394" i="1"/>
  <c r="D394" i="1"/>
  <c r="E393" i="1"/>
  <c r="D393" i="1"/>
  <c r="A393" i="1"/>
  <c r="A394" i="1" s="1"/>
  <c r="E392" i="1"/>
  <c r="D392" i="1"/>
  <c r="D390" i="1"/>
  <c r="D389" i="1"/>
  <c r="F389" i="1" s="1"/>
  <c r="H389" i="1" s="1"/>
  <c r="D388" i="1"/>
  <c r="F388" i="1" s="1"/>
  <c r="H388" i="1" s="1"/>
  <c r="D387" i="1"/>
  <c r="F387" i="1" s="1"/>
  <c r="H387" i="1" s="1"/>
  <c r="D386" i="1"/>
  <c r="F386" i="1" s="1"/>
  <c r="H386" i="1" s="1"/>
  <c r="D385" i="1"/>
  <c r="F385" i="1" s="1"/>
  <c r="H385" i="1" s="1"/>
  <c r="D384" i="1"/>
  <c r="F384" i="1" s="1"/>
  <c r="H384" i="1" s="1"/>
  <c r="D383" i="1"/>
  <c r="F383" i="1" s="1"/>
  <c r="H383" i="1" s="1"/>
  <c r="E382" i="1"/>
  <c r="D382" i="1"/>
  <c r="E381" i="1"/>
  <c r="D381" i="1"/>
  <c r="E380" i="1"/>
  <c r="D380" i="1"/>
  <c r="A380" i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E379" i="1"/>
  <c r="D379" i="1"/>
  <c r="E377" i="1"/>
  <c r="D377" i="1"/>
  <c r="E376" i="1"/>
  <c r="D376" i="1"/>
  <c r="E375" i="1"/>
  <c r="D375" i="1"/>
  <c r="A375" i="1"/>
  <c r="A376" i="1" s="1"/>
  <c r="A377" i="1" s="1"/>
  <c r="J374" i="1"/>
  <c r="E374" i="1"/>
  <c r="D374" i="1"/>
  <c r="E370" i="1"/>
  <c r="D370" i="1"/>
  <c r="E369" i="1"/>
  <c r="D369" i="1"/>
  <c r="D368" i="1"/>
  <c r="F368" i="1" s="1"/>
  <c r="H368" i="1" s="1"/>
  <c r="D367" i="1"/>
  <c r="F367" i="1" s="1"/>
  <c r="H367" i="1" s="1"/>
  <c r="E366" i="1"/>
  <c r="D366" i="1"/>
  <c r="E365" i="1"/>
  <c r="D365" i="1"/>
  <c r="E363" i="1"/>
  <c r="D363" i="1"/>
  <c r="E362" i="1"/>
  <c r="D362" i="1"/>
  <c r="E361" i="1"/>
  <c r="D361" i="1"/>
  <c r="E360" i="1"/>
  <c r="D360" i="1"/>
  <c r="A360" i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E359" i="1"/>
  <c r="D359" i="1"/>
  <c r="E357" i="1"/>
  <c r="D357" i="1"/>
  <c r="E356" i="1"/>
  <c r="D356" i="1"/>
  <c r="D355" i="1"/>
  <c r="F355" i="1" s="1"/>
  <c r="H355" i="1" s="1"/>
  <c r="D354" i="1"/>
  <c r="F354" i="1" s="1"/>
  <c r="H354" i="1" s="1"/>
  <c r="J354" i="1" s="1"/>
  <c r="E353" i="1"/>
  <c r="D353" i="1"/>
  <c r="E352" i="1"/>
  <c r="D352" i="1"/>
  <c r="E351" i="1"/>
  <c r="D351" i="1"/>
  <c r="F351" i="1" s="1"/>
  <c r="H351" i="1" s="1"/>
  <c r="E350" i="1"/>
  <c r="D350" i="1"/>
  <c r="E349" i="1"/>
  <c r="D349" i="1"/>
  <c r="E348" i="1"/>
  <c r="D348" i="1"/>
  <c r="E347" i="1"/>
  <c r="D347" i="1"/>
  <c r="F347" i="1" s="1"/>
  <c r="H347" i="1" s="1"/>
  <c r="A347" i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E346" i="1"/>
  <c r="D346" i="1"/>
  <c r="E344" i="1"/>
  <c r="D344" i="1"/>
  <c r="E343" i="1"/>
  <c r="D343" i="1"/>
  <c r="E342" i="1"/>
  <c r="D342" i="1"/>
  <c r="E341" i="1"/>
  <c r="D341" i="1"/>
  <c r="E340" i="1"/>
  <c r="D340" i="1"/>
  <c r="A340" i="1"/>
  <c r="A341" i="1" s="1"/>
  <c r="A342" i="1" s="1"/>
  <c r="A343" i="1" s="1"/>
  <c r="A344" i="1" s="1"/>
  <c r="J339" i="1"/>
  <c r="E339" i="1"/>
  <c r="D339" i="1"/>
  <c r="D334" i="1"/>
  <c r="F334" i="1" s="1"/>
  <c r="H334" i="1" s="1"/>
  <c r="D333" i="1"/>
  <c r="F333" i="1" s="1"/>
  <c r="H333" i="1" s="1"/>
  <c r="D332" i="1"/>
  <c r="F332" i="1" s="1"/>
  <c r="H332" i="1" s="1"/>
  <c r="D331" i="1"/>
  <c r="D330" i="1"/>
  <c r="F330" i="1" s="1"/>
  <c r="H330" i="1" s="1"/>
  <c r="D329" i="1"/>
  <c r="F329" i="1" s="1"/>
  <c r="H329" i="1" s="1"/>
  <c r="D328" i="1"/>
  <c r="F328" i="1" s="1"/>
  <c r="H328" i="1" s="1"/>
  <c r="A328" i="1"/>
  <c r="A329" i="1" s="1"/>
  <c r="A330" i="1" s="1"/>
  <c r="A331" i="1" s="1"/>
  <c r="A332" i="1" s="1"/>
  <c r="A333" i="1" s="1"/>
  <c r="A334" i="1" s="1"/>
  <c r="D327" i="1"/>
  <c r="F327" i="1" s="1"/>
  <c r="H327" i="1" s="1"/>
  <c r="E325" i="1"/>
  <c r="D325" i="1"/>
  <c r="E324" i="1"/>
  <c r="D324" i="1"/>
  <c r="A324" i="1"/>
  <c r="A325" i="1" s="1"/>
  <c r="E323" i="1"/>
  <c r="D323" i="1"/>
  <c r="D321" i="1"/>
  <c r="F321" i="1" s="1"/>
  <c r="H321" i="1" s="1"/>
  <c r="D320" i="1"/>
  <c r="F320" i="1" s="1"/>
  <c r="H320" i="1" s="1"/>
  <c r="D319" i="1"/>
  <c r="F319" i="1" s="1"/>
  <c r="H319" i="1" s="1"/>
  <c r="D318" i="1"/>
  <c r="F318" i="1" s="1"/>
  <c r="H318" i="1" s="1"/>
  <c r="D317" i="1"/>
  <c r="F317" i="1" s="1"/>
  <c r="H317" i="1" s="1"/>
  <c r="D316" i="1"/>
  <c r="F316" i="1" s="1"/>
  <c r="H316" i="1" s="1"/>
  <c r="D315" i="1"/>
  <c r="F315" i="1" s="1"/>
  <c r="H315" i="1" s="1"/>
  <c r="D314" i="1"/>
  <c r="F314" i="1" s="1"/>
  <c r="H314" i="1" s="1"/>
  <c r="E313" i="1"/>
  <c r="D313" i="1"/>
  <c r="E312" i="1"/>
  <c r="D312" i="1"/>
  <c r="E311" i="1"/>
  <c r="D311" i="1"/>
  <c r="A311" i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E310" i="1"/>
  <c r="D310" i="1"/>
  <c r="E308" i="1"/>
  <c r="D308" i="1"/>
  <c r="E307" i="1"/>
  <c r="D307" i="1"/>
  <c r="E306" i="1"/>
  <c r="D306" i="1"/>
  <c r="A306" i="1"/>
  <c r="A307" i="1" s="1"/>
  <c r="A308" i="1" s="1"/>
  <c r="E305" i="1"/>
  <c r="D305" i="1"/>
  <c r="E300" i="1"/>
  <c r="D300" i="1"/>
  <c r="E299" i="1"/>
  <c r="D299" i="1"/>
  <c r="D298" i="1"/>
  <c r="F298" i="1" s="1"/>
  <c r="H298" i="1" s="1"/>
  <c r="D297" i="1"/>
  <c r="F297" i="1" s="1"/>
  <c r="H297" i="1" s="1"/>
  <c r="E296" i="1"/>
  <c r="D296" i="1"/>
  <c r="E295" i="1"/>
  <c r="D295" i="1"/>
  <c r="E293" i="1"/>
  <c r="D293" i="1"/>
  <c r="E292" i="1"/>
  <c r="D292" i="1"/>
  <c r="E291" i="1"/>
  <c r="D291" i="1"/>
  <c r="E290" i="1"/>
  <c r="D290" i="1"/>
  <c r="A290" i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E289" i="1"/>
  <c r="D289" i="1"/>
  <c r="E287" i="1"/>
  <c r="D287" i="1"/>
  <c r="E286" i="1"/>
  <c r="D286" i="1"/>
  <c r="D285" i="1"/>
  <c r="F285" i="1" s="1"/>
  <c r="H285" i="1" s="1"/>
  <c r="D284" i="1"/>
  <c r="F284" i="1" s="1"/>
  <c r="H284" i="1" s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E276" i="1"/>
  <c r="D276" i="1"/>
  <c r="E274" i="1"/>
  <c r="D274" i="1"/>
  <c r="E273" i="1"/>
  <c r="D273" i="1"/>
  <c r="E272" i="1"/>
  <c r="D272" i="1"/>
  <c r="E271" i="1"/>
  <c r="D271" i="1"/>
  <c r="E270" i="1"/>
  <c r="D270" i="1"/>
  <c r="A270" i="1"/>
  <c r="A271" i="1" s="1"/>
  <c r="A272" i="1" s="1"/>
  <c r="A273" i="1" s="1"/>
  <c r="A274" i="1" s="1"/>
  <c r="E269" i="1"/>
  <c r="D269" i="1"/>
  <c r="B408" i="1"/>
  <c r="B409" i="1"/>
  <c r="D262" i="1"/>
  <c r="F262" i="1" s="1"/>
  <c r="H262" i="1" s="1"/>
  <c r="D263" i="1"/>
  <c r="F263" i="1" s="1"/>
  <c r="H263" i="1" s="1"/>
  <c r="D264" i="1"/>
  <c r="D265" i="1"/>
  <c r="F265" i="1" s="1"/>
  <c r="H265" i="1" s="1"/>
  <c r="D261" i="1"/>
  <c r="D260" i="1"/>
  <c r="F260" i="1" s="1"/>
  <c r="H260" i="1" s="1"/>
  <c r="D259" i="1"/>
  <c r="D258" i="1"/>
  <c r="E256" i="1"/>
  <c r="E255" i="1"/>
  <c r="E254" i="1"/>
  <c r="D256" i="1"/>
  <c r="D255" i="1"/>
  <c r="D254" i="1"/>
  <c r="D246" i="1"/>
  <c r="F246" i="1" s="1"/>
  <c r="H246" i="1" s="1"/>
  <c r="D247" i="1"/>
  <c r="F247" i="1" s="1"/>
  <c r="H247" i="1" s="1"/>
  <c r="D248" i="1"/>
  <c r="F248" i="1" s="1"/>
  <c r="H248" i="1" s="1"/>
  <c r="D249" i="1"/>
  <c r="F249" i="1" s="1"/>
  <c r="H249" i="1" s="1"/>
  <c r="D250" i="1"/>
  <c r="F250" i="1" s="1"/>
  <c r="H250" i="1" s="1"/>
  <c r="D251" i="1"/>
  <c r="D252" i="1"/>
  <c r="D245" i="1"/>
  <c r="E244" i="1"/>
  <c r="E243" i="1"/>
  <c r="E242" i="1"/>
  <c r="E241" i="1"/>
  <c r="D244" i="1"/>
  <c r="D243" i="1"/>
  <c r="D242" i="1"/>
  <c r="D241" i="1"/>
  <c r="D237" i="1"/>
  <c r="D238" i="1"/>
  <c r="D239" i="1"/>
  <c r="E237" i="1"/>
  <c r="E238" i="1"/>
  <c r="E239" i="1"/>
  <c r="E236" i="1"/>
  <c r="D236" i="1"/>
  <c r="A255" i="1"/>
  <c r="A256" i="1" s="1"/>
  <c r="A259" i="1" s="1"/>
  <c r="A260" i="1" s="1"/>
  <c r="A261" i="1" s="1"/>
  <c r="A262" i="1" s="1"/>
  <c r="A263" i="1" s="1"/>
  <c r="A264" i="1" s="1"/>
  <c r="A265" i="1" s="1"/>
  <c r="A242" i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37" i="1"/>
  <c r="A238" i="1" s="1"/>
  <c r="A239" i="1" s="1"/>
  <c r="J236" i="1"/>
  <c r="E232" i="1"/>
  <c r="D232" i="1"/>
  <c r="E231" i="1"/>
  <c r="D231" i="1"/>
  <c r="D230" i="1"/>
  <c r="F230" i="1" s="1"/>
  <c r="H230" i="1" s="1"/>
  <c r="D229" i="1"/>
  <c r="F229" i="1" s="1"/>
  <c r="H229" i="1" s="1"/>
  <c r="E228" i="1"/>
  <c r="D228" i="1"/>
  <c r="E227" i="1"/>
  <c r="D227" i="1"/>
  <c r="E225" i="1"/>
  <c r="D225" i="1"/>
  <c r="E224" i="1"/>
  <c r="D224" i="1"/>
  <c r="E223" i="1"/>
  <c r="D223" i="1"/>
  <c r="E222" i="1"/>
  <c r="D222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E221" i="1"/>
  <c r="D221" i="1"/>
  <c r="E219" i="1"/>
  <c r="E218" i="1"/>
  <c r="D219" i="1"/>
  <c r="D218" i="1"/>
  <c r="D217" i="1"/>
  <c r="F217" i="1" s="1"/>
  <c r="H217" i="1" s="1"/>
  <c r="D216" i="1"/>
  <c r="F216" i="1" s="1"/>
  <c r="H216" i="1" s="1"/>
  <c r="E214" i="1"/>
  <c r="E215" i="1"/>
  <c r="D214" i="1"/>
  <c r="D215" i="1"/>
  <c r="E213" i="1"/>
  <c r="E212" i="1"/>
  <c r="E211" i="1"/>
  <c r="E210" i="1"/>
  <c r="E209" i="1"/>
  <c r="E208" i="1"/>
  <c r="D213" i="1"/>
  <c r="D212" i="1"/>
  <c r="D211" i="1"/>
  <c r="D210" i="1"/>
  <c r="D209" i="1"/>
  <c r="D208" i="1"/>
  <c r="E202" i="1"/>
  <c r="E203" i="1"/>
  <c r="E204" i="1"/>
  <c r="E205" i="1"/>
  <c r="E206" i="1"/>
  <c r="E201" i="1"/>
  <c r="D202" i="1"/>
  <c r="D203" i="1"/>
  <c r="D204" i="1"/>
  <c r="D205" i="1"/>
  <c r="D206" i="1"/>
  <c r="D201" i="1"/>
  <c r="J201" i="1"/>
  <c r="D78" i="1" l="1"/>
  <c r="I74" i="1" s="1"/>
  <c r="I75" i="1" s="1"/>
  <c r="E77" i="1"/>
  <c r="G77" i="1"/>
  <c r="I115" i="1"/>
  <c r="C117" i="1" s="1"/>
  <c r="F356" i="1"/>
  <c r="H356" i="1" s="1"/>
  <c r="D133" i="1"/>
  <c r="I130" i="1" s="1"/>
  <c r="I131" i="1" s="1"/>
  <c r="F380" i="1"/>
  <c r="H380" i="1" s="1"/>
  <c r="F243" i="1"/>
  <c r="H243" i="1" s="1"/>
  <c r="F219" i="1"/>
  <c r="H219" i="1" s="1"/>
  <c r="F348" i="1"/>
  <c r="H348" i="1" s="1"/>
  <c r="F357" i="1"/>
  <c r="H357" i="1" s="1"/>
  <c r="F241" i="1"/>
  <c r="H241" i="1" s="1"/>
  <c r="F325" i="1"/>
  <c r="H325" i="1" s="1"/>
  <c r="F349" i="1"/>
  <c r="H349" i="1" s="1"/>
  <c r="F359" i="1"/>
  <c r="H359" i="1" s="1"/>
  <c r="F366" i="1"/>
  <c r="H366" i="1" s="1"/>
  <c r="F269" i="1"/>
  <c r="F273" i="1"/>
  <c r="H273" i="1" s="1"/>
  <c r="F278" i="1"/>
  <c r="H278" i="1" s="1"/>
  <c r="F280" i="1"/>
  <c r="H280" i="1" s="1"/>
  <c r="F282" i="1"/>
  <c r="H282" i="1" s="1"/>
  <c r="F287" i="1"/>
  <c r="H287" i="1" s="1"/>
  <c r="F306" i="1"/>
  <c r="H306" i="1" s="1"/>
  <c r="F311" i="1"/>
  <c r="H311" i="1" s="1"/>
  <c r="F313" i="1"/>
  <c r="H313" i="1" s="1"/>
  <c r="F341" i="1"/>
  <c r="H341" i="1" s="1"/>
  <c r="F394" i="1"/>
  <c r="H394" i="1" s="1"/>
  <c r="F213" i="1"/>
  <c r="H213" i="1" s="1"/>
  <c r="F214" i="1"/>
  <c r="H214" i="1" s="1"/>
  <c r="F231" i="1"/>
  <c r="H231" i="1" s="1"/>
  <c r="F277" i="1"/>
  <c r="H277" i="1" s="1"/>
  <c r="F286" i="1"/>
  <c r="H286" i="1" s="1"/>
  <c r="F289" i="1"/>
  <c r="H289" i="1" s="1"/>
  <c r="F290" i="1"/>
  <c r="H290" i="1" s="1"/>
  <c r="F393" i="1"/>
  <c r="H393" i="1" s="1"/>
  <c r="F236" i="1"/>
  <c r="F271" i="1"/>
  <c r="F279" i="1"/>
  <c r="H279" i="1" s="1"/>
  <c r="F293" i="1"/>
  <c r="H293" i="1" s="1"/>
  <c r="F296" i="1"/>
  <c r="H296" i="1" s="1"/>
  <c r="F299" i="1"/>
  <c r="H299" i="1" s="1"/>
  <c r="F308" i="1"/>
  <c r="H308" i="1" s="1"/>
  <c r="F312" i="1"/>
  <c r="H312" i="1" s="1"/>
  <c r="F331" i="1"/>
  <c r="F339" i="1"/>
  <c r="F343" i="1"/>
  <c r="H343" i="1" s="1"/>
  <c r="F346" i="1"/>
  <c r="H346" i="1" s="1"/>
  <c r="F353" i="1"/>
  <c r="H353" i="1" s="1"/>
  <c r="F361" i="1"/>
  <c r="H361" i="1" s="1"/>
  <c r="F363" i="1"/>
  <c r="H363" i="1" s="1"/>
  <c r="F390" i="1"/>
  <c r="F272" i="1"/>
  <c r="F274" i="1"/>
  <c r="H274" i="1" s="1"/>
  <c r="F292" i="1"/>
  <c r="H292" i="1" s="1"/>
  <c r="F300" i="1"/>
  <c r="H300" i="1" s="1"/>
  <c r="F307" i="1"/>
  <c r="H307" i="1" s="1"/>
  <c r="F310" i="1"/>
  <c r="H310" i="1" s="1"/>
  <c r="F342" i="1"/>
  <c r="H342" i="1" s="1"/>
  <c r="F344" i="1"/>
  <c r="H344" i="1" s="1"/>
  <c r="F352" i="1"/>
  <c r="H352" i="1" s="1"/>
  <c r="J356" i="1" s="1"/>
  <c r="F360" i="1"/>
  <c r="H360" i="1" s="1"/>
  <c r="F365" i="1"/>
  <c r="H365" i="1" s="1"/>
  <c r="F370" i="1"/>
  <c r="H370" i="1" s="1"/>
  <c r="F377" i="1"/>
  <c r="H377" i="1" s="1"/>
  <c r="F392" i="1"/>
  <c r="H392" i="1" s="1"/>
  <c r="F283" i="1"/>
  <c r="H283" i="1" s="1"/>
  <c r="F323" i="1"/>
  <c r="H323" i="1" s="1"/>
  <c r="F362" i="1"/>
  <c r="H362" i="1" s="1"/>
  <c r="F239" i="1"/>
  <c r="H239" i="1" s="1"/>
  <c r="F376" i="1"/>
  <c r="H376" i="1" s="1"/>
  <c r="F381" i="1"/>
  <c r="H381" i="1" s="1"/>
  <c r="F221" i="1"/>
  <c r="H221" i="1" s="1"/>
  <c r="F295" i="1"/>
  <c r="H295" i="1" s="1"/>
  <c r="F270" i="1"/>
  <c r="F276" i="1"/>
  <c r="H276" i="1" s="1"/>
  <c r="F281" i="1"/>
  <c r="H281" i="1" s="1"/>
  <c r="F291" i="1"/>
  <c r="H291" i="1" s="1"/>
  <c r="F305" i="1"/>
  <c r="F324" i="1"/>
  <c r="H324" i="1" s="1"/>
  <c r="F340" i="1"/>
  <c r="H340" i="1" s="1"/>
  <c r="F350" i="1"/>
  <c r="H350" i="1" s="1"/>
  <c r="F369" i="1"/>
  <c r="H369" i="1" s="1"/>
  <c r="F374" i="1"/>
  <c r="F375" i="1"/>
  <c r="H375" i="1" s="1"/>
  <c r="F379" i="1"/>
  <c r="H379" i="1" s="1"/>
  <c r="F382" i="1"/>
  <c r="H382" i="1" s="1"/>
  <c r="F205" i="1"/>
  <c r="H205" i="1" s="1"/>
  <c r="F225" i="1"/>
  <c r="F228" i="1"/>
  <c r="H228" i="1" s="1"/>
  <c r="F206" i="1"/>
  <c r="H206" i="1" s="1"/>
  <c r="F218" i="1"/>
  <c r="H218" i="1" s="1"/>
  <c r="F256" i="1"/>
  <c r="H256" i="1" s="1"/>
  <c r="F255" i="1"/>
  <c r="H255" i="1" s="1"/>
  <c r="F237" i="1"/>
  <c r="H237" i="1" s="1"/>
  <c r="F223" i="1"/>
  <c r="H223" i="1" s="1"/>
  <c r="F232" i="1"/>
  <c r="H232" i="1" s="1"/>
  <c r="F244" i="1"/>
  <c r="H244" i="1" s="1"/>
  <c r="F251" i="1"/>
  <c r="H251" i="1" s="1"/>
  <c r="F254" i="1"/>
  <c r="H254" i="1" s="1"/>
  <c r="F258" i="1"/>
  <c r="H258" i="1" s="1"/>
  <c r="F245" i="1"/>
  <c r="H245" i="1" s="1"/>
  <c r="F224" i="1"/>
  <c r="H224" i="1" s="1"/>
  <c r="F227" i="1"/>
  <c r="H227" i="1" s="1"/>
  <c r="F238" i="1"/>
  <c r="H238" i="1" s="1"/>
  <c r="F242" i="1"/>
  <c r="H242" i="1" s="1"/>
  <c r="F252" i="1"/>
  <c r="H252" i="1" s="1"/>
  <c r="F259" i="1"/>
  <c r="H259" i="1" s="1"/>
  <c r="F261" i="1"/>
  <c r="H261" i="1" s="1"/>
  <c r="F264" i="1"/>
  <c r="H264" i="1" s="1"/>
  <c r="F222" i="1"/>
  <c r="H222" i="1" s="1"/>
  <c r="F215" i="1"/>
  <c r="H215" i="1" s="1"/>
  <c r="S37" i="1"/>
  <c r="I73" i="1" l="1"/>
  <c r="C75" i="1" s="1"/>
  <c r="J130" i="1"/>
  <c r="I129" i="1" s="1"/>
  <c r="C131" i="1" s="1"/>
  <c r="C179" i="1"/>
  <c r="H339" i="1"/>
  <c r="G181" i="1" s="1"/>
  <c r="E181" i="1"/>
  <c r="C181" i="1"/>
  <c r="C178" i="1"/>
  <c r="H305" i="1"/>
  <c r="C180" i="1"/>
  <c r="E180" i="1"/>
  <c r="H374" i="1"/>
  <c r="E182" i="1"/>
  <c r="C182" i="1"/>
  <c r="H271" i="1"/>
  <c r="H269" i="1"/>
  <c r="E179" i="1"/>
  <c r="H270" i="1"/>
  <c r="H236" i="1"/>
  <c r="G178" i="1" s="1"/>
  <c r="E178" i="1"/>
  <c r="H272" i="1"/>
  <c r="H390" i="1"/>
  <c r="H331" i="1"/>
  <c r="H225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31" i="1"/>
  <c r="F212" i="1"/>
  <c r="H212" i="1" s="1"/>
  <c r="F211" i="1"/>
  <c r="H211" i="1" s="1"/>
  <c r="F210" i="1"/>
  <c r="H210" i="1" s="1"/>
  <c r="F209" i="1"/>
  <c r="H209" i="1" s="1"/>
  <c r="F208" i="1"/>
  <c r="H208" i="1" s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F204" i="1"/>
  <c r="H204" i="1" s="1"/>
  <c r="F203" i="1"/>
  <c r="H203" i="1" s="1"/>
  <c r="F202" i="1"/>
  <c r="H202" i="1" s="1"/>
  <c r="A202" i="1"/>
  <c r="A203" i="1" s="1"/>
  <c r="A204" i="1" s="1"/>
  <c r="A205" i="1" s="1"/>
  <c r="A206" i="1" s="1"/>
  <c r="F201" i="1"/>
  <c r="H192" i="1"/>
  <c r="F192" i="1"/>
  <c r="H191" i="1"/>
  <c r="F191" i="1"/>
  <c r="H190" i="1"/>
  <c r="F190" i="1"/>
  <c r="A190" i="1"/>
  <c r="A191" i="1" s="1"/>
  <c r="A192" i="1" s="1"/>
  <c r="H189" i="1"/>
  <c r="F189" i="1"/>
  <c r="F169" i="1"/>
  <c r="D67" i="1"/>
  <c r="D60" i="1"/>
  <c r="G55" i="1"/>
  <c r="G56" i="1" s="1"/>
  <c r="C55" i="1"/>
  <c r="E48" i="1"/>
  <c r="E49" i="1" s="1"/>
  <c r="E35" i="1"/>
  <c r="E32" i="1"/>
  <c r="E30" i="1"/>
  <c r="C20" i="1"/>
  <c r="I17" i="1"/>
  <c r="Z13" i="1"/>
  <c r="E8" i="1"/>
  <c r="E3" i="1"/>
  <c r="H102" i="1"/>
  <c r="H144" i="1"/>
  <c r="H88" i="1"/>
  <c r="G180" i="1" l="1"/>
  <c r="G182" i="1"/>
  <c r="C177" i="1"/>
  <c r="C183" i="1" s="1"/>
  <c r="G179" i="1"/>
  <c r="H201" i="1"/>
  <c r="G177" i="1" s="1"/>
  <c r="E177" i="1"/>
  <c r="E183" i="1" s="1"/>
  <c r="J87" i="1"/>
  <c r="J89" i="1" s="1"/>
  <c r="J90" i="1"/>
  <c r="J91" i="1"/>
  <c r="J92" i="1"/>
  <c r="C91" i="1" s="1"/>
  <c r="J106" i="1"/>
  <c r="C105" i="1" s="1"/>
  <c r="E105" i="1"/>
  <c r="D110" i="1"/>
  <c r="D112" i="1"/>
  <c r="D106" i="1"/>
  <c r="J105" i="1"/>
  <c r="D111" i="1"/>
  <c r="J101" i="1"/>
  <c r="J103" i="1" s="1"/>
  <c r="D109" i="1"/>
  <c r="J104" i="1"/>
  <c r="D108" i="1"/>
  <c r="D114" i="1"/>
  <c r="D113" i="1"/>
  <c r="D107" i="1"/>
  <c r="D95" i="1"/>
  <c r="D97" i="1"/>
  <c r="D96" i="1"/>
  <c r="D100" i="1"/>
  <c r="D94" i="1"/>
  <c r="D99" i="1"/>
  <c r="D93" i="1"/>
  <c r="D98" i="1"/>
  <c r="J143" i="1"/>
  <c r="J145" i="1" s="1"/>
  <c r="D152" i="1"/>
  <c r="D154" i="1"/>
  <c r="J148" i="1"/>
  <c r="D153" i="1"/>
  <c r="J147" i="1"/>
  <c r="D151" i="1"/>
  <c r="J146" i="1"/>
  <c r="C147" i="1" s="1"/>
  <c r="D150" i="1"/>
  <c r="D156" i="1"/>
  <c r="D155" i="1"/>
  <c r="B144" i="1"/>
  <c r="B102" i="1"/>
  <c r="B88" i="1"/>
  <c r="J93" i="1" s="1"/>
  <c r="D147" i="1" l="1"/>
  <c r="D105" i="1"/>
  <c r="I102" i="1" s="1"/>
  <c r="I103" i="1" s="1"/>
  <c r="G183" i="1"/>
  <c r="D91" i="1"/>
  <c r="D149" i="1"/>
  <c r="J154" i="1"/>
  <c r="J151" i="1"/>
  <c r="J153" i="1"/>
  <c r="J152" i="1"/>
  <c r="J149" i="1"/>
  <c r="J150" i="1" s="1"/>
  <c r="J155" i="1" s="1"/>
  <c r="J156" i="1" s="1"/>
  <c r="J112" i="1"/>
  <c r="J109" i="1"/>
  <c r="J111" i="1"/>
  <c r="J110" i="1"/>
  <c r="J107" i="1"/>
  <c r="J108" i="1" s="1"/>
  <c r="J97" i="1"/>
  <c r="J95" i="1"/>
  <c r="J96" i="1"/>
  <c r="J94" i="1"/>
  <c r="J99" i="1" s="1"/>
  <c r="J100" i="1" s="1"/>
  <c r="C92" i="1" s="1"/>
  <c r="J98" i="1"/>
  <c r="G105" i="1"/>
  <c r="D71" i="1" s="1"/>
  <c r="J88" i="1" l="1"/>
  <c r="J113" i="1"/>
  <c r="J114" i="1" s="1"/>
  <c r="J102" i="1" s="1"/>
  <c r="I101" i="1" s="1"/>
  <c r="C103" i="1" s="1"/>
  <c r="E147" i="1"/>
  <c r="D148" i="1"/>
  <c r="I144" i="1" s="1"/>
  <c r="J144" i="1"/>
  <c r="G147" i="1"/>
  <c r="E91" i="1"/>
  <c r="D92" i="1"/>
  <c r="I88" i="1" s="1"/>
  <c r="G91" i="1"/>
  <c r="F72" i="1" l="1"/>
  <c r="D72" i="1"/>
  <c r="I145" i="1"/>
  <c r="I143" i="1" s="1"/>
  <c r="C145" i="1" s="1"/>
  <c r="I89" i="1"/>
  <c r="I87" i="1" s="1"/>
  <c r="C89" i="1" s="1"/>
</calcChain>
</file>

<file path=xl/comments1.xml><?xml version="1.0" encoding="utf-8"?>
<comments xmlns="http://schemas.openxmlformats.org/spreadsheetml/2006/main">
  <authors>
    <author>Sachin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<sst xmlns="http://schemas.openxmlformats.org/spreadsheetml/2006/main" count="915" uniqueCount="366">
  <si>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</si>
  <si>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</si>
  <si>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</si>
  <si>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</si>
  <si>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</si>
  <si>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</si>
  <si>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</si>
  <si>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</si>
  <si>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</si>
  <si>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</si>
  <si>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</si>
  <si>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</si>
  <si>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</si>
  <si>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</si>
  <si>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</si>
  <si>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</si>
  <si>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</si>
  <si>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</si>
  <si>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</si>
  <si>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</si>
  <si>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</si>
  <si>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</si>
  <si>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</si>
  <si>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</si>
  <si>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</si>
  <si>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</si>
  <si>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</si>
  <si>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</si>
  <si>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</si>
  <si>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</si>
  <si>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</si>
  <si>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</si>
  <si>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</si>
  <si>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</si>
  <si>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</si>
  <si>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</si>
  <si>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</si>
  <si>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</si>
  <si>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</si>
  <si>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</si>
  <si>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</si>
  <si>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</si>
  <si>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</si>
  <si>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</si>
  <si>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</si>
  <si>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</si>
  <si>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</si>
  <si>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</si>
  <si>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</si>
  <si>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</si>
  <si>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</si>
  <si>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</si>
  <si>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</si>
  <si>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</si>
  <si>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</si>
  <si>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</si>
  <si>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</si>
  <si>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</si>
  <si>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</si>
  <si>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</si>
  <si>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</si>
  <si>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</si>
  <si>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</si>
  <si>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</si>
  <si>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</si>
  <si>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</si>
  <si>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</si>
  <si>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</si>
  <si>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</si>
  <si>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</si>
  <si>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</si>
  <si>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</si>
  <si>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</si>
  <si>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</si>
  <si>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</si>
  <si>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</si>
  <si>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</si>
  <si>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</si>
  <si>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</si>
  <si>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</si>
  <si>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</si>
  <si>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</si>
  <si>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</si>
  <si>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</si>
  <si>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</si>
  <si>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</si>
  <si>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</si>
  <si>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</si>
  <si>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</si>
  <si>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</si>
  <si>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</si>
  <si>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</si>
  <si>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</si>
  <si>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</si>
  <si>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</si>
  <si>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</si>
  <si>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</si>
  <si>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</si>
  <si>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</si>
  <si>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</si>
  <si>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</si>
  <si>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</si>
  <si>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</si>
  <si>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</si>
  <si>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</si>
  <si>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</si>
  <si>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</si>
  <si>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</si>
  <si>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</si>
  <si>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</si>
  <si>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</si>
  <si>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</si>
  <si>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</si>
  <si>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</si>
  <si>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</si>
  <si>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</si>
  <si>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</si>
  <si>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</si>
  <si>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</si>
  <si>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</si>
  <si>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</si>
  <si>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</si>
  <si>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</si>
  <si>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</si>
  <si>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</si>
  <si>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</si>
  <si>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</si>
  <si>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</si>
  <si>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</si>
  <si>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</si>
  <si>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</si>
  <si>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</si>
  <si>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</si>
  <si>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</si>
  <si>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</si>
  <si>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</si>
  <si>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</si>
  <si>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</si>
  <si>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</si>
  <si>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</si>
  <si>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</si>
  <si>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</si>
  <si>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</si>
  <si>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</si>
  <si>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</si>
  <si>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</si>
  <si>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</si>
  <si>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</si>
  <si>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</si>
  <si>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</si>
  <si>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</si>
  <si>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</si>
  <si>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</si>
  <si>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</si>
  <si>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</si>
  <si>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</si>
  <si>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</si>
  <si>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</si>
  <si>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</si>
  <si>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</si>
  <si>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</si>
  <si>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</si>
  <si>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</si>
  <si>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</si>
  <si>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</si>
  <si>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</si>
  <si>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</si>
  <si>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</si>
  <si>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</si>
  <si>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</si>
  <si>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</si>
  <si>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</si>
  <si>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</si>
  <si>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</si>
  <si>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</si>
  <si>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</si>
  <si>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</si>
  <si>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</si>
  <si>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</si>
  <si>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</si>
  <si>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</si>
  <si>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</si>
  <si>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</si>
  <si>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</si>
  <si>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</si>
  <si>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</si>
  <si>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</si>
  <si>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</si>
  <si>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</si>
  <si>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</si>
  <si>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</si>
  <si>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</si>
  <si>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</si>
  <si>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</si>
  <si>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</si>
  <si>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</si>
  <si>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</si>
  <si>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</si>
  <si>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</si>
  <si>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</si>
  <si>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</si>
  <si>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</si>
  <si>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</si>
  <si>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</si>
  <si>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</si>
  <si>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</si>
  <si>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</si>
  <si>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</si>
  <si>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</si>
  <si>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</si>
  <si>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</si>
  <si>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</si>
  <si>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</si>
  <si>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</si>
  <si>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</si>
  <si>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</si>
  <si>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</si>
  <si>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</si>
  <si>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</si>
  <si>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</si>
  <si>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</si>
  <si>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</si>
  <si>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</si>
  <si>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</si>
  <si>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</si>
  <si>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</si>
  <si>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</si>
  <si>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</si>
  <si>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</si>
  <si>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</si>
  <si>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 xml:space="preserve">Please check for Environment Clearance Certificate.
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</si>
  <si>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</si>
  <si>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</si>
  <si>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</si>
  <si>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</si>
  <si>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</si>
  <si>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</si>
  <si>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</si>
  <si>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</si>
  <si>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</si>
  <si>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</si>
  <si>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</si>
  <si>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</si>
  <si>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</si>
  <si>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</si>
  <si>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</si>
  <si>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</si>
  <si>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</si>
  <si>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</si>
  <si>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</si>
  <si>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</si>
  <si>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</si>
  <si>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</si>
  <si>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</si>
  <si>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</si>
  <si>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</si>
  <si>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</si>
  <si>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</si>
  <si>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</si>
  <si>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</si>
  <si>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</si>
  <si>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</si>
  <si>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</si>
  <si>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</si>
  <si>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</si>
  <si>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</si>
  <si>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</si>
  <si>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</si>
  <si>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</si>
  <si>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</si>
  <si>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</si>
  <si>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</si>
  <si>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</si>
  <si>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</si>
  <si>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</si>
  <si>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</si>
  <si>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</si>
  <si>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</si>
  <si>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</si>
  <si>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Dosti Greater Thane - Sector 3A - Cluster 1B - Phase 1, 2 &amp; 3</t>
  </si>
  <si>
    <t>Adrika Developers Private Limited</t>
  </si>
  <si>
    <t>06 Building</t>
  </si>
  <si>
    <t>25/2, 25/3, 26/10, 26/13/7, 190, 23/1/C of village Rahanal, S.No.40/7 of Kevani, S.No.151/2/A, 1528/1, 152/2,165/2B, 165/3, 174/5 &amp; others of Purna, S.No.14/3, 15/5, 16/1a, 19/7 to 13 &amp; others of Kopar</t>
  </si>
  <si>
    <t>Survey No</t>
  </si>
  <si>
    <t>Purne</t>
  </si>
  <si>
    <t>Open Plot</t>
  </si>
  <si>
    <t>Internal Road</t>
  </si>
  <si>
    <t>4.7KM from Bhiwandi
Road Railway Station</t>
  </si>
  <si>
    <t>Dosti Delight</t>
  </si>
  <si>
    <t>Bhiwandi - Wada Road</t>
  </si>
  <si>
    <t>Bhiwandi West</t>
  </si>
  <si>
    <t>24.00 M proposed Road</t>
  </si>
  <si>
    <t>Cluster 2</t>
  </si>
  <si>
    <t>Other Plot</t>
  </si>
  <si>
    <t>Mumbai Metropolitan Region Development Authority</t>
  </si>
  <si>
    <t>SROT/BSNA/2501/BP/Rahanal-Kevani-
Purna-Kopar -02 /CC/1073/2023</t>
  </si>
  <si>
    <t>SROT/BSNA/2501/BP/Rahanal-Kevani-
Purna-Kopar -02 /1074/2023</t>
  </si>
  <si>
    <t>Phase 3 = Wing A - Tower T3A Bldg 1 = St + 1st to 30th Floor
               Wing B - Tower T4 Bldg 2 = St + 1st to 30th Floor</t>
  </si>
  <si>
    <t>As per RERA - Phase 1 - 31/10/2028
Phase 2 - 31/10/2028
Phase 3 - 31/10/2028</t>
  </si>
  <si>
    <t>Phase 2 = Tower T4- Bldg 4 = St + 1st to 30th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</si>
  <si>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</si>
  <si>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Cluster 1B</t>
  </si>
  <si>
    <t>Phase 1</t>
  </si>
  <si>
    <t>A Wing =  Tower 3A Building 4</t>
  </si>
  <si>
    <t>Ground Floor For Parking, Fitness Center, Creche, Meter Room, Drivers Room &amp; Society Office</t>
  </si>
  <si>
    <t>1BHK</t>
  </si>
  <si>
    <t>1st &amp; 2nd Floor For Residential &amp; Parking</t>
  </si>
  <si>
    <t>3rd to 7th, 9th to 12th, 14th to 17th, 19th to 22nd, 24th to 27th, 29th, 30th Floor</t>
  </si>
  <si>
    <t>Refuge Area</t>
  </si>
  <si>
    <t>8th, 13th, 18th, 23rd &amp; 28th Floor</t>
  </si>
  <si>
    <t>B Wing =  Tower 4 Building 3</t>
  </si>
  <si>
    <t xml:space="preserve">Phase 1 = Wing A - Tower T3A Bldg 4 = St + 1st to 30th Floor 
               Wing B - Tower T4 Bldg 3 = St + 1st to 30th Floor
               Wing C - Tower T3A Bldg 5 = St + 1st to 30th Floor
</t>
  </si>
  <si>
    <t>2BHK</t>
  </si>
  <si>
    <t>C Wing =  Tower 3A Building 5</t>
  </si>
  <si>
    <t xml:space="preserve">  Tower 4 Building 4</t>
  </si>
  <si>
    <t>Phase 2</t>
  </si>
  <si>
    <t>Phase 3</t>
  </si>
  <si>
    <t>A Wing =  Tower 3A Building 1</t>
  </si>
  <si>
    <t>3rd to 7th, 9th to 12th, 14th to 17th &amp; 19th to 22nd Floor</t>
  </si>
  <si>
    <t xml:space="preserve"> B Wing = Tower 4 Building 2</t>
  </si>
  <si>
    <t>24X7 Water Supply, Community Buildings, Aggregate area of recreational Open Space, Landscape Garden and Tree Planting, Street Lighting, Internal Roads, Water Conservation, Rain water Harvesting</t>
  </si>
  <si>
    <t>Flats - 1952</t>
  </si>
  <si>
    <t>Mangesh</t>
  </si>
  <si>
    <t>We considered Gross carpet area = Net carpet + Enclose balcony + C.B Area.</t>
  </si>
  <si>
    <t>Cluster 1A</t>
  </si>
  <si>
    <t xml:space="preserve">All charges match with Dosti Greater Thane - Sector 3A - Cluster 2 - Phase 1 TO 4 by Viraj </t>
  </si>
  <si>
    <t>Recommended rate of the Flat Per Sq. Ft. (11th to 20th Floor)</t>
  </si>
  <si>
    <t>Floor wise changes donen by viraaj 14/03/2024</t>
  </si>
  <si>
    <t>Recommended rate of the Flat Per Sq. Ft. (21st to 30th Floor)</t>
  </si>
  <si>
    <t>Phase 2 = Dosti Zion - Tower T4-4</t>
  </si>
  <si>
    <t>Construction work is in process.</t>
  </si>
  <si>
    <t>Phase 1 =Dosti Serene &amp; Phase 3 = Dosti Dazzle</t>
  </si>
  <si>
    <t>Work not yet started.</t>
  </si>
  <si>
    <t>Phase 3 = Wing B - Tower T4 Bldg 2 = St + 1st to 30th Floor</t>
  </si>
  <si>
    <t>construction is given as per the work progress PPT provided</t>
  </si>
  <si>
    <t>Phase 3 = Wing A - Tower T3A Bldg 1 = St + 1st to 30th Floor
Phase 3 = Wing B - Tower T4 Bldg 2 = St + 1st to 30th Floor</t>
  </si>
  <si>
    <t>7900 to 8000 by trupti don’t change here after on 22/04/2025</t>
  </si>
  <si>
    <t>Recommended Rates/Other Charges of the Property have been revised on 27/02/2024 &amp; 22/04/2025.</t>
  </si>
  <si>
    <t>Shubham - 9619081618</t>
  </si>
  <si>
    <t xml:space="preserve">Phase 1 = Wing A - Tower T3A Bldg 4 = St + 1st to 30th Floor </t>
  </si>
  <si>
    <t>Phase 1 = Wing B - Tower T4 Bldg 3 = St + 1st to 30th Floor</t>
  </si>
  <si>
    <t>Phase 1 = Wing C - Tower T3A Bldg 5 = St + 1st to 30th Floor</t>
  </si>
  <si>
    <t>Pranita Mhatre</t>
  </si>
  <si>
    <t xml:space="preserve">AS PER CHECK rera at cer June 25 of Wing C is not started </t>
  </si>
  <si>
    <t>We are maintain same stage</t>
  </si>
  <si>
    <t>Construction work is in process at the time of visit. (Internal visit was not allowed.)</t>
  </si>
  <si>
    <t>Mr. Shubham - 9619081618 
Mr. Sandip - 8097547099</t>
  </si>
  <si>
    <t>Phase 2 (Dosti Zion)</t>
  </si>
  <si>
    <t>Phase 1 (Dosti Serene)</t>
  </si>
  <si>
    <t>Phase 3 (Dosti Dazzle)</t>
  </si>
  <si>
    <t>Sector 3A - Cluster 1B 
Phase 1 = Tower T3A Bldg 4 &amp; 5 = St + 1st to 30th Floor 
               Tower T4 Bldg 3 = St + 1st to 22nd Floor           
Phase 2 = Tower T4- Bldg 4 = St + 1st to 22nd Floor
Phase 3 = Tower T3A Bldg 1 = St + 1st to 30th Floor
               Tower T4 Bldg 2 = St + 1st to 30th Floor</t>
  </si>
  <si>
    <t>B Wing =  Tower 4 Building 2</t>
  </si>
  <si>
    <t>8th, 13th &amp; 18th Floor For Part Refuge Area</t>
  </si>
  <si>
    <t>RERA Name &amp; No.</t>
  </si>
  <si>
    <t>P51700053057</t>
  </si>
  <si>
    <t>P51700053096</t>
  </si>
  <si>
    <t>P51700053217</t>
  </si>
  <si>
    <t>Dosti Greater Thane - Sector 3A - Cluster 1B Phase 2</t>
  </si>
  <si>
    <t>Dosti Greater Thane - Sector 3A - Cluster 1B Phase 1</t>
  </si>
  <si>
    <t xml:space="preserve">Dosti Greater Thane - Sector 3A - Cluster 1B Phase 3
</t>
  </si>
  <si>
    <t>19.262639,73.020944</t>
  </si>
  <si>
    <t>https://maps.app.goo.gl/ctSb62FGtqGSdGt68</t>
  </si>
  <si>
    <t>Phase 1 = Wing A - Tower T3A Bldg 4 = St + 1st to 30th Floor 
               Wing B - Tower T4 Bldg 3 = St + 1st to 30th Floor
               Wing C - Tower T3A Bldg 5 = St + 1st to 30th Floor
Phase 2 = Tower T4- Bldg 4 = St + 1st to 30th Floor
Phase 3 = Wing A - Tower T3A Bldg 1 = St + 1st to 30th Floor
                Wing B - Tower T4 Bldg 2 = St + 1st to 22nd Floor</t>
  </si>
  <si>
    <t xml:space="preserve">Wing A - Tower T3A (Bldg 4)
Wing B - Tower T4 (Bldg 3)
Wing C - Tower T3A (Bldg 5)
</t>
  </si>
  <si>
    <t>Tower T4 (Bldg 4)</t>
  </si>
  <si>
    <t>Wing A - Tower T3A (Bldg 1)
Wing B - Tower T4 (Bldg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</si>
</sst>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17" fillId="0" borderId="16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top"/>
    </xf>
    <xf numFmtId="0" fontId="7" fillId="0" borderId="1" xfId="1" applyFont="1" applyBorder="1" applyAlignment="1" applyProtection="1">
      <alignment horizontal="center" vertical="top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wrapText="1"/>
      <protection locked="0"/>
    </xf>
    <xf numFmtId="0" fontId="7" fillId="2" borderId="0" xfId="1" applyFont="1" applyFill="1"/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8" fillId="0" borderId="1" xfId="1" applyFont="1" applyBorder="1" applyAlignment="1" applyProtection="1">
      <alignment vertical="top"/>
      <protection locked="0"/>
    </xf>
    <xf numFmtId="0" fontId="26" fillId="0" borderId="9" xfId="0" applyFont="1" applyBorder="1"/>
    <xf numFmtId="0" fontId="25" fillId="2" borderId="15" xfId="0" applyFont="1" applyFill="1" applyBorder="1"/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top" wrapText="1"/>
      <protection locked="0"/>
    </xf>
    <xf numFmtId="0" fontId="7" fillId="0" borderId="9" xfId="1" applyFont="1" applyFill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5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34" xfId="0" applyNumberFormat="1" applyFont="1" applyBorder="1" applyAlignment="1" applyProtection="1">
      <alignment horizontal="center" vertical="center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9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21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vertical="top"/>
      <protection locked="0"/>
    </xf>
    <xf numFmtId="0" fontId="12" fillId="0" borderId="24" xfId="1" applyFont="1" applyBorder="1" applyAlignment="1" applyProtection="1">
      <alignment vertical="top"/>
      <protection locked="0"/>
    </xf>
    <xf numFmtId="0" fontId="12" fillId="0" borderId="18" xfId="1" applyFont="1" applyBorder="1" applyAlignment="1" applyProtection="1">
      <alignment vertical="top"/>
      <protection locked="0"/>
    </xf>
    <xf numFmtId="0" fontId="12" fillId="0" borderId="25" xfId="1" applyFont="1" applyBorder="1" applyAlignment="1" applyProtection="1">
      <alignment vertical="top"/>
      <protection locked="0"/>
    </xf>
    <xf numFmtId="0" fontId="12" fillId="0" borderId="0" xfId="1" applyFont="1" applyBorder="1" applyAlignment="1" applyProtection="1">
      <alignment vertical="top"/>
      <protection locked="0"/>
    </xf>
    <xf numFmtId="0" fontId="12" fillId="0" borderId="26" xfId="1" applyFont="1" applyBorder="1" applyAlignment="1" applyProtection="1">
      <alignment vertical="top"/>
      <protection locked="0"/>
    </xf>
    <xf numFmtId="0" fontId="12" fillId="0" borderId="19" xfId="1" applyFont="1" applyBorder="1" applyAlignment="1" applyProtection="1">
      <alignment vertical="top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20" xfId="1" applyFont="1" applyBorder="1" applyAlignment="1" applyProtection="1">
      <alignment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center"/>
      <protection locked="0"/>
    </xf>
    <xf numFmtId="0" fontId="12" fillId="0" borderId="21" xfId="1" applyFont="1" applyBorder="1" applyAlignment="1" applyProtection="1">
      <alignment horizontal="left" vertical="center"/>
      <protection locked="0"/>
    </xf>
    <xf numFmtId="0" fontId="12" fillId="0" borderId="9" xfId="1" applyFont="1" applyBorder="1" applyAlignment="1" applyProtection="1">
      <alignment horizontal="left" vertical="center"/>
      <protection locked="0"/>
    </xf>
    <xf numFmtId="0" fontId="12" fillId="0" borderId="8" xfId="1" applyFont="1" applyBorder="1" applyAlignment="1" applyProtection="1">
      <alignment horizontal="left" vertical="center" wrapText="1"/>
      <protection locked="0"/>
    </xf>
    <xf numFmtId="0" fontId="12" fillId="0" borderId="21" xfId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center" wrapText="1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24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/>
      <protection locked="0"/>
    </xf>
    <xf numFmtId="0" fontId="6" fillId="0" borderId="25" xfId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0" fontId="6" fillId="0" borderId="26" xfId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10" fillId="0" borderId="35" xfId="0" applyNumberFormat="1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0" fontId="7" fillId="2" borderId="25" xfId="1" applyFont="1" applyFill="1" applyBorder="1" applyAlignment="1">
      <alignment horizontal="left" wrapText="1"/>
    </xf>
    <xf numFmtId="0" fontId="7" fillId="2" borderId="0" xfId="1" applyFont="1" applyFill="1" applyAlignment="1">
      <alignment horizontal="left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left" vertical="top" wrapText="1"/>
      <protection locked="0"/>
    </xf>
    <xf numFmtId="1" fontId="13" fillId="0" borderId="21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5" fillId="0" borderId="1" xfId="1" applyFont="1" applyBorder="1" applyAlignment="1" applyProtection="1">
      <alignment horizontal="left" vertical="top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549090</xdr:colOff>
      <xdr:row>507</xdr:row>
      <xdr:rowOff>168146</xdr:rowOff>
    </xdr:from>
    <xdr:to>
      <xdr:col>6</xdr:col>
      <xdr:colOff>571501</xdr:colOff>
      <xdr:row>524</xdr:row>
      <xdr:rowOff>157454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9090" y="109952175"/>
          <a:ext cx="4885764" cy="341830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101599</xdr:colOff>
      <xdr:row>470</xdr:row>
      <xdr:rowOff>127000</xdr:rowOff>
    </xdr:from>
    <xdr:to>
      <xdr:col>7</xdr:col>
      <xdr:colOff>647700</xdr:colOff>
      <xdr:row>494</xdr:row>
      <xdr:rowOff>114916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599" y="97663000"/>
          <a:ext cx="6400801" cy="4712315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  <xdr:twoCellAnchor>
    <xdr:from>
      <xdr:col>1</xdr:col>
      <xdr:colOff>644712</xdr:colOff>
      <xdr:row>475</xdr:row>
      <xdr:rowOff>200660</xdr:rowOff>
    </xdr:from>
    <xdr:to>
      <xdr:col>7</xdr:col>
      <xdr:colOff>321982</xdr:colOff>
      <xdr:row>492</xdr:row>
      <xdr:rowOff>34813</xdr:rowOff>
    </xdr:to>
    <xdr:sp macro="" textlink="">
      <xdr:nvSpPr>
        <xdr:cNvPr id="5" name="Freefor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2741" y="94789513"/>
          <a:ext cx="4876800" cy="3263153"/>
        </a:xfrm>
        <a:custGeom>
          <a:avLst/>
          <a:gdLst>
            <a:gd name="connsiteX0" fmla="*/ 53788 w 4876800"/>
            <a:gd name="connsiteY0" fmla="*/ 1864659 h 3263153"/>
            <a:gd name="connsiteX1" fmla="*/ 2420471 w 4876800"/>
            <a:gd name="connsiteY1" fmla="*/ 143436 h 3263153"/>
            <a:gd name="connsiteX2" fmla="*/ 2868706 w 4876800"/>
            <a:gd name="connsiteY2" fmla="*/ 286871 h 3263153"/>
            <a:gd name="connsiteX3" fmla="*/ 3836894 w 4876800"/>
            <a:gd name="connsiteY3" fmla="*/ 0 h 3263153"/>
            <a:gd name="connsiteX4" fmla="*/ 4320988 w 4876800"/>
            <a:gd name="connsiteY4" fmla="*/ 1093694 h 3263153"/>
            <a:gd name="connsiteX5" fmla="*/ 4177553 w 4876800"/>
            <a:gd name="connsiteY5" fmla="*/ 1290918 h 3263153"/>
            <a:gd name="connsiteX6" fmla="*/ 4231341 w 4876800"/>
            <a:gd name="connsiteY6" fmla="*/ 1344706 h 3263153"/>
            <a:gd name="connsiteX7" fmla="*/ 4374777 w 4876800"/>
            <a:gd name="connsiteY7" fmla="*/ 1255059 h 3263153"/>
            <a:gd name="connsiteX8" fmla="*/ 4356847 w 4876800"/>
            <a:gd name="connsiteY8" fmla="*/ 1918447 h 3263153"/>
            <a:gd name="connsiteX9" fmla="*/ 4410635 w 4876800"/>
            <a:gd name="connsiteY9" fmla="*/ 2205318 h 3263153"/>
            <a:gd name="connsiteX10" fmla="*/ 4392706 w 4876800"/>
            <a:gd name="connsiteY10" fmla="*/ 2223247 h 3263153"/>
            <a:gd name="connsiteX11" fmla="*/ 4715435 w 4876800"/>
            <a:gd name="connsiteY11" fmla="*/ 2366683 h 3263153"/>
            <a:gd name="connsiteX12" fmla="*/ 4751294 w 4876800"/>
            <a:gd name="connsiteY12" fmla="*/ 2725271 h 3263153"/>
            <a:gd name="connsiteX13" fmla="*/ 4823012 w 4876800"/>
            <a:gd name="connsiteY13" fmla="*/ 2779059 h 3263153"/>
            <a:gd name="connsiteX14" fmla="*/ 4876800 w 4876800"/>
            <a:gd name="connsiteY14" fmla="*/ 3137647 h 3263153"/>
            <a:gd name="connsiteX15" fmla="*/ 4303059 w 4876800"/>
            <a:gd name="connsiteY15" fmla="*/ 3155577 h 3263153"/>
            <a:gd name="connsiteX16" fmla="*/ 3908612 w 4876800"/>
            <a:gd name="connsiteY16" fmla="*/ 2976283 h 3263153"/>
            <a:gd name="connsiteX17" fmla="*/ 3693459 w 4876800"/>
            <a:gd name="connsiteY17" fmla="*/ 3263153 h 3263153"/>
            <a:gd name="connsiteX18" fmla="*/ 0 w 4876800"/>
            <a:gd name="connsiteY18" fmla="*/ 2420471 h 3263153"/>
            <a:gd name="connsiteX19" fmla="*/ 53788 w 4876800"/>
            <a:gd name="connsiteY19" fmla="*/ 1864659 h 32631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4876800" h="3263153">
              <a:moveTo>
                <a:pt x="53788" y="1864659"/>
              </a:moveTo>
              <a:lnTo>
                <a:pt x="2420471" y="143436"/>
              </a:lnTo>
              <a:lnTo>
                <a:pt x="2868706" y="286871"/>
              </a:lnTo>
              <a:lnTo>
                <a:pt x="3836894" y="0"/>
              </a:lnTo>
              <a:lnTo>
                <a:pt x="4320988" y="1093694"/>
              </a:lnTo>
              <a:lnTo>
                <a:pt x="4177553" y="1290918"/>
              </a:lnTo>
              <a:lnTo>
                <a:pt x="4231341" y="1344706"/>
              </a:lnTo>
              <a:lnTo>
                <a:pt x="4374777" y="1255059"/>
              </a:lnTo>
              <a:lnTo>
                <a:pt x="4356847" y="1918447"/>
              </a:lnTo>
              <a:lnTo>
                <a:pt x="4410635" y="2205318"/>
              </a:lnTo>
              <a:lnTo>
                <a:pt x="4392706" y="2223247"/>
              </a:lnTo>
              <a:lnTo>
                <a:pt x="4715435" y="2366683"/>
              </a:lnTo>
              <a:lnTo>
                <a:pt x="4751294" y="2725271"/>
              </a:lnTo>
              <a:lnTo>
                <a:pt x="4823012" y="2779059"/>
              </a:lnTo>
              <a:lnTo>
                <a:pt x="4876800" y="3137647"/>
              </a:lnTo>
              <a:lnTo>
                <a:pt x="4303059" y="3155577"/>
              </a:lnTo>
              <a:lnTo>
                <a:pt x="3908612" y="2976283"/>
              </a:lnTo>
              <a:lnTo>
                <a:pt x="3693459" y="3263153"/>
              </a:lnTo>
              <a:lnTo>
                <a:pt x="0" y="2420471"/>
              </a:lnTo>
              <a:lnTo>
                <a:pt x="53788" y="1864659"/>
              </a:lnTo>
              <a:close/>
            </a:path>
          </a:pathLst>
        </a:cu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348876</xdr:colOff>
      <xdr:row>481</xdr:row>
      <xdr:rowOff>135293</xdr:rowOff>
    </xdr:from>
    <xdr:to>
      <xdr:col>6</xdr:col>
      <xdr:colOff>385109</xdr:colOff>
      <xdr:row>487</xdr:row>
      <xdr:rowOff>23607</xdr:rowOff>
    </xdr:to>
    <xdr:sp macro="" textlink="">
      <xdr:nvSpPr>
        <xdr:cNvPr id="6" name="Freefor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75200" y="95934381"/>
          <a:ext cx="831850" cy="1098550"/>
        </a:xfrm>
        <a:custGeom>
          <a:avLst/>
          <a:gdLst>
            <a:gd name="connsiteX0" fmla="*/ 0 w 831850"/>
            <a:gd name="connsiteY0" fmla="*/ 476250 h 1098550"/>
            <a:gd name="connsiteX1" fmla="*/ 38100 w 831850"/>
            <a:gd name="connsiteY1" fmla="*/ 774700 h 1098550"/>
            <a:gd name="connsiteX2" fmla="*/ 444500 w 831850"/>
            <a:gd name="connsiteY2" fmla="*/ 704850 h 1098550"/>
            <a:gd name="connsiteX3" fmla="*/ 508000 w 831850"/>
            <a:gd name="connsiteY3" fmla="*/ 1098550 h 1098550"/>
            <a:gd name="connsiteX4" fmla="*/ 831850 w 831850"/>
            <a:gd name="connsiteY4" fmla="*/ 1054100 h 1098550"/>
            <a:gd name="connsiteX5" fmla="*/ 666750 w 831850"/>
            <a:gd name="connsiteY5" fmla="*/ 12700 h 1098550"/>
            <a:gd name="connsiteX6" fmla="*/ 336550 w 831850"/>
            <a:gd name="connsiteY6" fmla="*/ 0 h 1098550"/>
            <a:gd name="connsiteX7" fmla="*/ 381000 w 831850"/>
            <a:gd name="connsiteY7" fmla="*/ 412750 h 1098550"/>
            <a:gd name="connsiteX8" fmla="*/ 0 w 831850"/>
            <a:gd name="connsiteY8" fmla="*/ 476250 h 1098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31850" h="1098550">
              <a:moveTo>
                <a:pt x="0" y="476250"/>
              </a:moveTo>
              <a:lnTo>
                <a:pt x="38100" y="774700"/>
              </a:lnTo>
              <a:lnTo>
                <a:pt x="444500" y="704850"/>
              </a:lnTo>
              <a:lnTo>
                <a:pt x="508000" y="1098550"/>
              </a:lnTo>
              <a:lnTo>
                <a:pt x="831850" y="1054100"/>
              </a:lnTo>
              <a:lnTo>
                <a:pt x="666750" y="12700"/>
              </a:lnTo>
              <a:lnTo>
                <a:pt x="336550" y="0"/>
              </a:lnTo>
              <a:lnTo>
                <a:pt x="381000" y="412750"/>
              </a:lnTo>
              <a:lnTo>
                <a:pt x="0" y="476250"/>
              </a:lnTo>
              <a:close/>
            </a:path>
          </a:pathLst>
        </a:cu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690805</xdr:colOff>
      <xdr:row>478</xdr:row>
      <xdr:rowOff>152400</xdr:rowOff>
    </xdr:from>
    <xdr:to>
      <xdr:col>4</xdr:col>
      <xdr:colOff>803238</xdr:colOff>
      <xdr:row>482</xdr:row>
      <xdr:rowOff>177427</xdr:rowOff>
    </xdr:to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6200000">
          <a:off x="3423920" y="95213021"/>
          <a:ext cx="831850" cy="1098550"/>
        </a:xfrm>
        <a:custGeom>
          <a:avLst/>
          <a:gdLst>
            <a:gd name="connsiteX0" fmla="*/ 0 w 831850"/>
            <a:gd name="connsiteY0" fmla="*/ 476250 h 1098550"/>
            <a:gd name="connsiteX1" fmla="*/ 38100 w 831850"/>
            <a:gd name="connsiteY1" fmla="*/ 774700 h 1098550"/>
            <a:gd name="connsiteX2" fmla="*/ 444500 w 831850"/>
            <a:gd name="connsiteY2" fmla="*/ 704850 h 1098550"/>
            <a:gd name="connsiteX3" fmla="*/ 508000 w 831850"/>
            <a:gd name="connsiteY3" fmla="*/ 1098550 h 1098550"/>
            <a:gd name="connsiteX4" fmla="*/ 831850 w 831850"/>
            <a:gd name="connsiteY4" fmla="*/ 1054100 h 1098550"/>
            <a:gd name="connsiteX5" fmla="*/ 666750 w 831850"/>
            <a:gd name="connsiteY5" fmla="*/ 12700 h 1098550"/>
            <a:gd name="connsiteX6" fmla="*/ 336550 w 831850"/>
            <a:gd name="connsiteY6" fmla="*/ 0 h 1098550"/>
            <a:gd name="connsiteX7" fmla="*/ 381000 w 831850"/>
            <a:gd name="connsiteY7" fmla="*/ 412750 h 1098550"/>
            <a:gd name="connsiteX8" fmla="*/ 0 w 831850"/>
            <a:gd name="connsiteY8" fmla="*/ 476250 h 1098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31850" h="1098550">
              <a:moveTo>
                <a:pt x="0" y="476250"/>
              </a:moveTo>
              <a:lnTo>
                <a:pt x="38100" y="774700"/>
              </a:lnTo>
              <a:lnTo>
                <a:pt x="444500" y="704850"/>
              </a:lnTo>
              <a:lnTo>
                <a:pt x="508000" y="1098550"/>
              </a:lnTo>
              <a:lnTo>
                <a:pt x="831850" y="1054100"/>
              </a:lnTo>
              <a:lnTo>
                <a:pt x="666750" y="12700"/>
              </a:lnTo>
              <a:lnTo>
                <a:pt x="336550" y="0"/>
              </a:lnTo>
              <a:lnTo>
                <a:pt x="381000" y="412750"/>
              </a:lnTo>
              <a:lnTo>
                <a:pt x="0" y="476250"/>
              </a:lnTo>
              <a:close/>
            </a:path>
          </a:pathLst>
        </a:cu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803238</xdr:colOff>
      <xdr:row>478</xdr:row>
      <xdr:rowOff>86052</xdr:rowOff>
    </xdr:from>
    <xdr:to>
      <xdr:col>6</xdr:col>
      <xdr:colOff>173019</xdr:colOff>
      <xdr:row>481</xdr:row>
      <xdr:rowOff>14335</xdr:rowOff>
    </xdr:to>
    <xdr:sp macro="" textlink="">
      <xdr:nvSpPr>
        <xdr:cNvPr id="8" name="Freefor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89120" y="95280023"/>
          <a:ext cx="1005840" cy="533400"/>
        </a:xfrm>
        <a:custGeom>
          <a:avLst/>
          <a:gdLst>
            <a:gd name="connsiteX0" fmla="*/ 0 w 1005840"/>
            <a:gd name="connsiteY0" fmla="*/ 0 h 533400"/>
            <a:gd name="connsiteX1" fmla="*/ 15240 w 1005840"/>
            <a:gd name="connsiteY1" fmla="*/ 327660 h 533400"/>
            <a:gd name="connsiteX2" fmla="*/ 350520 w 1005840"/>
            <a:gd name="connsiteY2" fmla="*/ 312420 h 533400"/>
            <a:gd name="connsiteX3" fmla="*/ 342900 w 1005840"/>
            <a:gd name="connsiteY3" fmla="*/ 533400 h 533400"/>
            <a:gd name="connsiteX4" fmla="*/ 662940 w 1005840"/>
            <a:gd name="connsiteY4" fmla="*/ 533400 h 533400"/>
            <a:gd name="connsiteX5" fmla="*/ 655320 w 1005840"/>
            <a:gd name="connsiteY5" fmla="*/ 320040 h 533400"/>
            <a:gd name="connsiteX6" fmla="*/ 1005840 w 1005840"/>
            <a:gd name="connsiteY6" fmla="*/ 320040 h 533400"/>
            <a:gd name="connsiteX7" fmla="*/ 1005840 w 1005840"/>
            <a:gd name="connsiteY7" fmla="*/ 7620 h 533400"/>
            <a:gd name="connsiteX8" fmla="*/ 0 w 1005840"/>
            <a:gd name="connsiteY8" fmla="*/ 0 h 533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005840" h="533400">
              <a:moveTo>
                <a:pt x="0" y="0"/>
              </a:moveTo>
              <a:lnTo>
                <a:pt x="15240" y="327660"/>
              </a:lnTo>
              <a:lnTo>
                <a:pt x="350520" y="312420"/>
              </a:lnTo>
              <a:lnTo>
                <a:pt x="342900" y="533400"/>
              </a:lnTo>
              <a:lnTo>
                <a:pt x="662940" y="533400"/>
              </a:lnTo>
              <a:lnTo>
                <a:pt x="655320" y="320040"/>
              </a:lnTo>
              <a:lnTo>
                <a:pt x="1005840" y="320040"/>
              </a:lnTo>
              <a:lnTo>
                <a:pt x="1005840" y="7620"/>
              </a:lnTo>
              <a:lnTo>
                <a:pt x="0" y="0"/>
              </a:lnTo>
              <a:close/>
            </a:path>
          </a:pathLst>
        </a:cu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556297</xdr:colOff>
      <xdr:row>478</xdr:row>
      <xdr:rowOff>51652</xdr:rowOff>
    </xdr:from>
    <xdr:to>
      <xdr:col>6</xdr:col>
      <xdr:colOff>250601</xdr:colOff>
      <xdr:row>482</xdr:row>
      <xdr:rowOff>82587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21010866">
          <a:off x="3156062" y="95245623"/>
          <a:ext cx="2316480" cy="837758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310117</xdr:colOff>
      <xdr:row>481</xdr:row>
      <xdr:rowOff>134567</xdr:rowOff>
    </xdr:from>
    <xdr:to>
      <xdr:col>6</xdr:col>
      <xdr:colOff>468912</xdr:colOff>
      <xdr:row>487</xdr:row>
      <xdr:rowOff>67896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1176760">
          <a:off x="4736441" y="95933655"/>
          <a:ext cx="954412" cy="1143565"/>
        </a:xfrm>
        <a:prstGeom prst="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854577</xdr:colOff>
      <xdr:row>486</xdr:row>
      <xdr:rowOff>20926</xdr:rowOff>
    </xdr:from>
    <xdr:to>
      <xdr:col>5</xdr:col>
      <xdr:colOff>126568</xdr:colOff>
      <xdr:row>490</xdr:row>
      <xdr:rowOff>45953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6741887">
          <a:off x="3587692" y="96695194"/>
          <a:ext cx="831850" cy="1098550"/>
        </a:xfrm>
        <a:custGeom>
          <a:avLst/>
          <a:gdLst>
            <a:gd name="connsiteX0" fmla="*/ 0 w 831850"/>
            <a:gd name="connsiteY0" fmla="*/ 476250 h 1098550"/>
            <a:gd name="connsiteX1" fmla="*/ 38100 w 831850"/>
            <a:gd name="connsiteY1" fmla="*/ 774700 h 1098550"/>
            <a:gd name="connsiteX2" fmla="*/ 444500 w 831850"/>
            <a:gd name="connsiteY2" fmla="*/ 704850 h 1098550"/>
            <a:gd name="connsiteX3" fmla="*/ 508000 w 831850"/>
            <a:gd name="connsiteY3" fmla="*/ 1098550 h 1098550"/>
            <a:gd name="connsiteX4" fmla="*/ 831850 w 831850"/>
            <a:gd name="connsiteY4" fmla="*/ 1054100 h 1098550"/>
            <a:gd name="connsiteX5" fmla="*/ 666750 w 831850"/>
            <a:gd name="connsiteY5" fmla="*/ 12700 h 1098550"/>
            <a:gd name="connsiteX6" fmla="*/ 336550 w 831850"/>
            <a:gd name="connsiteY6" fmla="*/ 0 h 1098550"/>
            <a:gd name="connsiteX7" fmla="*/ 381000 w 831850"/>
            <a:gd name="connsiteY7" fmla="*/ 412750 h 1098550"/>
            <a:gd name="connsiteX8" fmla="*/ 0 w 831850"/>
            <a:gd name="connsiteY8" fmla="*/ 476250 h 1098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831850" h="1098550">
              <a:moveTo>
                <a:pt x="0" y="476250"/>
              </a:moveTo>
              <a:lnTo>
                <a:pt x="38100" y="774700"/>
              </a:lnTo>
              <a:lnTo>
                <a:pt x="444500" y="704850"/>
              </a:lnTo>
              <a:lnTo>
                <a:pt x="508000" y="1098550"/>
              </a:lnTo>
              <a:lnTo>
                <a:pt x="831850" y="1054100"/>
              </a:lnTo>
              <a:lnTo>
                <a:pt x="666750" y="12700"/>
              </a:lnTo>
              <a:lnTo>
                <a:pt x="336550" y="0"/>
              </a:lnTo>
              <a:lnTo>
                <a:pt x="381000" y="412750"/>
              </a:lnTo>
              <a:lnTo>
                <a:pt x="0" y="476250"/>
              </a:lnTo>
              <a:close/>
            </a:path>
          </a:pathLst>
        </a:cu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763547</xdr:colOff>
      <xdr:row>485</xdr:row>
      <xdr:rowOff>175560</xdr:rowOff>
    </xdr:from>
    <xdr:to>
      <xdr:col>3</xdr:col>
      <xdr:colOff>850504</xdr:colOff>
      <xdr:row>488</xdr:row>
      <xdr:rowOff>103843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1539106">
          <a:off x="2444429" y="96781472"/>
          <a:ext cx="1005840" cy="533400"/>
        </a:xfrm>
        <a:custGeom>
          <a:avLst/>
          <a:gdLst>
            <a:gd name="connsiteX0" fmla="*/ 0 w 1005840"/>
            <a:gd name="connsiteY0" fmla="*/ 0 h 533400"/>
            <a:gd name="connsiteX1" fmla="*/ 15240 w 1005840"/>
            <a:gd name="connsiteY1" fmla="*/ 327660 h 533400"/>
            <a:gd name="connsiteX2" fmla="*/ 350520 w 1005840"/>
            <a:gd name="connsiteY2" fmla="*/ 312420 h 533400"/>
            <a:gd name="connsiteX3" fmla="*/ 342900 w 1005840"/>
            <a:gd name="connsiteY3" fmla="*/ 533400 h 533400"/>
            <a:gd name="connsiteX4" fmla="*/ 662940 w 1005840"/>
            <a:gd name="connsiteY4" fmla="*/ 533400 h 533400"/>
            <a:gd name="connsiteX5" fmla="*/ 655320 w 1005840"/>
            <a:gd name="connsiteY5" fmla="*/ 320040 h 533400"/>
            <a:gd name="connsiteX6" fmla="*/ 1005840 w 1005840"/>
            <a:gd name="connsiteY6" fmla="*/ 320040 h 533400"/>
            <a:gd name="connsiteX7" fmla="*/ 1005840 w 1005840"/>
            <a:gd name="connsiteY7" fmla="*/ 7620 h 533400"/>
            <a:gd name="connsiteX8" fmla="*/ 0 w 1005840"/>
            <a:gd name="connsiteY8" fmla="*/ 0 h 533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005840" h="533400">
              <a:moveTo>
                <a:pt x="0" y="0"/>
              </a:moveTo>
              <a:lnTo>
                <a:pt x="15240" y="327660"/>
              </a:lnTo>
              <a:lnTo>
                <a:pt x="350520" y="312420"/>
              </a:lnTo>
              <a:lnTo>
                <a:pt x="342900" y="533400"/>
              </a:lnTo>
              <a:lnTo>
                <a:pt x="662940" y="533400"/>
              </a:lnTo>
              <a:lnTo>
                <a:pt x="655320" y="320040"/>
              </a:lnTo>
              <a:lnTo>
                <a:pt x="1005840" y="320040"/>
              </a:lnTo>
              <a:lnTo>
                <a:pt x="1005840" y="7620"/>
              </a:lnTo>
              <a:lnTo>
                <a:pt x="0" y="0"/>
              </a:lnTo>
              <a:close/>
            </a:path>
          </a:pathLst>
        </a:cu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43779</xdr:colOff>
      <xdr:row>487</xdr:row>
      <xdr:rowOff>76830</xdr:rowOff>
    </xdr:from>
    <xdr:to>
      <xdr:col>6</xdr:col>
      <xdr:colOff>254002</xdr:colOff>
      <xdr:row>490</xdr:row>
      <xdr:rowOff>5113</xdr:rowOff>
    </xdr:to>
    <xdr:sp macro="" textlink="">
      <xdr:nvSpPr>
        <xdr:cNvPr id="13" name="Freefor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0553330">
          <a:off x="4470103" y="97086154"/>
          <a:ext cx="1005840" cy="533400"/>
        </a:xfrm>
        <a:custGeom>
          <a:avLst/>
          <a:gdLst>
            <a:gd name="connsiteX0" fmla="*/ 0 w 1005840"/>
            <a:gd name="connsiteY0" fmla="*/ 0 h 533400"/>
            <a:gd name="connsiteX1" fmla="*/ 15240 w 1005840"/>
            <a:gd name="connsiteY1" fmla="*/ 327660 h 533400"/>
            <a:gd name="connsiteX2" fmla="*/ 350520 w 1005840"/>
            <a:gd name="connsiteY2" fmla="*/ 312420 h 533400"/>
            <a:gd name="connsiteX3" fmla="*/ 342900 w 1005840"/>
            <a:gd name="connsiteY3" fmla="*/ 533400 h 533400"/>
            <a:gd name="connsiteX4" fmla="*/ 662940 w 1005840"/>
            <a:gd name="connsiteY4" fmla="*/ 533400 h 533400"/>
            <a:gd name="connsiteX5" fmla="*/ 655320 w 1005840"/>
            <a:gd name="connsiteY5" fmla="*/ 320040 h 533400"/>
            <a:gd name="connsiteX6" fmla="*/ 1005840 w 1005840"/>
            <a:gd name="connsiteY6" fmla="*/ 320040 h 533400"/>
            <a:gd name="connsiteX7" fmla="*/ 1005840 w 1005840"/>
            <a:gd name="connsiteY7" fmla="*/ 7620 h 533400"/>
            <a:gd name="connsiteX8" fmla="*/ 0 w 1005840"/>
            <a:gd name="connsiteY8" fmla="*/ 0 h 533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005840" h="533400">
              <a:moveTo>
                <a:pt x="0" y="0"/>
              </a:moveTo>
              <a:lnTo>
                <a:pt x="15240" y="327660"/>
              </a:lnTo>
              <a:lnTo>
                <a:pt x="350520" y="312420"/>
              </a:lnTo>
              <a:lnTo>
                <a:pt x="342900" y="533400"/>
              </a:lnTo>
              <a:lnTo>
                <a:pt x="662940" y="533400"/>
              </a:lnTo>
              <a:lnTo>
                <a:pt x="655320" y="320040"/>
              </a:lnTo>
              <a:lnTo>
                <a:pt x="1005840" y="320040"/>
              </a:lnTo>
              <a:lnTo>
                <a:pt x="1005840" y="7620"/>
              </a:lnTo>
              <a:lnTo>
                <a:pt x="0" y="0"/>
              </a:lnTo>
              <a:close/>
            </a:path>
          </a:pathLst>
        </a:cu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658563</xdr:colOff>
      <xdr:row>486</xdr:row>
      <xdr:rowOff>15722</xdr:rowOff>
    </xdr:from>
    <xdr:to>
      <xdr:col>6</xdr:col>
      <xdr:colOff>323269</xdr:colOff>
      <xdr:row>490</xdr:row>
      <xdr:rowOff>40575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791952">
          <a:off x="2339445" y="96823340"/>
          <a:ext cx="3205765" cy="831676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761907</xdr:colOff>
      <xdr:row>479</xdr:row>
      <xdr:rowOff>71981</xdr:rowOff>
    </xdr:from>
    <xdr:to>
      <xdr:col>3</xdr:col>
      <xdr:colOff>377108</xdr:colOff>
      <xdr:row>481</xdr:row>
      <xdr:rowOff>37901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9018006">
          <a:off x="1523907" y="104208246"/>
          <a:ext cx="1262466" cy="3693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Cluster 1B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329098</xdr:colOff>
      <xdr:row>490</xdr:row>
      <xdr:rowOff>28101</xdr:rowOff>
    </xdr:from>
    <xdr:to>
      <xdr:col>4</xdr:col>
      <xdr:colOff>539854</xdr:colOff>
      <xdr:row>491</xdr:row>
      <xdr:rowOff>195726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941562">
          <a:off x="2738363" y="106383130"/>
          <a:ext cx="1129638" cy="3693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Phase 1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668828</xdr:colOff>
      <xdr:row>481</xdr:row>
      <xdr:rowOff>154565</xdr:rowOff>
    </xdr:from>
    <xdr:to>
      <xdr:col>7</xdr:col>
      <xdr:colOff>242542</xdr:colOff>
      <xdr:row>486</xdr:row>
      <xdr:rowOff>80906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5612161">
          <a:off x="5607999" y="96236423"/>
          <a:ext cx="93487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Phase 2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701201</xdr:colOff>
      <xdr:row>476</xdr:row>
      <xdr:rowOff>166017</xdr:rowOff>
    </xdr:from>
    <xdr:to>
      <xdr:col>5</xdr:col>
      <xdr:colOff>129450</xdr:colOff>
      <xdr:row>478</xdr:row>
      <xdr:rowOff>131937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1042045">
          <a:off x="3110466" y="103697164"/>
          <a:ext cx="1131543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Phase 3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415360</xdr:colOff>
      <xdr:row>487</xdr:row>
      <xdr:rowOff>148201</xdr:rowOff>
    </xdr:from>
    <xdr:to>
      <xdr:col>3</xdr:col>
      <xdr:colOff>739189</xdr:colOff>
      <xdr:row>489</xdr:row>
      <xdr:rowOff>114122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940864">
          <a:off x="2096242" y="97157525"/>
          <a:ext cx="124271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T3A Bldg4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767510</xdr:colOff>
      <xdr:row>487</xdr:row>
      <xdr:rowOff>148064</xdr:rowOff>
    </xdr:from>
    <xdr:to>
      <xdr:col>5</xdr:col>
      <xdr:colOff>29711</xdr:colOff>
      <xdr:row>489</xdr:row>
      <xdr:rowOff>113985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744101">
          <a:off x="3367275" y="97157388"/>
          <a:ext cx="1088760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T4 Blgd3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827037</xdr:colOff>
      <xdr:row>489</xdr:row>
      <xdr:rowOff>149114</xdr:rowOff>
    </xdr:from>
    <xdr:to>
      <xdr:col>6</xdr:col>
      <xdr:colOff>433690</xdr:colOff>
      <xdr:row>491</xdr:row>
      <xdr:rowOff>115034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21027867">
          <a:off x="4412919" y="97561849"/>
          <a:ext cx="124271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T3A Bldg5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71804</xdr:colOff>
      <xdr:row>476</xdr:row>
      <xdr:rowOff>159494</xdr:rowOff>
    </xdr:from>
    <xdr:to>
      <xdr:col>6</xdr:col>
      <xdr:colOff>560294</xdr:colOff>
      <xdr:row>478</xdr:row>
      <xdr:rowOff>125414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84363" y="103690641"/>
          <a:ext cx="123928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T3A Bldg1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491152</xdr:colOff>
      <xdr:row>479</xdr:row>
      <xdr:rowOff>100249</xdr:rowOff>
    </xdr:from>
    <xdr:to>
      <xdr:col>5</xdr:col>
      <xdr:colOff>808</xdr:colOff>
      <xdr:row>481</xdr:row>
      <xdr:rowOff>66169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21047131">
          <a:off x="2900417" y="104236514"/>
          <a:ext cx="1212950" cy="36933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T4 Blgd2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731800</xdr:colOff>
      <xdr:row>481</xdr:row>
      <xdr:rowOff>185106</xdr:rowOff>
    </xdr:from>
    <xdr:to>
      <xdr:col>6</xdr:col>
      <xdr:colOff>305515</xdr:colOff>
      <xdr:row>487</xdr:row>
      <xdr:rowOff>63630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rot="4861847">
          <a:off x="4798410" y="96343908"/>
          <a:ext cx="1088760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T4 Blgd4</a:t>
          </a:r>
          <a:endParaRPr lang="en-IN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91440</xdr:colOff>
      <xdr:row>433</xdr:row>
      <xdr:rowOff>71120</xdr:rowOff>
    </xdr:from>
    <xdr:to>
      <xdr:col>15</xdr:col>
      <xdr:colOff>110593</xdr:colOff>
      <xdr:row>459</xdr:row>
      <xdr:rowOff>141730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7576969" y="93629032"/>
          <a:ext cx="4893712" cy="5303757"/>
          <a:chOff x="762000" y="90125550"/>
          <a:chExt cx="5119473" cy="5182360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5768" y="9314791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06894" y="9314791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6331" y="9314791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2000" y="90125550"/>
            <a:ext cx="511947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312421</xdr:colOff>
      <xdr:row>431</xdr:row>
      <xdr:rowOff>35595</xdr:rowOff>
    </xdr:from>
    <xdr:to>
      <xdr:col>7</xdr:col>
      <xdr:colOff>327661</xdr:colOff>
      <xdr:row>467</xdr:row>
      <xdr:rowOff>7619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9F5024EC-992F-B55A-AB06-20A4D89AB326}"/>
            </a:ext>
          </a:extLst>
        </xdr:cNvPr>
        <xdr:cNvGrpSpPr/>
      </xdr:nvGrpSpPr>
      <xdr:grpSpPr>
        <a:xfrm>
          <a:off x="312421" y="93190095"/>
          <a:ext cx="5606975" cy="7222230"/>
          <a:chOff x="161702" y="143717"/>
          <a:chExt cx="6103495" cy="8084449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DA11B95E-7C37-7EF1-6579-508950F3C27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186"/>
          <a:stretch>
            <a:fillRect/>
          </a:stretch>
        </xdr:blipFill>
        <xdr:spPr bwMode="auto">
          <a:xfrm>
            <a:off x="4646366" y="6222966"/>
            <a:ext cx="1618831" cy="2005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23CDA50F-4BFB-A4E8-53F4-3FA171A93C3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186"/>
          <a:stretch>
            <a:fillRect/>
          </a:stretch>
        </xdr:blipFill>
        <xdr:spPr bwMode="auto">
          <a:xfrm>
            <a:off x="1345440" y="3441664"/>
            <a:ext cx="3792462" cy="26424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228C2E32-9DA1-0E83-FFED-28BE816F65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1590" y="143717"/>
            <a:ext cx="4291770" cy="32218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EF6DA970-9233-0E01-D778-4AAC770F0A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92523" y="6222966"/>
            <a:ext cx="1502508" cy="2005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6EB80342-0A64-E082-DF61-6B4821C1ED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702" y="6222966"/>
            <a:ext cx="2671127" cy="2005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481854</xdr:colOff>
      <xdr:row>11</xdr:row>
      <xdr:rowOff>145677</xdr:rowOff>
    </xdr:from>
    <xdr:to>
      <xdr:col>13</xdr:col>
      <xdr:colOff>196676</xdr:colOff>
      <xdr:row>17</xdr:row>
      <xdr:rowOff>133470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01972" y="3148853"/>
          <a:ext cx="4096322" cy="3029373"/>
        </a:xfrm>
        <a:prstGeom prst="rect">
          <a:avLst/>
        </a:prstGeom>
      </xdr:spPr>
    </xdr:pic>
    <xdr:clientData/>
  </xdr:twoCellAnchor>
  <xdr:twoCellAnchor editAs="oneCell">
    <xdr:from>
      <xdr:col>9</xdr:col>
      <xdr:colOff>44825</xdr:colOff>
      <xdr:row>9</xdr:row>
      <xdr:rowOff>190500</xdr:rowOff>
    </xdr:from>
    <xdr:to>
      <xdr:col>13</xdr:col>
      <xdr:colOff>382057</xdr:colOff>
      <xdr:row>13</xdr:row>
      <xdr:rowOff>189386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30354" y="2577353"/>
          <a:ext cx="3553321" cy="1895740"/>
        </a:xfrm>
        <a:prstGeom prst="rect">
          <a:avLst/>
        </a:prstGeom>
      </xdr:spPr>
    </xdr:pic>
    <xdr:clientData/>
  </xdr:twoCellAnchor>
  <xdr:twoCellAnchor editAs="oneCell">
    <xdr:from>
      <xdr:col>10</xdr:col>
      <xdr:colOff>652184</xdr:colOff>
      <xdr:row>11</xdr:row>
      <xdr:rowOff>465605</xdr:rowOff>
    </xdr:from>
    <xdr:to>
      <xdr:col>15</xdr:col>
      <xdr:colOff>674052</xdr:colOff>
      <xdr:row>17</xdr:row>
      <xdr:rowOff>261579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99713" y="3468781"/>
          <a:ext cx="4134427" cy="2829320"/>
        </a:xfrm>
        <a:prstGeom prst="rect">
          <a:avLst/>
        </a:prstGeom>
      </xdr:spPr>
    </xdr:pic>
    <xdr:clientData/>
  </xdr:twoCellAnchor>
  <xdr:twoCellAnchor editAs="oneCell">
    <xdr:from>
      <xdr:col>8</xdr:col>
      <xdr:colOff>717176</xdr:colOff>
      <xdr:row>51</xdr:row>
      <xdr:rowOff>100853</xdr:rowOff>
    </xdr:from>
    <xdr:to>
      <xdr:col>14</xdr:col>
      <xdr:colOff>363189</xdr:colOff>
      <xdr:row>61</xdr:row>
      <xdr:rowOff>152403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37294" y="15609794"/>
          <a:ext cx="4867954" cy="4029637"/>
        </a:xfrm>
        <a:prstGeom prst="rect">
          <a:avLst/>
        </a:prstGeom>
      </xdr:spPr>
    </xdr:pic>
    <xdr:clientData/>
  </xdr:twoCellAnchor>
  <xdr:twoCellAnchor>
    <xdr:from>
      <xdr:col>0</xdr:col>
      <xdr:colOff>369793</xdr:colOff>
      <xdr:row>525</xdr:row>
      <xdr:rowOff>43451</xdr:rowOff>
    </xdr:from>
    <xdr:to>
      <xdr:col>7</xdr:col>
      <xdr:colOff>212911</xdr:colOff>
      <xdr:row>546</xdr:row>
      <xdr:rowOff>140999</xdr:rowOff>
    </xdr:to>
    <xdr:grpSp>
      <xdr:nvGrpSpPr>
        <xdr:cNvPr id="40" name="Group 39"/>
        <xdr:cNvGrpSpPr/>
      </xdr:nvGrpSpPr>
      <xdr:grpSpPr>
        <a:xfrm>
          <a:off x="369793" y="112147098"/>
          <a:ext cx="5434853" cy="4333372"/>
          <a:chOff x="369793" y="113458186"/>
          <a:chExt cx="5434853" cy="4333372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369793" y="113458186"/>
            <a:ext cx="5434853" cy="433337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39" name="Rectangle 38"/>
          <xdr:cNvSpPr/>
        </xdr:nvSpPr>
        <xdr:spPr>
          <a:xfrm rot="1127443">
            <a:off x="2418230" y="114348735"/>
            <a:ext cx="2405458" cy="1355335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45" name="Rectangle 44"/>
          <xdr:cNvSpPr/>
        </xdr:nvSpPr>
        <xdr:spPr>
          <a:xfrm rot="1321042">
            <a:off x="2677018" y="113912068"/>
            <a:ext cx="2794952" cy="505267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Dosti Greater Thane - Sector 3A  Cluster 1B - Phase 1, 2 &amp; 3</a:t>
            </a:r>
            <a:endParaRPr lang="en-IN" sz="14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8</xdr:col>
      <xdr:colOff>428625</xdr:colOff>
      <xdr:row>61</xdr:row>
      <xdr:rowOff>762000</xdr:rowOff>
    </xdr:from>
    <xdr:to>
      <xdr:col>12</xdr:col>
      <xdr:colOff>67126</xdr:colOff>
      <xdr:row>62</xdr:row>
      <xdr:rowOff>514491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53225" y="20183475"/>
          <a:ext cx="3229426" cy="1009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tSb62FGtqGSdGt6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507"/>
  <sheetViews>
    <sheetView tabSelected="1" showWhiteSpace="0" view="pageBreakPreview" topLeftCell="A181" zoomScale="85" zoomScaleNormal="100" zoomScaleSheetLayoutView="85" zoomScalePageLayoutView="85" workbookViewId="0">
      <selection activeCell="K197" sqref="K197"/>
    </sheetView>
  </sheetViews>
  <sheetFormatPr defaultColWidth="9.28515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3.7109375" style="39" customWidth="1"/>
    <col min="5" max="5" width="11.7109375" style="39" customWidth="1"/>
    <col min="6" max="6" width="11.28515625" style="39" customWidth="1"/>
    <col min="7" max="8" width="11" style="39" customWidth="1"/>
    <col min="9" max="9" width="17.42578125" style="20" customWidth="1"/>
    <col min="10" max="10" width="11.42578125" style="20" customWidth="1"/>
    <col min="11" max="11" width="11.28515625" style="20" bestFit="1" customWidth="1"/>
    <col min="12" max="12" width="13.7109375" style="20" bestFit="1" customWidth="1"/>
    <col min="13" max="13" width="11.7109375" style="20" customWidth="1"/>
    <col min="14" max="14" width="12.5703125" style="20" customWidth="1"/>
    <col min="15" max="15" width="12.28515625" style="20" customWidth="1"/>
    <col min="16" max="16" width="11.7109375" style="20" customWidth="1"/>
    <col min="17" max="18" width="9.28515625" style="20"/>
    <col min="19" max="19" width="10.7109375" style="20" bestFit="1" customWidth="1"/>
    <col min="20" max="247" width="9.28515625" style="20"/>
    <col min="248" max="248" width="8.7109375" style="20" customWidth="1"/>
    <col min="249" max="249" width="9.71093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7109375" style="20" customWidth="1"/>
    <col min="256" max="256" width="11.28515625" style="20" customWidth="1"/>
    <col min="257" max="257" width="2.7109375" style="20" customWidth="1"/>
    <col min="258" max="258" width="3.5703125" style="20" customWidth="1"/>
    <col min="259" max="503" width="9.28515625" style="20"/>
    <col min="504" max="504" width="8.7109375" style="20" customWidth="1"/>
    <col min="505" max="505" width="9.71093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7109375" style="20" customWidth="1"/>
    <col min="512" max="512" width="11.28515625" style="20" customWidth="1"/>
    <col min="513" max="513" width="2.7109375" style="20" customWidth="1"/>
    <col min="514" max="514" width="3.5703125" style="20" customWidth="1"/>
    <col min="515" max="759" width="9.28515625" style="20"/>
    <col min="760" max="760" width="8.7109375" style="20" customWidth="1"/>
    <col min="761" max="761" width="9.71093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7109375" style="20" customWidth="1"/>
    <col min="768" max="768" width="11.28515625" style="20" customWidth="1"/>
    <col min="769" max="769" width="2.7109375" style="20" customWidth="1"/>
    <col min="770" max="770" width="3.5703125" style="20" customWidth="1"/>
    <col min="771" max="1015" width="9.28515625" style="20"/>
    <col min="1016" max="1016" width="8.7109375" style="20" customWidth="1"/>
    <col min="1017" max="1017" width="9.71093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7109375" style="20" customWidth="1"/>
    <col min="1024" max="1024" width="11.28515625" style="20" customWidth="1"/>
    <col min="1025" max="1025" width="2.7109375" style="20" customWidth="1"/>
    <col min="1026" max="1026" width="3.5703125" style="20" customWidth="1"/>
    <col min="1027" max="1271" width="9.28515625" style="20"/>
    <col min="1272" max="1272" width="8.7109375" style="20" customWidth="1"/>
    <col min="1273" max="1273" width="9.71093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7109375" style="20" customWidth="1"/>
    <col min="1280" max="1280" width="11.28515625" style="20" customWidth="1"/>
    <col min="1281" max="1281" width="2.7109375" style="20" customWidth="1"/>
    <col min="1282" max="1282" width="3.5703125" style="20" customWidth="1"/>
    <col min="1283" max="1527" width="9.28515625" style="20"/>
    <col min="1528" max="1528" width="8.7109375" style="20" customWidth="1"/>
    <col min="1529" max="1529" width="9.71093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7109375" style="20" customWidth="1"/>
    <col min="1536" max="1536" width="11.28515625" style="20" customWidth="1"/>
    <col min="1537" max="1537" width="2.7109375" style="20" customWidth="1"/>
    <col min="1538" max="1538" width="3.5703125" style="20" customWidth="1"/>
    <col min="1539" max="1783" width="9.28515625" style="20"/>
    <col min="1784" max="1784" width="8.7109375" style="20" customWidth="1"/>
    <col min="1785" max="1785" width="9.71093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7109375" style="20" customWidth="1"/>
    <col min="1792" max="1792" width="11.28515625" style="20" customWidth="1"/>
    <col min="1793" max="1793" width="2.7109375" style="20" customWidth="1"/>
    <col min="1794" max="1794" width="3.5703125" style="20" customWidth="1"/>
    <col min="1795" max="2039" width="9.28515625" style="20"/>
    <col min="2040" max="2040" width="8.7109375" style="20" customWidth="1"/>
    <col min="2041" max="2041" width="9.71093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7109375" style="20" customWidth="1"/>
    <col min="2048" max="2048" width="11.28515625" style="20" customWidth="1"/>
    <col min="2049" max="2049" width="2.7109375" style="20" customWidth="1"/>
    <col min="2050" max="2050" width="3.5703125" style="20" customWidth="1"/>
    <col min="2051" max="2295" width="9.28515625" style="20"/>
    <col min="2296" max="2296" width="8.7109375" style="20" customWidth="1"/>
    <col min="2297" max="2297" width="9.71093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7109375" style="20" customWidth="1"/>
    <col min="2304" max="2304" width="11.28515625" style="20" customWidth="1"/>
    <col min="2305" max="2305" width="2.7109375" style="20" customWidth="1"/>
    <col min="2306" max="2306" width="3.5703125" style="20" customWidth="1"/>
    <col min="2307" max="2551" width="9.28515625" style="20"/>
    <col min="2552" max="2552" width="8.7109375" style="20" customWidth="1"/>
    <col min="2553" max="2553" width="9.71093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7109375" style="20" customWidth="1"/>
    <col min="2560" max="2560" width="11.28515625" style="20" customWidth="1"/>
    <col min="2561" max="2561" width="2.7109375" style="20" customWidth="1"/>
    <col min="2562" max="2562" width="3.5703125" style="20" customWidth="1"/>
    <col min="2563" max="2807" width="9.28515625" style="20"/>
    <col min="2808" max="2808" width="8.7109375" style="20" customWidth="1"/>
    <col min="2809" max="2809" width="9.71093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7109375" style="20" customWidth="1"/>
    <col min="2816" max="2816" width="11.28515625" style="20" customWidth="1"/>
    <col min="2817" max="2817" width="2.7109375" style="20" customWidth="1"/>
    <col min="2818" max="2818" width="3.5703125" style="20" customWidth="1"/>
    <col min="2819" max="3063" width="9.28515625" style="20"/>
    <col min="3064" max="3064" width="8.7109375" style="20" customWidth="1"/>
    <col min="3065" max="3065" width="9.71093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7109375" style="20" customWidth="1"/>
    <col min="3072" max="3072" width="11.28515625" style="20" customWidth="1"/>
    <col min="3073" max="3073" width="2.7109375" style="20" customWidth="1"/>
    <col min="3074" max="3074" width="3.5703125" style="20" customWidth="1"/>
    <col min="3075" max="3319" width="9.28515625" style="20"/>
    <col min="3320" max="3320" width="8.7109375" style="20" customWidth="1"/>
    <col min="3321" max="3321" width="9.71093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7109375" style="20" customWidth="1"/>
    <col min="3328" max="3328" width="11.28515625" style="20" customWidth="1"/>
    <col min="3329" max="3329" width="2.7109375" style="20" customWidth="1"/>
    <col min="3330" max="3330" width="3.5703125" style="20" customWidth="1"/>
    <col min="3331" max="3575" width="9.28515625" style="20"/>
    <col min="3576" max="3576" width="8.7109375" style="20" customWidth="1"/>
    <col min="3577" max="3577" width="9.71093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7109375" style="20" customWidth="1"/>
    <col min="3584" max="3584" width="11.28515625" style="20" customWidth="1"/>
    <col min="3585" max="3585" width="2.7109375" style="20" customWidth="1"/>
    <col min="3586" max="3586" width="3.5703125" style="20" customWidth="1"/>
    <col min="3587" max="3831" width="9.28515625" style="20"/>
    <col min="3832" max="3832" width="8.7109375" style="20" customWidth="1"/>
    <col min="3833" max="3833" width="9.71093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7109375" style="20" customWidth="1"/>
    <col min="3840" max="3840" width="11.28515625" style="20" customWidth="1"/>
    <col min="3841" max="3841" width="2.7109375" style="20" customWidth="1"/>
    <col min="3842" max="3842" width="3.5703125" style="20" customWidth="1"/>
    <col min="3843" max="4087" width="9.28515625" style="20"/>
    <col min="4088" max="4088" width="8.7109375" style="20" customWidth="1"/>
    <col min="4089" max="4089" width="9.71093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7109375" style="20" customWidth="1"/>
    <col min="4096" max="4096" width="11.28515625" style="20" customWidth="1"/>
    <col min="4097" max="4097" width="2.7109375" style="20" customWidth="1"/>
    <col min="4098" max="4098" width="3.5703125" style="20" customWidth="1"/>
    <col min="4099" max="4343" width="9.28515625" style="20"/>
    <col min="4344" max="4344" width="8.7109375" style="20" customWidth="1"/>
    <col min="4345" max="4345" width="9.71093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7109375" style="20" customWidth="1"/>
    <col min="4352" max="4352" width="11.28515625" style="20" customWidth="1"/>
    <col min="4353" max="4353" width="2.7109375" style="20" customWidth="1"/>
    <col min="4354" max="4354" width="3.5703125" style="20" customWidth="1"/>
    <col min="4355" max="4599" width="9.28515625" style="20"/>
    <col min="4600" max="4600" width="8.7109375" style="20" customWidth="1"/>
    <col min="4601" max="4601" width="9.71093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7109375" style="20" customWidth="1"/>
    <col min="4608" max="4608" width="11.28515625" style="20" customWidth="1"/>
    <col min="4609" max="4609" width="2.7109375" style="20" customWidth="1"/>
    <col min="4610" max="4610" width="3.5703125" style="20" customWidth="1"/>
    <col min="4611" max="4855" width="9.28515625" style="20"/>
    <col min="4856" max="4856" width="8.7109375" style="20" customWidth="1"/>
    <col min="4857" max="4857" width="9.71093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7109375" style="20" customWidth="1"/>
    <col min="4864" max="4864" width="11.28515625" style="20" customWidth="1"/>
    <col min="4865" max="4865" width="2.7109375" style="20" customWidth="1"/>
    <col min="4866" max="4866" width="3.5703125" style="20" customWidth="1"/>
    <col min="4867" max="5111" width="9.28515625" style="20"/>
    <col min="5112" max="5112" width="8.7109375" style="20" customWidth="1"/>
    <col min="5113" max="5113" width="9.71093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7109375" style="20" customWidth="1"/>
    <col min="5120" max="5120" width="11.28515625" style="20" customWidth="1"/>
    <col min="5121" max="5121" width="2.7109375" style="20" customWidth="1"/>
    <col min="5122" max="5122" width="3.5703125" style="20" customWidth="1"/>
    <col min="5123" max="5367" width="9.28515625" style="20"/>
    <col min="5368" max="5368" width="8.7109375" style="20" customWidth="1"/>
    <col min="5369" max="5369" width="9.71093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7109375" style="20" customWidth="1"/>
    <col min="5376" max="5376" width="11.28515625" style="20" customWidth="1"/>
    <col min="5377" max="5377" width="2.7109375" style="20" customWidth="1"/>
    <col min="5378" max="5378" width="3.5703125" style="20" customWidth="1"/>
    <col min="5379" max="5623" width="9.28515625" style="20"/>
    <col min="5624" max="5624" width="8.7109375" style="20" customWidth="1"/>
    <col min="5625" max="5625" width="9.71093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7109375" style="20" customWidth="1"/>
    <col min="5632" max="5632" width="11.28515625" style="20" customWidth="1"/>
    <col min="5633" max="5633" width="2.7109375" style="20" customWidth="1"/>
    <col min="5634" max="5634" width="3.5703125" style="20" customWidth="1"/>
    <col min="5635" max="5879" width="9.28515625" style="20"/>
    <col min="5880" max="5880" width="8.7109375" style="20" customWidth="1"/>
    <col min="5881" max="5881" width="9.71093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7109375" style="20" customWidth="1"/>
    <col min="5888" max="5888" width="11.28515625" style="20" customWidth="1"/>
    <col min="5889" max="5889" width="2.7109375" style="20" customWidth="1"/>
    <col min="5890" max="5890" width="3.5703125" style="20" customWidth="1"/>
    <col min="5891" max="6135" width="9.28515625" style="20"/>
    <col min="6136" max="6136" width="8.7109375" style="20" customWidth="1"/>
    <col min="6137" max="6137" width="9.71093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7109375" style="20" customWidth="1"/>
    <col min="6144" max="6144" width="11.28515625" style="20" customWidth="1"/>
    <col min="6145" max="6145" width="2.7109375" style="20" customWidth="1"/>
    <col min="6146" max="6146" width="3.5703125" style="20" customWidth="1"/>
    <col min="6147" max="6391" width="9.28515625" style="20"/>
    <col min="6392" max="6392" width="8.7109375" style="20" customWidth="1"/>
    <col min="6393" max="6393" width="9.71093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7109375" style="20" customWidth="1"/>
    <col min="6400" max="6400" width="11.28515625" style="20" customWidth="1"/>
    <col min="6401" max="6401" width="2.7109375" style="20" customWidth="1"/>
    <col min="6402" max="6402" width="3.5703125" style="20" customWidth="1"/>
    <col min="6403" max="6647" width="9.28515625" style="20"/>
    <col min="6648" max="6648" width="8.7109375" style="20" customWidth="1"/>
    <col min="6649" max="6649" width="9.71093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7109375" style="20" customWidth="1"/>
    <col min="6656" max="6656" width="11.28515625" style="20" customWidth="1"/>
    <col min="6657" max="6657" width="2.7109375" style="20" customWidth="1"/>
    <col min="6658" max="6658" width="3.5703125" style="20" customWidth="1"/>
    <col min="6659" max="6903" width="9.28515625" style="20"/>
    <col min="6904" max="6904" width="8.7109375" style="20" customWidth="1"/>
    <col min="6905" max="6905" width="9.71093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7109375" style="20" customWidth="1"/>
    <col min="6912" max="6912" width="11.28515625" style="20" customWidth="1"/>
    <col min="6913" max="6913" width="2.7109375" style="20" customWidth="1"/>
    <col min="6914" max="6914" width="3.5703125" style="20" customWidth="1"/>
    <col min="6915" max="7159" width="9.28515625" style="20"/>
    <col min="7160" max="7160" width="8.7109375" style="20" customWidth="1"/>
    <col min="7161" max="7161" width="9.71093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7109375" style="20" customWidth="1"/>
    <col min="7168" max="7168" width="11.28515625" style="20" customWidth="1"/>
    <col min="7169" max="7169" width="2.7109375" style="20" customWidth="1"/>
    <col min="7170" max="7170" width="3.5703125" style="20" customWidth="1"/>
    <col min="7171" max="7415" width="9.28515625" style="20"/>
    <col min="7416" max="7416" width="8.7109375" style="20" customWidth="1"/>
    <col min="7417" max="7417" width="9.71093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7109375" style="20" customWidth="1"/>
    <col min="7424" max="7424" width="11.28515625" style="20" customWidth="1"/>
    <col min="7425" max="7425" width="2.7109375" style="20" customWidth="1"/>
    <col min="7426" max="7426" width="3.5703125" style="20" customWidth="1"/>
    <col min="7427" max="7671" width="9.28515625" style="20"/>
    <col min="7672" max="7672" width="8.7109375" style="20" customWidth="1"/>
    <col min="7673" max="7673" width="9.71093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7109375" style="20" customWidth="1"/>
    <col min="7680" max="7680" width="11.28515625" style="20" customWidth="1"/>
    <col min="7681" max="7681" width="2.7109375" style="20" customWidth="1"/>
    <col min="7682" max="7682" width="3.5703125" style="20" customWidth="1"/>
    <col min="7683" max="7927" width="9.28515625" style="20"/>
    <col min="7928" max="7928" width="8.7109375" style="20" customWidth="1"/>
    <col min="7929" max="7929" width="9.71093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7109375" style="20" customWidth="1"/>
    <col min="7936" max="7936" width="11.28515625" style="20" customWidth="1"/>
    <col min="7937" max="7937" width="2.7109375" style="20" customWidth="1"/>
    <col min="7938" max="7938" width="3.5703125" style="20" customWidth="1"/>
    <col min="7939" max="8183" width="9.28515625" style="20"/>
    <col min="8184" max="8184" width="8.7109375" style="20" customWidth="1"/>
    <col min="8185" max="8185" width="9.71093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7109375" style="20" customWidth="1"/>
    <col min="8192" max="8192" width="11.28515625" style="20" customWidth="1"/>
    <col min="8193" max="8193" width="2.7109375" style="20" customWidth="1"/>
    <col min="8194" max="8194" width="3.5703125" style="20" customWidth="1"/>
    <col min="8195" max="8439" width="9.28515625" style="20"/>
    <col min="8440" max="8440" width="8.7109375" style="20" customWidth="1"/>
    <col min="8441" max="8441" width="9.71093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7109375" style="20" customWidth="1"/>
    <col min="8448" max="8448" width="11.28515625" style="20" customWidth="1"/>
    <col min="8449" max="8449" width="2.7109375" style="20" customWidth="1"/>
    <col min="8450" max="8450" width="3.5703125" style="20" customWidth="1"/>
    <col min="8451" max="8695" width="9.28515625" style="20"/>
    <col min="8696" max="8696" width="8.7109375" style="20" customWidth="1"/>
    <col min="8697" max="8697" width="9.71093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7109375" style="20" customWidth="1"/>
    <col min="8704" max="8704" width="11.28515625" style="20" customWidth="1"/>
    <col min="8705" max="8705" width="2.7109375" style="20" customWidth="1"/>
    <col min="8706" max="8706" width="3.5703125" style="20" customWidth="1"/>
    <col min="8707" max="8951" width="9.28515625" style="20"/>
    <col min="8952" max="8952" width="8.7109375" style="20" customWidth="1"/>
    <col min="8953" max="8953" width="9.71093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7109375" style="20" customWidth="1"/>
    <col min="8960" max="8960" width="11.28515625" style="20" customWidth="1"/>
    <col min="8961" max="8961" width="2.7109375" style="20" customWidth="1"/>
    <col min="8962" max="8962" width="3.5703125" style="20" customWidth="1"/>
    <col min="8963" max="9207" width="9.28515625" style="20"/>
    <col min="9208" max="9208" width="8.7109375" style="20" customWidth="1"/>
    <col min="9209" max="9209" width="9.71093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7109375" style="20" customWidth="1"/>
    <col min="9216" max="9216" width="11.28515625" style="20" customWidth="1"/>
    <col min="9217" max="9217" width="2.7109375" style="20" customWidth="1"/>
    <col min="9218" max="9218" width="3.5703125" style="20" customWidth="1"/>
    <col min="9219" max="9463" width="9.28515625" style="20"/>
    <col min="9464" max="9464" width="8.7109375" style="20" customWidth="1"/>
    <col min="9465" max="9465" width="9.71093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7109375" style="20" customWidth="1"/>
    <col min="9472" max="9472" width="11.28515625" style="20" customWidth="1"/>
    <col min="9473" max="9473" width="2.7109375" style="20" customWidth="1"/>
    <col min="9474" max="9474" width="3.5703125" style="20" customWidth="1"/>
    <col min="9475" max="9719" width="9.28515625" style="20"/>
    <col min="9720" max="9720" width="8.7109375" style="20" customWidth="1"/>
    <col min="9721" max="9721" width="9.71093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7109375" style="20" customWidth="1"/>
    <col min="9728" max="9728" width="11.28515625" style="20" customWidth="1"/>
    <col min="9729" max="9729" width="2.7109375" style="20" customWidth="1"/>
    <col min="9730" max="9730" width="3.5703125" style="20" customWidth="1"/>
    <col min="9731" max="9975" width="9.28515625" style="20"/>
    <col min="9976" max="9976" width="8.7109375" style="20" customWidth="1"/>
    <col min="9977" max="9977" width="9.71093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7109375" style="20" customWidth="1"/>
    <col min="9984" max="9984" width="11.28515625" style="20" customWidth="1"/>
    <col min="9985" max="9985" width="2.7109375" style="20" customWidth="1"/>
    <col min="9986" max="9986" width="3.5703125" style="20" customWidth="1"/>
    <col min="9987" max="10231" width="9.28515625" style="20"/>
    <col min="10232" max="10232" width="8.7109375" style="20" customWidth="1"/>
    <col min="10233" max="10233" width="9.71093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7109375" style="20" customWidth="1"/>
    <col min="10240" max="10240" width="11.28515625" style="20" customWidth="1"/>
    <col min="10241" max="10241" width="2.7109375" style="20" customWidth="1"/>
    <col min="10242" max="10242" width="3.5703125" style="20" customWidth="1"/>
    <col min="10243" max="10487" width="9.28515625" style="20"/>
    <col min="10488" max="10488" width="8.7109375" style="20" customWidth="1"/>
    <col min="10489" max="10489" width="9.71093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7109375" style="20" customWidth="1"/>
    <col min="10496" max="10496" width="11.28515625" style="20" customWidth="1"/>
    <col min="10497" max="10497" width="2.7109375" style="20" customWidth="1"/>
    <col min="10498" max="10498" width="3.5703125" style="20" customWidth="1"/>
    <col min="10499" max="10743" width="9.28515625" style="20"/>
    <col min="10744" max="10744" width="8.7109375" style="20" customWidth="1"/>
    <col min="10745" max="10745" width="9.71093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7109375" style="20" customWidth="1"/>
    <col min="10752" max="10752" width="11.28515625" style="20" customWidth="1"/>
    <col min="10753" max="10753" width="2.7109375" style="20" customWidth="1"/>
    <col min="10754" max="10754" width="3.5703125" style="20" customWidth="1"/>
    <col min="10755" max="10999" width="9.28515625" style="20"/>
    <col min="11000" max="11000" width="8.7109375" style="20" customWidth="1"/>
    <col min="11001" max="11001" width="9.71093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7109375" style="20" customWidth="1"/>
    <col min="11008" max="11008" width="11.28515625" style="20" customWidth="1"/>
    <col min="11009" max="11009" width="2.7109375" style="20" customWidth="1"/>
    <col min="11010" max="11010" width="3.5703125" style="20" customWidth="1"/>
    <col min="11011" max="11255" width="9.28515625" style="20"/>
    <col min="11256" max="11256" width="8.7109375" style="20" customWidth="1"/>
    <col min="11257" max="11257" width="9.71093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7109375" style="20" customWidth="1"/>
    <col min="11264" max="11264" width="11.28515625" style="20" customWidth="1"/>
    <col min="11265" max="11265" width="2.7109375" style="20" customWidth="1"/>
    <col min="11266" max="11266" width="3.5703125" style="20" customWidth="1"/>
    <col min="11267" max="11511" width="9.28515625" style="20"/>
    <col min="11512" max="11512" width="8.7109375" style="20" customWidth="1"/>
    <col min="11513" max="11513" width="9.71093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7109375" style="20" customWidth="1"/>
    <col min="11520" max="11520" width="11.28515625" style="20" customWidth="1"/>
    <col min="11521" max="11521" width="2.7109375" style="20" customWidth="1"/>
    <col min="11522" max="11522" width="3.5703125" style="20" customWidth="1"/>
    <col min="11523" max="11767" width="9.28515625" style="20"/>
    <col min="11768" max="11768" width="8.7109375" style="20" customWidth="1"/>
    <col min="11769" max="11769" width="9.71093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7109375" style="20" customWidth="1"/>
    <col min="11776" max="11776" width="11.28515625" style="20" customWidth="1"/>
    <col min="11777" max="11777" width="2.7109375" style="20" customWidth="1"/>
    <col min="11778" max="11778" width="3.5703125" style="20" customWidth="1"/>
    <col min="11779" max="12023" width="9.28515625" style="20"/>
    <col min="12024" max="12024" width="8.7109375" style="20" customWidth="1"/>
    <col min="12025" max="12025" width="9.71093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7109375" style="20" customWidth="1"/>
    <col min="12032" max="12032" width="11.28515625" style="20" customWidth="1"/>
    <col min="12033" max="12033" width="2.7109375" style="20" customWidth="1"/>
    <col min="12034" max="12034" width="3.5703125" style="20" customWidth="1"/>
    <col min="12035" max="12279" width="9.28515625" style="20"/>
    <col min="12280" max="12280" width="8.7109375" style="20" customWidth="1"/>
    <col min="12281" max="12281" width="9.71093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7109375" style="20" customWidth="1"/>
    <col min="12288" max="12288" width="11.28515625" style="20" customWidth="1"/>
    <col min="12289" max="12289" width="2.7109375" style="20" customWidth="1"/>
    <col min="12290" max="12290" width="3.5703125" style="20" customWidth="1"/>
    <col min="12291" max="12535" width="9.28515625" style="20"/>
    <col min="12536" max="12536" width="8.7109375" style="20" customWidth="1"/>
    <col min="12537" max="12537" width="9.71093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7109375" style="20" customWidth="1"/>
    <col min="12544" max="12544" width="11.28515625" style="20" customWidth="1"/>
    <col min="12545" max="12545" width="2.7109375" style="20" customWidth="1"/>
    <col min="12546" max="12546" width="3.5703125" style="20" customWidth="1"/>
    <col min="12547" max="12791" width="9.28515625" style="20"/>
    <col min="12792" max="12792" width="8.7109375" style="20" customWidth="1"/>
    <col min="12793" max="12793" width="9.71093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7109375" style="20" customWidth="1"/>
    <col min="12800" max="12800" width="11.28515625" style="20" customWidth="1"/>
    <col min="12801" max="12801" width="2.7109375" style="20" customWidth="1"/>
    <col min="12802" max="12802" width="3.5703125" style="20" customWidth="1"/>
    <col min="12803" max="13047" width="9.28515625" style="20"/>
    <col min="13048" max="13048" width="8.7109375" style="20" customWidth="1"/>
    <col min="13049" max="13049" width="9.71093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7109375" style="20" customWidth="1"/>
    <col min="13056" max="13056" width="11.28515625" style="20" customWidth="1"/>
    <col min="13057" max="13057" width="2.7109375" style="20" customWidth="1"/>
    <col min="13058" max="13058" width="3.5703125" style="20" customWidth="1"/>
    <col min="13059" max="13303" width="9.28515625" style="20"/>
    <col min="13304" max="13304" width="8.7109375" style="20" customWidth="1"/>
    <col min="13305" max="13305" width="9.71093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7109375" style="20" customWidth="1"/>
    <col min="13312" max="13312" width="11.28515625" style="20" customWidth="1"/>
    <col min="13313" max="13313" width="2.7109375" style="20" customWidth="1"/>
    <col min="13314" max="13314" width="3.5703125" style="20" customWidth="1"/>
    <col min="13315" max="13559" width="9.28515625" style="20"/>
    <col min="13560" max="13560" width="8.7109375" style="20" customWidth="1"/>
    <col min="13561" max="13561" width="9.71093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7109375" style="20" customWidth="1"/>
    <col min="13568" max="13568" width="11.28515625" style="20" customWidth="1"/>
    <col min="13569" max="13569" width="2.7109375" style="20" customWidth="1"/>
    <col min="13570" max="13570" width="3.5703125" style="20" customWidth="1"/>
    <col min="13571" max="13815" width="9.28515625" style="20"/>
    <col min="13816" max="13816" width="8.7109375" style="20" customWidth="1"/>
    <col min="13817" max="13817" width="9.71093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7109375" style="20" customWidth="1"/>
    <col min="13824" max="13824" width="11.28515625" style="20" customWidth="1"/>
    <col min="13825" max="13825" width="2.7109375" style="20" customWidth="1"/>
    <col min="13826" max="13826" width="3.5703125" style="20" customWidth="1"/>
    <col min="13827" max="14071" width="9.28515625" style="20"/>
    <col min="14072" max="14072" width="8.7109375" style="20" customWidth="1"/>
    <col min="14073" max="14073" width="9.71093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7109375" style="20" customWidth="1"/>
    <col min="14080" max="14080" width="11.28515625" style="20" customWidth="1"/>
    <col min="14081" max="14081" width="2.7109375" style="20" customWidth="1"/>
    <col min="14082" max="14082" width="3.5703125" style="20" customWidth="1"/>
    <col min="14083" max="14327" width="9.28515625" style="20"/>
    <col min="14328" max="14328" width="8.7109375" style="20" customWidth="1"/>
    <col min="14329" max="14329" width="9.71093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7109375" style="20" customWidth="1"/>
    <col min="14336" max="14336" width="11.28515625" style="20" customWidth="1"/>
    <col min="14337" max="14337" width="2.7109375" style="20" customWidth="1"/>
    <col min="14338" max="14338" width="3.5703125" style="20" customWidth="1"/>
    <col min="14339" max="14583" width="9.28515625" style="20"/>
    <col min="14584" max="14584" width="8.7109375" style="20" customWidth="1"/>
    <col min="14585" max="14585" width="9.71093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7109375" style="20" customWidth="1"/>
    <col min="14592" max="14592" width="11.28515625" style="20" customWidth="1"/>
    <col min="14593" max="14593" width="2.7109375" style="20" customWidth="1"/>
    <col min="14594" max="14594" width="3.5703125" style="20" customWidth="1"/>
    <col min="14595" max="14839" width="9.28515625" style="20"/>
    <col min="14840" max="14840" width="8.7109375" style="20" customWidth="1"/>
    <col min="14841" max="14841" width="9.71093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7109375" style="20" customWidth="1"/>
    <col min="14848" max="14848" width="11.28515625" style="20" customWidth="1"/>
    <col min="14849" max="14849" width="2.7109375" style="20" customWidth="1"/>
    <col min="14850" max="14850" width="3.5703125" style="20" customWidth="1"/>
    <col min="14851" max="15095" width="9.28515625" style="20"/>
    <col min="15096" max="15096" width="8.7109375" style="20" customWidth="1"/>
    <col min="15097" max="15097" width="9.71093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7109375" style="20" customWidth="1"/>
    <col min="15104" max="15104" width="11.28515625" style="20" customWidth="1"/>
    <col min="15105" max="15105" width="2.7109375" style="20" customWidth="1"/>
    <col min="15106" max="15106" width="3.5703125" style="20" customWidth="1"/>
    <col min="15107" max="15351" width="9.28515625" style="20"/>
    <col min="15352" max="15352" width="8.7109375" style="20" customWidth="1"/>
    <col min="15353" max="15353" width="9.71093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7109375" style="20" customWidth="1"/>
    <col min="15360" max="15360" width="11.28515625" style="20" customWidth="1"/>
    <col min="15361" max="15361" width="2.7109375" style="20" customWidth="1"/>
    <col min="15362" max="15362" width="3.5703125" style="20" customWidth="1"/>
    <col min="15363" max="15607" width="9.28515625" style="20"/>
    <col min="15608" max="15608" width="8.7109375" style="20" customWidth="1"/>
    <col min="15609" max="15609" width="9.71093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7109375" style="20" customWidth="1"/>
    <col min="15616" max="15616" width="11.28515625" style="20" customWidth="1"/>
    <col min="15617" max="15617" width="2.7109375" style="20" customWidth="1"/>
    <col min="15618" max="15618" width="3.5703125" style="20" customWidth="1"/>
    <col min="15619" max="15863" width="9.28515625" style="20"/>
    <col min="15864" max="15864" width="8.7109375" style="20" customWidth="1"/>
    <col min="15865" max="15865" width="9.71093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7109375" style="20" customWidth="1"/>
    <col min="15872" max="15872" width="11.28515625" style="20" customWidth="1"/>
    <col min="15873" max="15873" width="2.7109375" style="20" customWidth="1"/>
    <col min="15874" max="15874" width="3.5703125" style="20" customWidth="1"/>
    <col min="15875" max="16119" width="9.28515625" style="20"/>
    <col min="16120" max="16120" width="8.7109375" style="20" customWidth="1"/>
    <col min="16121" max="16121" width="9.71093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7109375" style="20" customWidth="1"/>
    <col min="16128" max="16128" width="11.28515625" style="20" customWidth="1"/>
    <col min="16129" max="16129" width="2.7109375" style="20" customWidth="1"/>
    <col min="16130" max="16130" width="3.5703125" style="20" customWidth="1"/>
    <col min="16131" max="16384" width="9.28515625" style="20"/>
  </cols>
  <sheetData>
    <row r="1" spans="1:26" ht="46.5" customHeight="1" x14ac:dyDescent="0.25">
      <c r="A1" s="186" t="s">
        <v>161</v>
      </c>
      <c r="B1" s="186"/>
      <c r="C1" s="186"/>
      <c r="D1" s="186"/>
      <c r="E1" s="186"/>
      <c r="F1" s="186"/>
      <c r="G1" s="186"/>
      <c r="H1" s="186"/>
    </row>
    <row r="2" spans="1:26" ht="16.5" customHeight="1" x14ac:dyDescent="0.25">
      <c r="A2" s="187" t="s">
        <v>0</v>
      </c>
      <c r="B2" s="187"/>
      <c r="C2" s="187"/>
      <c r="D2" s="187"/>
      <c r="E2" s="187"/>
      <c r="F2" s="187"/>
      <c r="G2" s="187"/>
      <c r="H2" s="187"/>
    </row>
    <row r="3" spans="1:26" x14ac:dyDescent="0.25">
      <c r="A3" s="114" t="s">
        <v>1</v>
      </c>
      <c r="B3" s="114"/>
      <c r="C3" s="114"/>
      <c r="D3" s="114"/>
      <c r="E3" s="114" t="str">
        <f ca="1">TEXT(TODAY(),"DD/MM/YYYY")</f>
        <v>03/09/2025</v>
      </c>
      <c r="F3" s="114"/>
      <c r="G3" s="114"/>
      <c r="H3" s="114"/>
      <c r="K3" s="55" t="s">
        <v>234</v>
      </c>
      <c r="L3" s="52" t="s">
        <v>232</v>
      </c>
      <c r="M3" s="52" t="s">
        <v>237</v>
      </c>
      <c r="N3" s="52" t="s">
        <v>235</v>
      </c>
      <c r="O3" s="52" t="s">
        <v>236</v>
      </c>
      <c r="P3" s="52" t="s">
        <v>238</v>
      </c>
    </row>
    <row r="4" spans="1:26" ht="15" customHeight="1" x14ac:dyDescent="0.25">
      <c r="A4" s="114" t="s">
        <v>231</v>
      </c>
      <c r="B4" s="114"/>
      <c r="C4" s="114"/>
      <c r="D4" s="114"/>
      <c r="E4" s="188" t="s">
        <v>232</v>
      </c>
      <c r="F4" s="188"/>
      <c r="G4" s="188"/>
      <c r="H4" s="188"/>
      <c r="K4" s="51" t="s">
        <v>233</v>
      </c>
      <c r="L4" s="52" t="s">
        <v>167</v>
      </c>
      <c r="M4" s="52" t="s">
        <v>242</v>
      </c>
      <c r="N4" s="52" t="s">
        <v>244</v>
      </c>
      <c r="O4" s="52" t="s">
        <v>246</v>
      </c>
      <c r="P4" s="52"/>
    </row>
    <row r="5" spans="1:26" ht="15" customHeight="1" x14ac:dyDescent="0.25">
      <c r="A5" s="114" t="s">
        <v>2</v>
      </c>
      <c r="B5" s="114"/>
      <c r="C5" s="114"/>
      <c r="D5" s="114"/>
      <c r="E5" s="188" t="s">
        <v>239</v>
      </c>
      <c r="F5" s="188"/>
      <c r="G5" s="188"/>
      <c r="H5" s="188"/>
      <c r="K5" s="51"/>
      <c r="L5" s="52" t="s">
        <v>239</v>
      </c>
      <c r="M5" s="52" t="s">
        <v>243</v>
      </c>
      <c r="N5" s="52" t="s">
        <v>245</v>
      </c>
      <c r="O5" s="52" t="s">
        <v>247</v>
      </c>
      <c r="P5" s="52"/>
    </row>
    <row r="6" spans="1:26" x14ac:dyDescent="0.25">
      <c r="A6" s="114" t="s">
        <v>3</v>
      </c>
      <c r="B6" s="114"/>
      <c r="C6" s="114"/>
      <c r="D6" s="114"/>
      <c r="E6" s="189">
        <v>45881</v>
      </c>
      <c r="F6" s="114"/>
      <c r="G6" s="114"/>
      <c r="H6" s="114"/>
      <c r="K6" s="51"/>
      <c r="L6" s="52" t="s">
        <v>240</v>
      </c>
      <c r="M6" s="52"/>
      <c r="N6" s="52"/>
      <c r="O6" s="52" t="s">
        <v>248</v>
      </c>
      <c r="P6" s="52"/>
    </row>
    <row r="7" spans="1:26" ht="16.5" customHeight="1" x14ac:dyDescent="0.25">
      <c r="A7" s="114" t="s">
        <v>4</v>
      </c>
      <c r="B7" s="114"/>
      <c r="C7" s="114"/>
      <c r="D7" s="114"/>
      <c r="E7" s="114" t="s">
        <v>280</v>
      </c>
      <c r="F7" s="114"/>
      <c r="G7" s="114"/>
      <c r="H7" s="114"/>
      <c r="K7" s="51"/>
      <c r="L7" s="52" t="s">
        <v>241</v>
      </c>
      <c r="M7" s="52"/>
      <c r="N7" s="52"/>
      <c r="O7" s="52" t="s">
        <v>248</v>
      </c>
      <c r="P7" s="52"/>
    </row>
    <row r="8" spans="1:26" ht="15" customHeight="1" x14ac:dyDescent="0.25">
      <c r="A8" s="114" t="s">
        <v>5</v>
      </c>
      <c r="B8" s="114"/>
      <c r="C8" s="114"/>
      <c r="D8" s="114"/>
      <c r="E8" s="114" t="str">
        <f>E7</f>
        <v>Adrika Developers Private Limited</v>
      </c>
      <c r="F8" s="114"/>
      <c r="G8" s="114"/>
      <c r="H8" s="114"/>
      <c r="K8" s="51"/>
      <c r="L8" s="52"/>
      <c r="M8" s="52"/>
      <c r="N8" s="52"/>
      <c r="O8" s="52" t="s">
        <v>249</v>
      </c>
      <c r="P8" s="52"/>
    </row>
    <row r="9" spans="1:26" ht="30.75" customHeight="1" x14ac:dyDescent="0.25">
      <c r="A9" s="114" t="s">
        <v>6</v>
      </c>
      <c r="B9" s="114"/>
      <c r="C9" s="114"/>
      <c r="D9" s="114"/>
      <c r="E9" s="82" t="s">
        <v>279</v>
      </c>
      <c r="F9" s="82"/>
      <c r="G9" s="82"/>
      <c r="H9" s="82"/>
      <c r="K9" s="51"/>
      <c r="L9" s="52"/>
      <c r="M9" s="52"/>
      <c r="N9" s="52"/>
      <c r="O9" s="52" t="s">
        <v>250</v>
      </c>
      <c r="P9" s="52"/>
    </row>
    <row r="10" spans="1:26" ht="33" customHeight="1" x14ac:dyDescent="0.25">
      <c r="A10" s="114" t="s">
        <v>164</v>
      </c>
      <c r="B10" s="114"/>
      <c r="C10" s="114"/>
      <c r="D10" s="114"/>
      <c r="E10" s="113" t="s">
        <v>346</v>
      </c>
      <c r="F10" s="114"/>
      <c r="G10" s="114"/>
      <c r="H10" s="114"/>
      <c r="K10" s="51"/>
      <c r="L10" s="52"/>
      <c r="M10" s="52"/>
      <c r="N10" s="52"/>
      <c r="O10" s="52"/>
      <c r="P10" s="52"/>
    </row>
    <row r="11" spans="1:26" x14ac:dyDescent="0.25">
      <c r="A11" s="114" t="s">
        <v>165</v>
      </c>
      <c r="B11" s="114"/>
      <c r="C11" s="114"/>
      <c r="D11" s="114"/>
      <c r="E11" s="114" t="s">
        <v>338</v>
      </c>
      <c r="F11" s="114"/>
      <c r="G11" s="114"/>
      <c r="H11" s="114"/>
    </row>
    <row r="12" spans="1:26" ht="52.5" customHeight="1" x14ac:dyDescent="0.25">
      <c r="A12" s="194" t="s">
        <v>7</v>
      </c>
      <c r="B12" s="195"/>
      <c r="C12" s="195"/>
      <c r="D12" s="196"/>
      <c r="E12" s="69" t="s">
        <v>348</v>
      </c>
      <c r="F12" s="203" t="s">
        <v>363</v>
      </c>
      <c r="G12" s="204"/>
      <c r="H12" s="205"/>
    </row>
    <row r="13" spans="1:26" ht="48" customHeight="1" x14ac:dyDescent="0.25">
      <c r="A13" s="197"/>
      <c r="B13" s="198"/>
      <c r="C13" s="198"/>
      <c r="D13" s="199"/>
      <c r="E13" s="69" t="s">
        <v>347</v>
      </c>
      <c r="F13" s="206" t="s">
        <v>364</v>
      </c>
      <c r="G13" s="207"/>
      <c r="H13" s="208"/>
      <c r="S13" s="52" t="s">
        <v>175</v>
      </c>
      <c r="T13" s="52" t="s">
        <v>185</v>
      </c>
      <c r="U13" s="52" t="s">
        <v>169</v>
      </c>
      <c r="V13" s="52" t="s">
        <v>190</v>
      </c>
      <c r="W13" s="52" t="s">
        <v>208</v>
      </c>
      <c r="X13"/>
      <c r="Y13" t="s">
        <v>190</v>
      </c>
      <c r="Z13" t="e">
        <f ca="1">OFFSET($S$13,1,MATCH($G24,$S$13:$W$13,0)-1,15,1)</f>
        <v>#VALUE!</v>
      </c>
    </row>
    <row r="14" spans="1:26" ht="49.5" customHeight="1" x14ac:dyDescent="0.25">
      <c r="A14" s="200"/>
      <c r="B14" s="201"/>
      <c r="C14" s="201"/>
      <c r="D14" s="202"/>
      <c r="E14" s="69" t="s">
        <v>349</v>
      </c>
      <c r="F14" s="209" t="s">
        <v>365</v>
      </c>
      <c r="G14" s="210"/>
      <c r="H14" s="211"/>
      <c r="S14" s="52"/>
      <c r="T14" s="52"/>
      <c r="U14" s="52"/>
      <c r="V14" s="52"/>
      <c r="W14" s="52"/>
      <c r="X14"/>
      <c r="Y14"/>
      <c r="Z14"/>
    </row>
    <row r="15" spans="1:26" x14ac:dyDescent="0.25">
      <c r="A15" s="114" t="s">
        <v>168</v>
      </c>
      <c r="B15" s="114"/>
      <c r="C15" s="114"/>
      <c r="D15" s="114"/>
      <c r="E15" s="191" t="s">
        <v>27</v>
      </c>
      <c r="F15" s="192"/>
      <c r="G15" s="192"/>
      <c r="H15" s="193"/>
      <c r="S15" s="52"/>
      <c r="T15" s="52"/>
      <c r="U15" s="52"/>
      <c r="V15" s="52"/>
      <c r="W15" s="52"/>
      <c r="X15"/>
      <c r="Y15"/>
      <c r="Z15"/>
    </row>
    <row r="16" spans="1:26" x14ac:dyDescent="0.25">
      <c r="A16" s="91" t="s">
        <v>277</v>
      </c>
      <c r="B16" s="91"/>
      <c r="C16" s="91"/>
      <c r="D16" s="91"/>
      <c r="E16" s="190" t="s">
        <v>223</v>
      </c>
      <c r="F16" s="190"/>
      <c r="G16" s="190"/>
      <c r="H16" s="190"/>
      <c r="S16" s="52" t="s">
        <v>176</v>
      </c>
      <c r="T16" s="52" t="s">
        <v>183</v>
      </c>
      <c r="U16" s="52" t="s">
        <v>205</v>
      </c>
      <c r="V16" s="52" t="s">
        <v>191</v>
      </c>
      <c r="W16" s="52" t="s">
        <v>209</v>
      </c>
      <c r="X16"/>
      <c r="Y16"/>
      <c r="Z16"/>
    </row>
    <row r="17" spans="1:26" ht="57.75" customHeight="1" x14ac:dyDescent="0.25">
      <c r="A17" s="212" t="s">
        <v>353</v>
      </c>
      <c r="B17" s="213"/>
      <c r="C17" s="213"/>
      <c r="D17" s="214"/>
      <c r="E17" s="72" t="s">
        <v>358</v>
      </c>
      <c r="F17" s="221"/>
      <c r="G17" s="72" t="s">
        <v>354</v>
      </c>
      <c r="H17" s="73"/>
      <c r="I17" s="86" t="e">
        <f ca="1">OFFSET($D$5,1,MATCH($J13,$D$5:$H$5,0)-1,15,1)</f>
        <v>#N/A</v>
      </c>
      <c r="J17" s="87"/>
      <c r="K17" s="87"/>
      <c r="L17" s="87"/>
      <c r="M17" s="87"/>
      <c r="N17" s="87"/>
      <c r="O17" s="87"/>
      <c r="P17" s="87"/>
      <c r="S17" s="52" t="s">
        <v>177</v>
      </c>
      <c r="T17" s="52" t="s">
        <v>184</v>
      </c>
      <c r="U17" s="52" t="s">
        <v>206</v>
      </c>
      <c r="V17" s="52" t="s">
        <v>192</v>
      </c>
      <c r="W17" s="52" t="s">
        <v>222</v>
      </c>
      <c r="X17"/>
      <c r="Y17"/>
      <c r="Z17"/>
    </row>
    <row r="18" spans="1:26" ht="51.75" customHeight="1" x14ac:dyDescent="0.25">
      <c r="A18" s="215"/>
      <c r="B18" s="216"/>
      <c r="C18" s="216"/>
      <c r="D18" s="217"/>
      <c r="E18" s="74" t="s">
        <v>357</v>
      </c>
      <c r="F18" s="75"/>
      <c r="G18" s="72" t="s">
        <v>355</v>
      </c>
      <c r="H18" s="73"/>
      <c r="I18" s="71"/>
      <c r="J18" s="70"/>
      <c r="K18" s="70"/>
      <c r="L18" s="70"/>
      <c r="M18" s="70"/>
      <c r="N18" s="70"/>
      <c r="O18" s="70"/>
      <c r="P18" s="70"/>
      <c r="S18" s="52"/>
      <c r="T18" s="52"/>
      <c r="U18" s="52"/>
      <c r="V18" s="52"/>
      <c r="W18" s="52"/>
      <c r="X18"/>
      <c r="Y18"/>
      <c r="Z18"/>
    </row>
    <row r="19" spans="1:26" ht="51.75" customHeight="1" x14ac:dyDescent="0.25">
      <c r="A19" s="218"/>
      <c r="B19" s="219"/>
      <c r="C19" s="219"/>
      <c r="D19" s="220"/>
      <c r="E19" s="74" t="s">
        <v>359</v>
      </c>
      <c r="F19" s="75"/>
      <c r="G19" s="72" t="s">
        <v>356</v>
      </c>
      <c r="H19" s="73"/>
      <c r="I19" s="71"/>
      <c r="J19" s="70"/>
      <c r="K19" s="70"/>
      <c r="L19" s="70"/>
      <c r="M19" s="70"/>
      <c r="N19" s="70"/>
      <c r="O19" s="70"/>
      <c r="P19" s="70"/>
      <c r="S19" s="52"/>
      <c r="T19" s="52"/>
      <c r="U19" s="52"/>
      <c r="V19" s="52"/>
      <c r="W19" s="52"/>
      <c r="X19"/>
      <c r="Y19"/>
      <c r="Z19"/>
    </row>
    <row r="20" spans="1:26" ht="80.25" customHeight="1" x14ac:dyDescent="0.25">
      <c r="A20" s="98" t="s">
        <v>8</v>
      </c>
      <c r="B20" s="98"/>
      <c r="C20" s="98" t="str">
        <f>CONCATENATE((IF(OR(E9="",E9="NA"),"",E9)),", ",(IF(OR(A21="",A21="NA"),"",A21)),".",(IF(OR(C21="",C21="NA"),"",C21)),", near ",(IF(OR(C26="",C26="NA"),"",C26)),", ",(IF(OR(C23="",C23="NA"),"",C23)),", ",(IF(OR(C22="",C22="NA"),"",C22)),", ",(IF(OR(G23="",G23="NA"),"",G23)),", ",(IF(OR(C24="",C24="NA"),"",C24)),", ",(IF(OR(C25="",C25="NA"),"",C25)),", ",(IF(OR(G24="",G24="NA"),"",G24))," - ",(IF(OR(G25="",G25="NA"),"",G25)),".")</f>
        <v>Dosti Greater Thane - Sector 3A - Cluster 1B - Phase 1, 2 &amp; 3, Survey No.25/2, 25/3, 26/10, 26/13/7, 190, 23/1/C of village Rahanal, S.No.40/7 of Kevani, S.No.151/2/A, 1528/1, 152/2,165/2B, 165/3, 174/5 &amp; others of Purna, S.No.14/3, 15/5, 16/1a, 19/7 to 13 &amp; others of Kopar, near Dosti Delight, Bhiwandi - Wada Road, , Purne, Bhiwandi West, Bhiwandi, Thane  - 421302.</v>
      </c>
      <c r="D20" s="98"/>
      <c r="E20" s="98"/>
      <c r="F20" s="98"/>
      <c r="G20" s="98"/>
      <c r="H20" s="98"/>
      <c r="S20" s="52" t="s">
        <v>178</v>
      </c>
      <c r="T20" s="52" t="s">
        <v>186</v>
      </c>
      <c r="U20" s="52" t="s">
        <v>207</v>
      </c>
      <c r="V20" s="52" t="s">
        <v>193</v>
      </c>
      <c r="W20" s="52" t="s">
        <v>210</v>
      </c>
      <c r="X20"/>
      <c r="Y20"/>
      <c r="Z20"/>
    </row>
    <row r="21" spans="1:26" ht="52.5" customHeight="1" x14ac:dyDescent="0.25">
      <c r="A21" s="190" t="s">
        <v>283</v>
      </c>
      <c r="B21" s="190"/>
      <c r="C21" s="190" t="s">
        <v>282</v>
      </c>
      <c r="D21" s="190"/>
      <c r="E21" s="190"/>
      <c r="F21" s="190"/>
      <c r="G21" s="190"/>
      <c r="H21" s="190"/>
      <c r="S21" s="52" t="s">
        <v>179</v>
      </c>
      <c r="T21" s="52" t="s">
        <v>187</v>
      </c>
      <c r="U21" s="52" t="s">
        <v>169</v>
      </c>
      <c r="V21" s="52" t="s">
        <v>194</v>
      </c>
      <c r="W21" s="52" t="s">
        <v>211</v>
      </c>
      <c r="X21"/>
      <c r="Y21"/>
      <c r="Z21"/>
    </row>
    <row r="22" spans="1:26" ht="15.75" customHeight="1" x14ac:dyDescent="0.25">
      <c r="A22" s="113" t="s">
        <v>159</v>
      </c>
      <c r="B22" s="113"/>
      <c r="C22" s="113" t="s">
        <v>27</v>
      </c>
      <c r="D22" s="113"/>
      <c r="E22" s="113"/>
      <c r="F22" s="113"/>
      <c r="G22" s="113"/>
      <c r="H22" s="113"/>
      <c r="S22" s="52" t="s">
        <v>180</v>
      </c>
      <c r="T22" s="52" t="s">
        <v>185</v>
      </c>
      <c r="U22" s="52"/>
      <c r="V22" s="52" t="s">
        <v>195</v>
      </c>
      <c r="W22" s="52" t="s">
        <v>212</v>
      </c>
      <c r="X22"/>
      <c r="Y22"/>
      <c r="Z22"/>
    </row>
    <row r="23" spans="1:26" ht="15.75" customHeight="1" x14ac:dyDescent="0.25">
      <c r="A23" s="98" t="s">
        <v>9</v>
      </c>
      <c r="B23" s="98"/>
      <c r="C23" s="114" t="s">
        <v>289</v>
      </c>
      <c r="D23" s="114"/>
      <c r="E23" s="98" t="s">
        <v>69</v>
      </c>
      <c r="F23" s="98"/>
      <c r="G23" s="113" t="s">
        <v>284</v>
      </c>
      <c r="H23" s="113"/>
      <c r="S23" s="52" t="s">
        <v>181</v>
      </c>
      <c r="T23" s="52" t="s">
        <v>188</v>
      </c>
      <c r="U23" s="52"/>
      <c r="V23" s="52" t="s">
        <v>196</v>
      </c>
      <c r="W23" s="52" t="s">
        <v>213</v>
      </c>
      <c r="X23"/>
      <c r="Y23"/>
      <c r="Z23"/>
    </row>
    <row r="24" spans="1:26" x14ac:dyDescent="0.25">
      <c r="A24" s="91" t="s">
        <v>11</v>
      </c>
      <c r="B24" s="91"/>
      <c r="C24" s="113" t="s">
        <v>290</v>
      </c>
      <c r="D24" s="113"/>
      <c r="E24" s="98" t="s">
        <v>10</v>
      </c>
      <c r="F24" s="98"/>
      <c r="G24" s="225" t="s">
        <v>175</v>
      </c>
      <c r="H24" s="225"/>
      <c r="S24" s="52" t="s">
        <v>182</v>
      </c>
      <c r="T24" s="52" t="s">
        <v>189</v>
      </c>
      <c r="U24" s="52"/>
      <c r="V24" s="52" t="s">
        <v>197</v>
      </c>
      <c r="W24" s="52" t="s">
        <v>214</v>
      </c>
      <c r="X24"/>
      <c r="Y24"/>
      <c r="Z24"/>
    </row>
    <row r="25" spans="1:26" x14ac:dyDescent="0.25">
      <c r="A25" s="91" t="s">
        <v>70</v>
      </c>
      <c r="B25" s="91"/>
      <c r="C25" s="190" t="s">
        <v>179</v>
      </c>
      <c r="D25" s="190"/>
      <c r="E25" s="190" t="s">
        <v>12</v>
      </c>
      <c r="F25" s="190"/>
      <c r="G25" s="190">
        <v>421302</v>
      </c>
      <c r="H25" s="190"/>
      <c r="S25" s="52"/>
      <c r="T25" s="52"/>
      <c r="U25" s="52"/>
      <c r="V25" s="52" t="s">
        <v>198</v>
      </c>
      <c r="W25" s="52" t="s">
        <v>215</v>
      </c>
      <c r="X25"/>
      <c r="Y25"/>
      <c r="Z25"/>
    </row>
    <row r="26" spans="1:26" ht="32.25" customHeight="1" x14ac:dyDescent="0.25">
      <c r="A26" s="91" t="s">
        <v>119</v>
      </c>
      <c r="B26" s="91"/>
      <c r="C26" s="190" t="s">
        <v>288</v>
      </c>
      <c r="D26" s="190"/>
      <c r="E26" s="190" t="s">
        <v>13</v>
      </c>
      <c r="F26" s="190"/>
      <c r="G26" s="190" t="s">
        <v>287</v>
      </c>
      <c r="H26" s="190"/>
      <c r="S26" s="52"/>
      <c r="T26" s="52"/>
      <c r="U26" s="52"/>
      <c r="V26" s="52" t="s">
        <v>199</v>
      </c>
      <c r="W26" s="52" t="s">
        <v>216</v>
      </c>
      <c r="X26"/>
      <c r="Y26"/>
      <c r="Z26"/>
    </row>
    <row r="27" spans="1:26" ht="15" customHeight="1" x14ac:dyDescent="0.25">
      <c r="A27" s="98" t="s">
        <v>72</v>
      </c>
      <c r="B27" s="98"/>
      <c r="C27" s="98"/>
      <c r="D27" s="98"/>
      <c r="E27" s="114" t="s">
        <v>14</v>
      </c>
      <c r="F27" s="114"/>
      <c r="G27" s="114"/>
      <c r="H27" s="114"/>
      <c r="S27" s="52"/>
      <c r="T27" s="52"/>
      <c r="U27" s="52"/>
      <c r="V27" s="52" t="s">
        <v>200</v>
      </c>
      <c r="W27" s="52" t="s">
        <v>217</v>
      </c>
      <c r="X27"/>
      <c r="Y27"/>
      <c r="Z27"/>
    </row>
    <row r="28" spans="1:26" ht="18.75" customHeight="1" x14ac:dyDescent="0.25">
      <c r="A28" s="98"/>
      <c r="B28" s="98"/>
      <c r="C28" s="98"/>
      <c r="D28" s="98"/>
      <c r="E28" s="114"/>
      <c r="F28" s="114"/>
      <c r="G28" s="114"/>
      <c r="H28" s="114"/>
      <c r="S28" s="52"/>
      <c r="T28" s="52"/>
      <c r="U28" s="52"/>
      <c r="V28" s="52" t="s">
        <v>201</v>
      </c>
      <c r="W28" s="52" t="s">
        <v>218</v>
      </c>
      <c r="X28"/>
      <c r="Y28"/>
      <c r="Z28"/>
    </row>
    <row r="29" spans="1:26" ht="15" customHeight="1" x14ac:dyDescent="0.25">
      <c r="A29" s="98" t="s">
        <v>15</v>
      </c>
      <c r="B29" s="98"/>
      <c r="C29" s="98"/>
      <c r="D29" s="98"/>
      <c r="E29" s="113" t="s">
        <v>16</v>
      </c>
      <c r="F29" s="113"/>
      <c r="G29" s="113"/>
      <c r="H29" s="113"/>
      <c r="S29" s="52"/>
      <c r="T29" s="52"/>
      <c r="U29" s="52"/>
      <c r="V29" s="52" t="s">
        <v>202</v>
      </c>
      <c r="W29" s="52" t="s">
        <v>219</v>
      </c>
      <c r="X29"/>
      <c r="Y29"/>
      <c r="Z29"/>
    </row>
    <row r="30" spans="1:26" ht="15" customHeight="1" x14ac:dyDescent="0.25">
      <c r="A30" s="91" t="s">
        <v>17</v>
      </c>
      <c r="B30" s="91"/>
      <c r="C30" s="91"/>
      <c r="D30" s="91"/>
      <c r="E30" s="113" t="str">
        <f>IF(AND(G24="Mumbai"),"Upper Class","Middle Class")</f>
        <v>Middle Class</v>
      </c>
      <c r="F30" s="113"/>
      <c r="G30" s="113"/>
      <c r="H30" s="113"/>
      <c r="S30" s="52"/>
      <c r="T30" s="52"/>
      <c r="U30" s="52"/>
      <c r="V30" s="52" t="s">
        <v>203</v>
      </c>
      <c r="W30" s="52" t="s">
        <v>220</v>
      </c>
      <c r="X30"/>
      <c r="Y30"/>
      <c r="Z30"/>
    </row>
    <row r="31" spans="1:26" x14ac:dyDescent="0.25">
      <c r="A31" s="91" t="s">
        <v>18</v>
      </c>
      <c r="B31" s="91"/>
      <c r="C31" s="91"/>
      <c r="D31" s="91"/>
      <c r="E31" s="113" t="s">
        <v>19</v>
      </c>
      <c r="F31" s="113"/>
      <c r="G31" s="113"/>
      <c r="H31" s="113"/>
      <c r="S31" s="52"/>
      <c r="T31" s="52"/>
      <c r="U31" s="52"/>
      <c r="V31" s="52" t="s">
        <v>204</v>
      </c>
      <c r="W31" s="52" t="s">
        <v>221</v>
      </c>
      <c r="X31"/>
      <c r="Y31"/>
      <c r="Z31"/>
    </row>
    <row r="32" spans="1:26" ht="15.75" customHeight="1" x14ac:dyDescent="0.25">
      <c r="A32" s="91" t="s">
        <v>20</v>
      </c>
      <c r="B32" s="91"/>
      <c r="C32" s="91"/>
      <c r="D32" s="91"/>
      <c r="E32" s="113" t="str">
        <f>IF(AND(G24="Mumbai"),"Developed","Developing")</f>
        <v>Developing</v>
      </c>
      <c r="F32" s="113"/>
      <c r="G32" s="113"/>
      <c r="H32" s="113"/>
    </row>
    <row r="33" spans="1:19" x14ac:dyDescent="0.25">
      <c r="A33" s="91" t="s">
        <v>21</v>
      </c>
      <c r="B33" s="91"/>
      <c r="C33" s="91"/>
      <c r="D33" s="91"/>
      <c r="E33" s="113" t="s">
        <v>22</v>
      </c>
      <c r="F33" s="113"/>
      <c r="G33" s="113"/>
      <c r="H33" s="113"/>
    </row>
    <row r="34" spans="1:19" ht="15.75" customHeight="1" x14ac:dyDescent="0.25">
      <c r="A34" s="91" t="s">
        <v>77</v>
      </c>
      <c r="B34" s="91"/>
      <c r="C34" s="91"/>
      <c r="D34" s="91"/>
      <c r="E34" s="113" t="s">
        <v>78</v>
      </c>
      <c r="F34" s="113"/>
      <c r="G34" s="113"/>
      <c r="H34" s="113"/>
    </row>
    <row r="35" spans="1:19" ht="15" customHeight="1" x14ac:dyDescent="0.25">
      <c r="A35" s="91" t="s">
        <v>29</v>
      </c>
      <c r="B35" s="91"/>
      <c r="C35" s="91"/>
      <c r="D35" s="91"/>
      <c r="E35" s="113" t="str">
        <f>IF(AND(ISNUMBER(SEARCH("Flat",D61)),ISNUMBER(SEARCH("Shop",D61)),ISNUMBER(SEARCH("Office",D61))),"Residential + Commercial",IF(AND(ISNUMBER(SEARCH("Flat",D61)),ISNUMBER(SEARCH("Shop",D61))),"Residential + Commercial",IF(AND(ISNUMBER(SEARCH("Flat",D61)),ISNUMBER(SEARCH("Office",D61))),"Residential + Commercial",IF(AND(ISNUMBER(SEARCH("Shop",D61)),ISNUMBER(SEARCH("Office",D61))),"Commercial",IF(ISNUMBER(SEARCH("Shop",D61)),"Commercial",IF(ISNUMBER(SEARCH("Office",D61)),"Commercial",IF(ISNUMBER(SEARCH("Flat",D61)),"Residential")))))))</f>
        <v>Residential</v>
      </c>
      <c r="F35" s="113"/>
      <c r="G35" s="113"/>
      <c r="H35" s="113"/>
    </row>
    <row r="36" spans="1:19" ht="15.75" customHeight="1" x14ac:dyDescent="0.25">
      <c r="A36" s="91" t="s">
        <v>89</v>
      </c>
      <c r="B36" s="91"/>
      <c r="C36" s="91"/>
      <c r="D36" s="91"/>
      <c r="E36" s="113" t="s">
        <v>30</v>
      </c>
      <c r="F36" s="113"/>
      <c r="G36" s="113"/>
      <c r="H36" s="113"/>
    </row>
    <row r="37" spans="1:19" s="21" customFormat="1" x14ac:dyDescent="0.25">
      <c r="A37" s="231" t="s">
        <v>90</v>
      </c>
      <c r="B37" s="231"/>
      <c r="C37" s="228" t="s">
        <v>170</v>
      </c>
      <c r="D37" s="229"/>
      <c r="E37" s="230"/>
      <c r="F37" s="228" t="s">
        <v>28</v>
      </c>
      <c r="G37" s="229"/>
      <c r="H37" s="230"/>
      <c r="S37" s="21" t="e">
        <f ca="1">OFFSET($S$13,1,MATCH($G24,$S$13:$W$13,0)-1,15,1)</f>
        <v>#VALUE!</v>
      </c>
    </row>
    <row r="38" spans="1:19" s="21" customFormat="1" x14ac:dyDescent="0.25">
      <c r="A38" s="227" t="s">
        <v>23</v>
      </c>
      <c r="B38" s="227" t="s">
        <v>27</v>
      </c>
      <c r="C38" s="222" t="s">
        <v>293</v>
      </c>
      <c r="D38" s="223"/>
      <c r="E38" s="224"/>
      <c r="F38" s="226" t="s">
        <v>285</v>
      </c>
      <c r="G38" s="223"/>
      <c r="H38" s="224"/>
    </row>
    <row r="39" spans="1:19" x14ac:dyDescent="0.25">
      <c r="A39" s="227" t="s">
        <v>24</v>
      </c>
      <c r="B39" s="227" t="s">
        <v>27</v>
      </c>
      <c r="C39" s="222" t="s">
        <v>291</v>
      </c>
      <c r="D39" s="223"/>
      <c r="E39" s="224"/>
      <c r="F39" s="226" t="s">
        <v>286</v>
      </c>
      <c r="G39" s="223"/>
      <c r="H39" s="224"/>
    </row>
    <row r="40" spans="1:19" s="21" customFormat="1" x14ac:dyDescent="0.25">
      <c r="A40" s="227" t="s">
        <v>26</v>
      </c>
      <c r="B40" s="227" t="s">
        <v>27</v>
      </c>
      <c r="C40" s="222" t="s">
        <v>324</v>
      </c>
      <c r="D40" s="223"/>
      <c r="E40" s="224"/>
      <c r="F40" s="226" t="s">
        <v>285</v>
      </c>
      <c r="G40" s="223"/>
      <c r="H40" s="224"/>
    </row>
    <row r="41" spans="1:19" x14ac:dyDescent="0.25">
      <c r="A41" s="227" t="s">
        <v>25</v>
      </c>
      <c r="B41" s="227" t="s">
        <v>27</v>
      </c>
      <c r="C41" s="222" t="s">
        <v>292</v>
      </c>
      <c r="D41" s="223"/>
      <c r="E41" s="224"/>
      <c r="F41" s="226" t="s">
        <v>285</v>
      </c>
      <c r="G41" s="223"/>
      <c r="H41" s="224"/>
    </row>
    <row r="42" spans="1:19" x14ac:dyDescent="0.25">
      <c r="A42" s="91" t="s">
        <v>278</v>
      </c>
      <c r="B42" s="91"/>
      <c r="C42" s="91"/>
      <c r="D42" s="91"/>
      <c r="E42" s="91"/>
      <c r="F42" s="91"/>
      <c r="G42" s="91"/>
      <c r="H42" s="91"/>
    </row>
    <row r="43" spans="1:19" ht="15.75" customHeight="1" x14ac:dyDescent="0.25">
      <c r="A43" s="91" t="s">
        <v>162</v>
      </c>
      <c r="B43" s="91"/>
      <c r="C43" s="115" t="s">
        <v>360</v>
      </c>
      <c r="D43" s="115"/>
      <c r="E43" s="115"/>
      <c r="F43" s="115"/>
      <c r="G43" s="115"/>
      <c r="H43" s="115"/>
    </row>
    <row r="44" spans="1:19" x14ac:dyDescent="0.25">
      <c r="A44" s="91" t="s">
        <v>158</v>
      </c>
      <c r="B44" s="91"/>
      <c r="C44" s="253" t="s">
        <v>361</v>
      </c>
      <c r="D44" s="113"/>
      <c r="E44" s="113"/>
      <c r="F44" s="113"/>
      <c r="G44" s="113"/>
      <c r="H44" s="113"/>
    </row>
    <row r="45" spans="1:19" x14ac:dyDescent="0.25">
      <c r="A45" s="115" t="s">
        <v>31</v>
      </c>
      <c r="B45" s="115"/>
      <c r="C45" s="115"/>
      <c r="D45" s="115"/>
      <c r="E45" s="115"/>
      <c r="F45" s="115"/>
      <c r="G45" s="115"/>
      <c r="H45" s="115"/>
    </row>
    <row r="46" spans="1:19" x14ac:dyDescent="0.25">
      <c r="A46" s="91" t="s">
        <v>32</v>
      </c>
      <c r="B46" s="91"/>
      <c r="C46" s="91"/>
      <c r="D46" s="91"/>
      <c r="E46" s="235">
        <v>136743.24</v>
      </c>
      <c r="F46" s="235"/>
      <c r="G46" s="235"/>
      <c r="H46" s="235"/>
    </row>
    <row r="47" spans="1:19" x14ac:dyDescent="0.25">
      <c r="A47" s="91" t="s">
        <v>33</v>
      </c>
      <c r="B47" s="91"/>
      <c r="C47" s="91"/>
      <c r="D47" s="91"/>
      <c r="E47" s="100">
        <v>1.1000000000000001</v>
      </c>
      <c r="F47" s="100"/>
      <c r="G47" s="100"/>
      <c r="H47" s="100"/>
    </row>
    <row r="48" spans="1:19" x14ac:dyDescent="0.25">
      <c r="A48" s="91" t="s">
        <v>34</v>
      </c>
      <c r="B48" s="91"/>
      <c r="C48" s="91"/>
      <c r="D48" s="91"/>
      <c r="E48" s="100">
        <f>E50/E46-E47</f>
        <v>1.1375193830422625</v>
      </c>
      <c r="F48" s="100"/>
      <c r="G48" s="100"/>
      <c r="H48" s="100"/>
    </row>
    <row r="49" spans="1:22" x14ac:dyDescent="0.25">
      <c r="A49" s="91" t="s">
        <v>35</v>
      </c>
      <c r="B49" s="91"/>
      <c r="C49" s="91"/>
      <c r="D49" s="91"/>
      <c r="E49" s="100">
        <f>E47+E48</f>
        <v>2.2375193830422626</v>
      </c>
      <c r="F49" s="100"/>
      <c r="G49" s="100"/>
      <c r="H49" s="100"/>
    </row>
    <row r="50" spans="1:22" x14ac:dyDescent="0.25">
      <c r="A50" s="91" t="s">
        <v>88</v>
      </c>
      <c r="B50" s="91"/>
      <c r="C50" s="91"/>
      <c r="D50" s="91"/>
      <c r="E50" s="238">
        <v>305965.65000000002</v>
      </c>
      <c r="F50" s="238"/>
      <c r="G50" s="238"/>
      <c r="H50" s="238"/>
    </row>
    <row r="51" spans="1:22" x14ac:dyDescent="0.25">
      <c r="A51" s="114" t="s">
        <v>36</v>
      </c>
      <c r="B51" s="114"/>
      <c r="C51" s="114"/>
      <c r="D51" s="114"/>
      <c r="E51" s="114" t="s">
        <v>281</v>
      </c>
      <c r="F51" s="114"/>
      <c r="G51" s="114"/>
      <c r="H51" s="114"/>
    </row>
    <row r="52" spans="1:22" x14ac:dyDescent="0.25">
      <c r="A52" s="115" t="s">
        <v>37</v>
      </c>
      <c r="B52" s="115"/>
      <c r="C52" s="115"/>
      <c r="D52" s="115"/>
      <c r="E52" s="115"/>
      <c r="F52" s="115"/>
      <c r="G52" s="115"/>
      <c r="H52" s="115"/>
    </row>
    <row r="53" spans="1:22" ht="33.75" customHeight="1" x14ac:dyDescent="0.25">
      <c r="A53" s="107" t="s">
        <v>148</v>
      </c>
      <c r="B53" s="108"/>
      <c r="C53" s="258" t="s">
        <v>294</v>
      </c>
      <c r="D53" s="259"/>
      <c r="E53" s="259"/>
      <c r="F53" s="259"/>
      <c r="G53" s="259"/>
      <c r="H53" s="260"/>
      <c r="R53" t="s">
        <v>251</v>
      </c>
      <c r="S53" t="s">
        <v>169</v>
      </c>
      <c r="T53" t="s">
        <v>175</v>
      </c>
      <c r="U53" t="s">
        <v>190</v>
      </c>
      <c r="V53" t="s">
        <v>185</v>
      </c>
    </row>
    <row r="54" spans="1:22" ht="33.75" customHeight="1" x14ac:dyDescent="0.25">
      <c r="A54" s="107" t="s">
        <v>38</v>
      </c>
      <c r="B54" s="108"/>
      <c r="C54" s="107" t="s">
        <v>296</v>
      </c>
      <c r="D54" s="109"/>
      <c r="E54" s="108"/>
      <c r="F54" s="17" t="s">
        <v>39</v>
      </c>
      <c r="G54" s="110">
        <v>45140</v>
      </c>
      <c r="H54" s="108"/>
      <c r="R54"/>
      <c r="S54" t="s">
        <v>252</v>
      </c>
      <c r="T54" t="s">
        <v>257</v>
      </c>
      <c r="U54" t="s">
        <v>268</v>
      </c>
      <c r="V54" t="s">
        <v>273</v>
      </c>
    </row>
    <row r="55" spans="1:22" ht="33.75" customHeight="1" x14ac:dyDescent="0.25">
      <c r="A55" s="107" t="s">
        <v>40</v>
      </c>
      <c r="B55" s="108"/>
      <c r="C55" s="107" t="str">
        <f>C54</f>
        <v>SROT/BSNA/2501/BP/Rahanal-Kevani-
Purna-Kopar -02 /1074/2023</v>
      </c>
      <c r="D55" s="109"/>
      <c r="E55" s="108"/>
      <c r="F55" s="17" t="s">
        <v>39</v>
      </c>
      <c r="G55" s="110">
        <f>G54</f>
        <v>45140</v>
      </c>
      <c r="H55" s="251"/>
      <c r="R55"/>
      <c r="S55" t="s">
        <v>253</v>
      </c>
      <c r="T55" t="s">
        <v>258</v>
      </c>
      <c r="U55" t="s">
        <v>266</v>
      </c>
      <c r="V55" t="s">
        <v>274</v>
      </c>
    </row>
    <row r="56" spans="1:22" s="22" customFormat="1" ht="34.5" customHeight="1" x14ac:dyDescent="0.25">
      <c r="A56" s="98" t="s">
        <v>152</v>
      </c>
      <c r="B56" s="98"/>
      <c r="C56" s="98" t="s">
        <v>295</v>
      </c>
      <c r="D56" s="98"/>
      <c r="E56" s="98"/>
      <c r="F56" s="17" t="s">
        <v>39</v>
      </c>
      <c r="G56" s="111">
        <f>G55</f>
        <v>45140</v>
      </c>
      <c r="H56" s="111"/>
      <c r="R56"/>
      <c r="S56" t="s">
        <v>254</v>
      </c>
      <c r="T56" t="s">
        <v>259</v>
      </c>
      <c r="U56" t="s">
        <v>256</v>
      </c>
      <c r="V56" t="s">
        <v>275</v>
      </c>
    </row>
    <row r="57" spans="1:22" s="22" customFormat="1" ht="99" customHeight="1" x14ac:dyDescent="0.25">
      <c r="A57" s="98"/>
      <c r="B57" s="98"/>
      <c r="C57" s="113" t="s">
        <v>350</v>
      </c>
      <c r="D57" s="113"/>
      <c r="E57" s="113"/>
      <c r="F57" s="113"/>
      <c r="G57" s="113"/>
      <c r="H57" s="113"/>
      <c r="R57"/>
      <c r="S57" t="s">
        <v>255</v>
      </c>
      <c r="T57" t="s">
        <v>262</v>
      </c>
      <c r="U57" t="s">
        <v>269</v>
      </c>
    </row>
    <row r="58" spans="1:22" x14ac:dyDescent="0.25">
      <c r="A58" s="94" t="s">
        <v>41</v>
      </c>
      <c r="B58" s="94"/>
      <c r="C58" s="94" t="s">
        <v>102</v>
      </c>
      <c r="D58" s="94"/>
      <c r="E58" s="94"/>
      <c r="F58" s="64" t="s">
        <v>39</v>
      </c>
      <c r="G58" s="115" t="s">
        <v>27</v>
      </c>
      <c r="H58" s="115"/>
      <c r="R58"/>
      <c r="S58" t="s">
        <v>256</v>
      </c>
      <c r="T58" t="s">
        <v>260</v>
      </c>
      <c r="U58" t="s">
        <v>270</v>
      </c>
    </row>
    <row r="59" spans="1:22" x14ac:dyDescent="0.25">
      <c r="A59" s="112" t="s">
        <v>43</v>
      </c>
      <c r="B59" s="112"/>
      <c r="C59" s="112"/>
      <c r="D59" s="112"/>
      <c r="E59" s="112"/>
      <c r="F59" s="112"/>
      <c r="G59" s="112"/>
      <c r="H59" s="112"/>
      <c r="N59" s="57"/>
      <c r="T59" t="s">
        <v>261</v>
      </c>
      <c r="U59" t="s">
        <v>271</v>
      </c>
    </row>
    <row r="60" spans="1:22" x14ac:dyDescent="0.25">
      <c r="A60" s="98" t="s">
        <v>87</v>
      </c>
      <c r="B60" s="98"/>
      <c r="C60" s="98"/>
      <c r="D60" s="91">
        <f>E50</f>
        <v>305965.65000000002</v>
      </c>
      <c r="E60" s="91"/>
      <c r="F60" s="91"/>
      <c r="G60" s="91"/>
      <c r="H60" s="91"/>
      <c r="N60" s="57"/>
      <c r="R60"/>
      <c r="T60" t="s">
        <v>263</v>
      </c>
      <c r="U60" t="s">
        <v>272</v>
      </c>
    </row>
    <row r="61" spans="1:22" x14ac:dyDescent="0.25">
      <c r="A61" s="113" t="s">
        <v>44</v>
      </c>
      <c r="B61" s="114"/>
      <c r="C61" s="114"/>
      <c r="D61" s="114" t="s">
        <v>321</v>
      </c>
      <c r="E61" s="114"/>
      <c r="F61" s="114"/>
      <c r="G61" s="114"/>
      <c r="H61" s="114"/>
      <c r="I61" s="23"/>
      <c r="R61"/>
      <c r="T61" t="s">
        <v>264</v>
      </c>
    </row>
    <row r="62" spans="1:22" ht="99" customHeight="1" x14ac:dyDescent="0.25">
      <c r="A62" s="113" t="s">
        <v>45</v>
      </c>
      <c r="B62" s="113"/>
      <c r="C62" s="113"/>
      <c r="D62" s="113" t="s">
        <v>362</v>
      </c>
      <c r="E62" s="114"/>
      <c r="F62" s="114"/>
      <c r="G62" s="114"/>
      <c r="H62" s="114"/>
      <c r="R62"/>
      <c r="T62" t="s">
        <v>265</v>
      </c>
    </row>
    <row r="63" spans="1:22" ht="51.75" customHeight="1" x14ac:dyDescent="0.25">
      <c r="A63" s="119" t="s">
        <v>85</v>
      </c>
      <c r="B63" s="120"/>
      <c r="C63" s="120"/>
      <c r="D63" s="119" t="s">
        <v>311</v>
      </c>
      <c r="E63" s="124"/>
      <c r="F63" s="124"/>
      <c r="G63" s="124"/>
      <c r="H63" s="125"/>
      <c r="R63"/>
      <c r="T63" t="s">
        <v>267</v>
      </c>
    </row>
    <row r="64" spans="1:22" x14ac:dyDescent="0.25">
      <c r="A64" s="121"/>
      <c r="B64" s="122"/>
      <c r="C64" s="122"/>
      <c r="D64" s="126" t="s">
        <v>299</v>
      </c>
      <c r="E64" s="127"/>
      <c r="F64" s="127"/>
      <c r="G64" s="127"/>
      <c r="H64" s="128"/>
      <c r="R64"/>
      <c r="T64" t="s">
        <v>276</v>
      </c>
    </row>
    <row r="65" spans="1:20" ht="33.75" customHeight="1" x14ac:dyDescent="0.25">
      <c r="A65" s="116"/>
      <c r="B65" s="123"/>
      <c r="C65" s="123"/>
      <c r="D65" s="116" t="s">
        <v>297</v>
      </c>
      <c r="E65" s="117"/>
      <c r="F65" s="117"/>
      <c r="G65" s="117"/>
      <c r="H65" s="118"/>
      <c r="S65"/>
      <c r="T65" s="20" t="s">
        <v>294</v>
      </c>
    </row>
    <row r="66" spans="1:20" ht="48" customHeight="1" x14ac:dyDescent="0.25">
      <c r="A66" s="91" t="s">
        <v>42</v>
      </c>
      <c r="B66" s="91"/>
      <c r="C66" s="91"/>
      <c r="D66" s="236" t="s">
        <v>298</v>
      </c>
      <c r="E66" s="236"/>
      <c r="F66" s="236"/>
      <c r="G66" s="236"/>
      <c r="H66" s="236"/>
      <c r="J66" s="24"/>
      <c r="K66" s="23"/>
      <c r="N66" s="23"/>
      <c r="S66"/>
    </row>
    <row r="67" spans="1:20" ht="15.75" customHeight="1" x14ac:dyDescent="0.25">
      <c r="A67" s="91" t="s">
        <v>83</v>
      </c>
      <c r="B67" s="91"/>
      <c r="C67" s="91"/>
      <c r="D67" s="237" t="str">
        <f>(IF(G58="NA","60 Years After Completion",IF(G58&lt;&gt;"NA",""&amp;60-ROUNDDOWN((E3-G58)/360,0)&amp;" Years"," ")))</f>
        <v>60 Years After Completion</v>
      </c>
      <c r="E67" s="237"/>
      <c r="F67" s="237"/>
      <c r="G67" s="237"/>
      <c r="H67" s="237"/>
      <c r="N67" s="23"/>
      <c r="S67"/>
    </row>
    <row r="68" spans="1:20" ht="15.75" customHeight="1" x14ac:dyDescent="0.25">
      <c r="A68" s="91" t="s">
        <v>84</v>
      </c>
      <c r="B68" s="91"/>
      <c r="C68" s="91"/>
      <c r="D68" s="98" t="s">
        <v>22</v>
      </c>
      <c r="E68" s="98"/>
      <c r="F68" s="98"/>
      <c r="G68" s="98"/>
      <c r="H68" s="98"/>
      <c r="J68" s="25"/>
      <c r="K68" s="25"/>
      <c r="S68"/>
    </row>
    <row r="69" spans="1:20" ht="65.25" customHeight="1" x14ac:dyDescent="0.25">
      <c r="A69" s="188" t="s">
        <v>300</v>
      </c>
      <c r="B69" s="188"/>
      <c r="C69" s="188"/>
      <c r="D69" s="113" t="s">
        <v>320</v>
      </c>
      <c r="E69" s="98"/>
      <c r="F69" s="98"/>
      <c r="G69" s="98"/>
      <c r="H69" s="98"/>
      <c r="S69"/>
    </row>
    <row r="70" spans="1:20" x14ac:dyDescent="0.25">
      <c r="A70" s="98" t="s">
        <v>145</v>
      </c>
      <c r="B70" s="98"/>
      <c r="C70" s="98"/>
      <c r="D70" s="98" t="s">
        <v>27</v>
      </c>
      <c r="E70" s="98"/>
      <c r="F70" s="98"/>
      <c r="G70" s="98"/>
      <c r="H70" s="98"/>
      <c r="I70" s="26"/>
      <c r="J70" s="26"/>
      <c r="K70" s="26"/>
      <c r="L70" s="26"/>
      <c r="M70" s="26"/>
      <c r="N70" s="26"/>
    </row>
    <row r="71" spans="1:20" ht="15.75" customHeight="1" x14ac:dyDescent="0.25">
      <c r="A71" s="99" t="s">
        <v>82</v>
      </c>
      <c r="B71" s="99"/>
      <c r="C71" s="99"/>
      <c r="D71" s="257" t="str">
        <f ca="1">(IF(G105&gt;95%,"Nothing",IF(G105&gt;0%,"Cement, Aggregate, Steel, etc",IF(G105=0%,"Work not yet Started"))))</f>
        <v>Cement, Aggregate, Steel, etc</v>
      </c>
      <c r="E71" s="257"/>
      <c r="F71" s="257"/>
      <c r="G71" s="257"/>
      <c r="H71" s="257"/>
      <c r="J71" s="25"/>
      <c r="S71"/>
    </row>
    <row r="72" spans="1:20" ht="33.75" customHeight="1" thickBot="1" x14ac:dyDescent="0.3">
      <c r="A72" s="256" t="s">
        <v>115</v>
      </c>
      <c r="B72" s="256"/>
      <c r="C72" s="256"/>
      <c r="D72" s="257" t="str">
        <f ca="1">(IF(D71="Nothing","Yes",IF(D71="Cement, Aggregate, Steel, etc","Under Construction",IF(D71="Work not yet Started","Work not yet Started"))))</f>
        <v>Under Construction</v>
      </c>
      <c r="E72" s="257"/>
      <c r="F72" s="257" t="str">
        <f ca="1">(IF(D71="Nothing","Yes",IF(D71="Cement, Aggregate, Steel, etc","Under Construction",IF(D71="Work not yet Started","Work not yet Started"))))</f>
        <v>Under Construction</v>
      </c>
      <c r="G72" s="257"/>
      <c r="H72" s="257"/>
      <c r="S72"/>
    </row>
    <row r="73" spans="1:20" x14ac:dyDescent="0.25">
      <c r="A73" s="76" t="s">
        <v>137</v>
      </c>
      <c r="B73" s="77"/>
      <c r="C73" s="78" t="s">
        <v>339</v>
      </c>
      <c r="D73" s="79"/>
      <c r="E73" s="79"/>
      <c r="F73" s="79"/>
      <c r="G73" s="79"/>
      <c r="H73" s="80"/>
      <c r="I73" s="46" t="str">
        <f ca="1">IF(D86=100%,"All work Completed. Possession granted to the Building.",IF(D85=100%,"All work Completed, Waiting for OC",I74&amp;""&amp;I75&amp;""&amp;J74&amp;""&amp;J73&amp;" "&amp;J75))</f>
        <v xml:space="preserve">Excavation Completed </v>
      </c>
      <c r="J73" s="47" t="str">
        <f ca="1">(IF(C79=(D74+F74+H74),"",IF(C79&gt;0,", RCC upto "&amp;C79&amp;" Slab","")))&amp;(IF(C80=H74,"",IF(C80&gt;0,", Brickwork upto "&amp;C80&amp;" Floor","")))&amp;(IF(C81=H74,"",IF(C81&gt;0,", Internal Plaster upto "&amp;C81&amp;" Floor","")))&amp;(IF(C82=H74,"",IF(C82&gt;0,", External Plaster upto "&amp;C82&amp;" Floor","")))&amp;(IF(C83=H74,"",IF(C83&gt;0,", Flooring upto "&amp;C83&amp;" Floor","")))&amp;(IF(C84=H74,"",IF(C84&gt;0,", Painting upto "&amp;C84&amp;" Floor","")))&amp;(IF(C85=H74,"",IF(C85&gt;0,", Finishing upto "&amp;C85&amp;" Floor","")))&amp;(IF(C86=H74,"",IF(C86&gt;0,", Possession upto "&amp;C86&amp;" Floor","")))</f>
        <v/>
      </c>
      <c r="S73"/>
    </row>
    <row r="74" spans="1:20" x14ac:dyDescent="0.25">
      <c r="A74" s="15" t="s">
        <v>139</v>
      </c>
      <c r="B74" s="44">
        <f>IF(AND(ISNUMBER(SEARCH("1B",C73))),1,IF(AND(ISNUMBER(SEARCH("2B",C73))),2,IF(AND(ISNUMBER(SEARCH("3B",C73))),3,IF(AND(ISNUMBER(SEARCH("4B",C73))),4,IF(ISNUMBER(SEARCH("5B",C73)),5,0)))))</f>
        <v>0</v>
      </c>
      <c r="C74" s="44" t="s">
        <v>68</v>
      </c>
      <c r="D74" s="44">
        <v>1</v>
      </c>
      <c r="E74" s="44" t="s">
        <v>67</v>
      </c>
      <c r="F74" s="58">
        <v>0</v>
      </c>
      <c r="G74" s="45" t="s">
        <v>76</v>
      </c>
      <c r="H74" s="16">
        <f ca="1">--TRIM(RIGHT(SUBSTITUTE(LEFT(C73,_xlfn.AGGREGATE(16,6,FIND({0,1,2,3,4,5,6,7,8,9},C73,ROW(INDIRECT("1:"&amp;LEN(C73)))),1))," ",REPT(" ",LEN(C73))),LEN(C73)))</f>
        <v>30</v>
      </c>
      <c r="I74" s="48" t="str">
        <f ca="1">IF(D77=100%,"Excavation","")&amp;IF(D78=100%,", Plinth","")&amp;IF(D79=100%,", RCC Slab","")&amp;IF(D80=100%,", Brickwork","")&amp;IF(D81=100%,", Internal Plaster","")&amp;IF(D82=100%,", External Plaster","")&amp;IF(D83=100%,", Flooring","")&amp;IF(D84=100%,", Painting","")&amp;IF(D85=100%,", Building common Amenities","")</f>
        <v>Excavation</v>
      </c>
      <c r="J74" s="49" t="str">
        <f ca="1">(IF(C77=0,"Work not yet Started.",IF(D77=25%,"Piling work in process",IF(D77=50%,"Excavation work in process",IF(D77=100%,"","0")))))&amp;(IF(C78=0%,"",IF(C78=J79,", Footing work is process",IF(C78=J80,", Footing work Completed",IF(C78=J81,", 1st Basement Completed",IF(C78=J82,", 1st &amp; 2nd Basement Completed",IF(C78=J83,", 1st to 3rd Basement Completed",IF(C78=J84,", 1st to 4th Basement Completed",IF(C78=J85,", Plinth work is process",IF(C78=J86,"","0"))))))))))</f>
        <v/>
      </c>
      <c r="S74"/>
    </row>
    <row r="75" spans="1:20" x14ac:dyDescent="0.25">
      <c r="A75" s="81" t="s">
        <v>86</v>
      </c>
      <c r="B75" s="81"/>
      <c r="C75" s="82" t="str">
        <f ca="1">I73</f>
        <v xml:space="preserve">Excavation Completed </v>
      </c>
      <c r="D75" s="82"/>
      <c r="E75" s="82"/>
      <c r="F75" s="82"/>
      <c r="G75" s="82"/>
      <c r="H75" s="82"/>
      <c r="I75" s="65" t="str">
        <f ca="1">IF(I74&lt;&gt;""," Completed","")</f>
        <v xml:space="preserve"> Completed</v>
      </c>
      <c r="J75" s="49" t="str">
        <f ca="1">IF(J73&lt;&gt;"","Completed","")</f>
        <v/>
      </c>
      <c r="S75"/>
    </row>
    <row r="76" spans="1:20" ht="15.75" customHeight="1" x14ac:dyDescent="0.25">
      <c r="A76" s="83" t="s">
        <v>46</v>
      </c>
      <c r="B76" s="83"/>
      <c r="C76" s="42" t="s">
        <v>136</v>
      </c>
      <c r="D76" s="42" t="s">
        <v>79</v>
      </c>
      <c r="E76" s="83" t="s">
        <v>81</v>
      </c>
      <c r="F76" s="83"/>
      <c r="G76" s="83" t="s">
        <v>80</v>
      </c>
      <c r="H76" s="83"/>
      <c r="I76" s="13" t="s">
        <v>138</v>
      </c>
      <c r="J76" s="27">
        <f ca="1">H74*25%</f>
        <v>7.5</v>
      </c>
      <c r="S76"/>
    </row>
    <row r="77" spans="1:20" x14ac:dyDescent="0.25">
      <c r="A77" s="83" t="s">
        <v>125</v>
      </c>
      <c r="B77" s="83"/>
      <c r="C77" s="42">
        <f ca="1">J78</f>
        <v>30</v>
      </c>
      <c r="D77" s="18">
        <f ca="1">((100/H74)*C77)/100</f>
        <v>1</v>
      </c>
      <c r="E77" s="84">
        <f ca="1">(((C78/H74*10)+(40/(D74+F74+H74)*C79)+(7.5/(H74)*C80)+(7.5/(H74)*C81)+(10/H74*C82)+(10/H74*C83)+(5/H74*C84)+(5/H74*C85)+(5/H74*C86))/100)</f>
        <v>0</v>
      </c>
      <c r="F77" s="84"/>
      <c r="G77" s="84">
        <f ca="1">((((C77/H74)*20)+((C78/H74)*25)+(30/(H74+F74+D74)*C79)+(5/H74*C80)+(5/H74*C81)+(5/H74*C82)+(5/H74*C83)+(0/H74*C84)+(0/H74*C85)+(5/H74*C86))/100)</f>
        <v>0.2</v>
      </c>
      <c r="H77" s="84"/>
      <c r="I77" s="13" t="s">
        <v>97</v>
      </c>
      <c r="J77" s="28">
        <f ca="1">H74*50%</f>
        <v>15</v>
      </c>
    </row>
    <row r="78" spans="1:20" x14ac:dyDescent="0.25">
      <c r="A78" s="83" t="s">
        <v>47</v>
      </c>
      <c r="B78" s="83"/>
      <c r="C78" s="42">
        <v>0</v>
      </c>
      <c r="D78" s="18">
        <f ca="1">((100/H74)*C78)/100</f>
        <v>0</v>
      </c>
      <c r="E78" s="84"/>
      <c r="F78" s="84"/>
      <c r="G78" s="84"/>
      <c r="H78" s="84"/>
      <c r="I78" s="13" t="s">
        <v>98</v>
      </c>
      <c r="J78" s="28">
        <f ca="1">H74</f>
        <v>30</v>
      </c>
      <c r="S78"/>
    </row>
    <row r="79" spans="1:20" ht="15.75" customHeight="1" x14ac:dyDescent="0.25">
      <c r="A79" s="83" t="s">
        <v>126</v>
      </c>
      <c r="B79" s="83"/>
      <c r="C79" s="42">
        <v>0</v>
      </c>
      <c r="D79" s="18">
        <f ca="1">((100/(D74+F74+H74))*C79)/100</f>
        <v>0</v>
      </c>
      <c r="E79" s="84"/>
      <c r="F79" s="84"/>
      <c r="G79" s="84"/>
      <c r="H79" s="84"/>
      <c r="I79" s="13" t="s">
        <v>99</v>
      </c>
      <c r="J79" s="29">
        <f ca="1">(IF(B74&gt;1,(H74/(B74+2)),H74/4))</f>
        <v>7.5</v>
      </c>
      <c r="S79"/>
    </row>
    <row r="80" spans="1:20" ht="15.75" customHeight="1" x14ac:dyDescent="0.25">
      <c r="A80" s="83" t="s">
        <v>133</v>
      </c>
      <c r="B80" s="83" t="s">
        <v>127</v>
      </c>
      <c r="C80" s="42">
        <v>0</v>
      </c>
      <c r="D80" s="18">
        <f ca="1">((100/H74)*C80)/100</f>
        <v>0</v>
      </c>
      <c r="E80" s="84"/>
      <c r="F80" s="84"/>
      <c r="G80" s="84"/>
      <c r="H80" s="84"/>
      <c r="I80" s="13" t="s">
        <v>100</v>
      </c>
      <c r="J80" s="29">
        <f ca="1">(IF(B74&gt;1,(H74/(B74+2)+J79),H74/4+J79))</f>
        <v>15</v>
      </c>
    </row>
    <row r="81" spans="1:19" ht="15.75" customHeight="1" x14ac:dyDescent="0.25">
      <c r="A81" s="83" t="s">
        <v>134</v>
      </c>
      <c r="B81" s="83" t="s">
        <v>127</v>
      </c>
      <c r="C81" s="42">
        <v>0</v>
      </c>
      <c r="D81" s="18">
        <f ca="1">((100/H74)*C81)/100</f>
        <v>0</v>
      </c>
      <c r="E81" s="84"/>
      <c r="F81" s="84"/>
      <c r="G81" s="84"/>
      <c r="H81" s="84"/>
      <c r="I81" s="13" t="s">
        <v>143</v>
      </c>
      <c r="J81" s="29">
        <f>(IF(B74&gt;1,(H74/(B74+2)+J80),0))</f>
        <v>0</v>
      </c>
    </row>
    <row r="82" spans="1:19" ht="15" customHeight="1" x14ac:dyDescent="0.25">
      <c r="A82" s="83" t="s">
        <v>132</v>
      </c>
      <c r="B82" s="83" t="s">
        <v>129</v>
      </c>
      <c r="C82" s="42">
        <v>0</v>
      </c>
      <c r="D82" s="18">
        <f ca="1">((100/(H74))*C82)/100</f>
        <v>0</v>
      </c>
      <c r="E82" s="84"/>
      <c r="F82" s="84"/>
      <c r="G82" s="84"/>
      <c r="H82" s="84"/>
      <c r="I82" s="13" t="s">
        <v>140</v>
      </c>
      <c r="J82" s="29">
        <f>(IF(B74&gt;2,(H74/(B74+2)+J81),0))</f>
        <v>0</v>
      </c>
    </row>
    <row r="83" spans="1:19" ht="15.75" customHeight="1" x14ac:dyDescent="0.25">
      <c r="A83" s="83" t="s">
        <v>128</v>
      </c>
      <c r="B83" s="83" t="s">
        <v>128</v>
      </c>
      <c r="C83" s="42">
        <v>0</v>
      </c>
      <c r="D83" s="18">
        <f ca="1">((100/H74)*C83)/100</f>
        <v>0</v>
      </c>
      <c r="E83" s="84"/>
      <c r="F83" s="84"/>
      <c r="G83" s="84"/>
      <c r="H83" s="84"/>
      <c r="I83" s="13" t="s">
        <v>141</v>
      </c>
      <c r="J83" s="30">
        <f>(IF(B74&gt;3,(H74/(B74+2)+J82),0))</f>
        <v>0</v>
      </c>
    </row>
    <row r="84" spans="1:19" ht="15.75" customHeight="1" x14ac:dyDescent="0.25">
      <c r="A84" s="83" t="s">
        <v>135</v>
      </c>
      <c r="B84" s="83"/>
      <c r="C84" s="42">
        <v>0</v>
      </c>
      <c r="D84" s="18">
        <f ca="1">((100/H74)*C84)/100</f>
        <v>0</v>
      </c>
      <c r="E84" s="84"/>
      <c r="F84" s="84"/>
      <c r="G84" s="84"/>
      <c r="H84" s="84"/>
      <c r="I84" s="13" t="s">
        <v>142</v>
      </c>
      <c r="J84" s="29">
        <f>(IF(B74&gt;4,(H74/(B74+2)+J83),0))</f>
        <v>0</v>
      </c>
    </row>
    <row r="85" spans="1:19" ht="15.75" customHeight="1" x14ac:dyDescent="0.25">
      <c r="A85" s="83" t="s">
        <v>130</v>
      </c>
      <c r="B85" s="83" t="s">
        <v>130</v>
      </c>
      <c r="C85" s="42">
        <v>0</v>
      </c>
      <c r="D85" s="18">
        <f ca="1">((100/(H74))*C85)/100</f>
        <v>0</v>
      </c>
      <c r="E85" s="84"/>
      <c r="F85" s="84"/>
      <c r="G85" s="84"/>
      <c r="H85" s="84"/>
      <c r="I85" s="13" t="s">
        <v>144</v>
      </c>
      <c r="J85" s="29">
        <f ca="1">(IF(B74=1,(H74/(B74+3)+J80),IF(B74=0,(H74/4+J80),IF(B74&gt;1,0))))</f>
        <v>22.5</v>
      </c>
    </row>
    <row r="86" spans="1:19" ht="16.5" thickBot="1" x14ac:dyDescent="0.3">
      <c r="A86" s="83" t="s">
        <v>131</v>
      </c>
      <c r="B86" s="83"/>
      <c r="C86" s="42">
        <v>0</v>
      </c>
      <c r="D86" s="18">
        <f ca="1">((100/(H74))*C86)/100</f>
        <v>0</v>
      </c>
      <c r="E86" s="84"/>
      <c r="F86" s="84"/>
      <c r="G86" s="84"/>
      <c r="H86" s="84"/>
      <c r="I86" s="14" t="s">
        <v>101</v>
      </c>
      <c r="J86" s="31">
        <f ca="1">(IF(B74&gt;1.5,(H74/(B74+2)+J80+MAX(0,J81-J80)+MAX(0,J82-J81)+MAX(0,J83-J82)+MAX(0,J84-J83)+MAX(0,J85-J84)),IF(B74=1,(H74/(B74+3)+J85),IF(B74=0,H74/4+J85))))</f>
        <v>30</v>
      </c>
    </row>
    <row r="87" spans="1:19" x14ac:dyDescent="0.25">
      <c r="A87" s="94" t="s">
        <v>137</v>
      </c>
      <c r="B87" s="94"/>
      <c r="C87" s="94" t="s">
        <v>340</v>
      </c>
      <c r="D87" s="94"/>
      <c r="E87" s="94"/>
      <c r="F87" s="94"/>
      <c r="G87" s="94"/>
      <c r="H87" s="94"/>
      <c r="I87" s="66" t="str">
        <f ca="1">IF(D100=100%,"All work Completed. Possession granted to the Building.",IF(D99=100%,"All work Completed, Waiting for OC",I88&amp;""&amp;I89&amp;""&amp;J88&amp;""&amp;J87&amp;" "&amp;J89))</f>
        <v xml:space="preserve">Excavation, Plinth Completed </v>
      </c>
      <c r="J87" s="47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/>
      </c>
      <c r="S87"/>
    </row>
    <row r="88" spans="1:19" x14ac:dyDescent="0.25">
      <c r="A88" s="44" t="s">
        <v>139</v>
      </c>
      <c r="B88" s="44">
        <f>IF(AND(ISNUMBER(SEARCH("1B",C87))),1,IF(AND(ISNUMBER(SEARCH("2B",C87))),2,IF(AND(ISNUMBER(SEARCH("3B",C87))),3,IF(AND(ISNUMBER(SEARCH("4B",C87))),4,IF(ISNUMBER(SEARCH("5B",C87)),5,0)))))</f>
        <v>0</v>
      </c>
      <c r="C88" s="44" t="s">
        <v>68</v>
      </c>
      <c r="D88" s="44">
        <v>1</v>
      </c>
      <c r="E88" s="44" t="s">
        <v>67</v>
      </c>
      <c r="F88" s="58">
        <v>0</v>
      </c>
      <c r="G88" s="45" t="s">
        <v>76</v>
      </c>
      <c r="H88" s="44">
        <f ca="1">--TRIM(RIGHT(SUBSTITUTE(LEFT(C87,_xlfn.AGGREGATE(16,6,FIND({0,1,2,3,4,5,6,7,8,9},C87,ROW(INDIRECT("1:"&amp;LEN(C87)))),1))," ",REPT(" ",LEN(C87))),LEN(C87)))</f>
        <v>30</v>
      </c>
      <c r="I88" s="65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</v>
      </c>
      <c r="J88" s="49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/>
      </c>
      <c r="S88"/>
    </row>
    <row r="89" spans="1:19" x14ac:dyDescent="0.25">
      <c r="A89" s="252" t="s">
        <v>86</v>
      </c>
      <c r="B89" s="81"/>
      <c r="C89" s="82" t="str">
        <f ca="1">I87</f>
        <v xml:space="preserve">Excavation, Plinth Completed </v>
      </c>
      <c r="D89" s="82"/>
      <c r="E89" s="82"/>
      <c r="F89" s="82"/>
      <c r="G89" s="82"/>
      <c r="H89" s="175"/>
      <c r="I89" s="48" t="str">
        <f ca="1">IF(I88&lt;&gt;""," Completed","")</f>
        <v xml:space="preserve"> Completed</v>
      </c>
      <c r="J89" s="49" t="str">
        <f ca="1">IF(J87&lt;&gt;"","Completed","")</f>
        <v/>
      </c>
      <c r="S89"/>
    </row>
    <row r="90" spans="1:19" ht="15.75" customHeight="1" x14ac:dyDescent="0.25">
      <c r="A90" s="106" t="s">
        <v>46</v>
      </c>
      <c r="B90" s="83"/>
      <c r="C90" s="42" t="s">
        <v>136</v>
      </c>
      <c r="D90" s="42" t="s">
        <v>79</v>
      </c>
      <c r="E90" s="83" t="s">
        <v>81</v>
      </c>
      <c r="F90" s="83"/>
      <c r="G90" s="83" t="s">
        <v>80</v>
      </c>
      <c r="H90" s="129"/>
      <c r="I90" s="13" t="s">
        <v>138</v>
      </c>
      <c r="J90" s="27">
        <f ca="1">H88*25%</f>
        <v>7.5</v>
      </c>
      <c r="S90"/>
    </row>
    <row r="91" spans="1:19" x14ac:dyDescent="0.25">
      <c r="A91" s="106" t="s">
        <v>125</v>
      </c>
      <c r="B91" s="83"/>
      <c r="C91" s="42">
        <f ca="1">J92</f>
        <v>30</v>
      </c>
      <c r="D91" s="18">
        <f ca="1">((100/H88)*C91)/100</f>
        <v>1</v>
      </c>
      <c r="E91" s="169">
        <f ca="1">(((C92/H88*10)+(40/(D88+F88+H88)*C93)+(7.5/(H88)*C94)+(7.5/(H88)*C95)+(10/H88*C96)+(10/H88*C97)+(5/H88*C98)+(5/H88*C99)+(5/H88*C100))/100)</f>
        <v>0.1</v>
      </c>
      <c r="F91" s="170"/>
      <c r="G91" s="169">
        <f ca="1">((((C91/H88)*20)+((C92/H88)*25)+(30/(H88+F88+D88)*C93)+(5/H88*C94)+(5/H88*C95)+(5/H88*C96)+(5/H88*C97)+(0/H88*C98)+(0/H88*C99)+(5/H88*C100))/100)</f>
        <v>0.45</v>
      </c>
      <c r="H91" s="232"/>
      <c r="I91" s="13" t="s">
        <v>97</v>
      </c>
      <c r="J91" s="28">
        <f ca="1">H88*50%</f>
        <v>15</v>
      </c>
    </row>
    <row r="92" spans="1:19" x14ac:dyDescent="0.25">
      <c r="A92" s="106" t="s">
        <v>47</v>
      </c>
      <c r="B92" s="83"/>
      <c r="C92" s="50">
        <f ca="1">J100</f>
        <v>30</v>
      </c>
      <c r="D92" s="18">
        <f ca="1">((100/H88)*C92)/100</f>
        <v>1</v>
      </c>
      <c r="E92" s="171"/>
      <c r="F92" s="172"/>
      <c r="G92" s="171"/>
      <c r="H92" s="233"/>
      <c r="I92" s="13" t="s">
        <v>98</v>
      </c>
      <c r="J92" s="28">
        <f ca="1">H88</f>
        <v>30</v>
      </c>
      <c r="S92"/>
    </row>
    <row r="93" spans="1:19" ht="15.75" customHeight="1" x14ac:dyDescent="0.25">
      <c r="A93" s="106" t="s">
        <v>126</v>
      </c>
      <c r="B93" s="83"/>
      <c r="C93" s="42">
        <v>0</v>
      </c>
      <c r="D93" s="18">
        <f ca="1">((100/(D88+F88+H88))*C93)/100</f>
        <v>0</v>
      </c>
      <c r="E93" s="171"/>
      <c r="F93" s="172"/>
      <c r="G93" s="171"/>
      <c r="H93" s="233"/>
      <c r="I93" s="13" t="s">
        <v>99</v>
      </c>
      <c r="J93" s="29">
        <f ca="1">(IF(B88&gt;1,(H88/(B88+2)),H88/4))</f>
        <v>7.5</v>
      </c>
      <c r="S93"/>
    </row>
    <row r="94" spans="1:19" ht="15.75" customHeight="1" x14ac:dyDescent="0.25">
      <c r="A94" s="106" t="s">
        <v>133</v>
      </c>
      <c r="B94" s="83" t="s">
        <v>127</v>
      </c>
      <c r="C94" s="42">
        <v>0</v>
      </c>
      <c r="D94" s="18">
        <f ca="1">((100/H88)*C94)/100</f>
        <v>0</v>
      </c>
      <c r="E94" s="171"/>
      <c r="F94" s="172"/>
      <c r="G94" s="171"/>
      <c r="H94" s="233"/>
      <c r="I94" s="13" t="s">
        <v>100</v>
      </c>
      <c r="J94" s="29">
        <f ca="1">(IF(B88&gt;1,(H88/(B88+2)+J93),H88/4+J93))</f>
        <v>15</v>
      </c>
    </row>
    <row r="95" spans="1:19" ht="15.75" customHeight="1" x14ac:dyDescent="0.25">
      <c r="A95" s="106" t="s">
        <v>134</v>
      </c>
      <c r="B95" s="83" t="s">
        <v>127</v>
      </c>
      <c r="C95" s="42">
        <v>0</v>
      </c>
      <c r="D95" s="18">
        <f ca="1">((100/H88)*C95)/100</f>
        <v>0</v>
      </c>
      <c r="E95" s="171"/>
      <c r="F95" s="172"/>
      <c r="G95" s="171"/>
      <c r="H95" s="233"/>
      <c r="I95" s="13" t="s">
        <v>143</v>
      </c>
      <c r="J95" s="29">
        <f>(IF(B88&gt;1,(H88/(B88+2)+J94),0))</f>
        <v>0</v>
      </c>
    </row>
    <row r="96" spans="1:19" ht="15" customHeight="1" x14ac:dyDescent="0.25">
      <c r="A96" s="106" t="s">
        <v>132</v>
      </c>
      <c r="B96" s="83" t="s">
        <v>129</v>
      </c>
      <c r="C96" s="42">
        <v>0</v>
      </c>
      <c r="D96" s="18">
        <f ca="1">((100/(H88))*C96)/100</f>
        <v>0</v>
      </c>
      <c r="E96" s="171"/>
      <c r="F96" s="172"/>
      <c r="G96" s="171"/>
      <c r="H96" s="233"/>
      <c r="I96" s="13" t="s">
        <v>140</v>
      </c>
      <c r="J96" s="29">
        <f>(IF(B88&gt;2,(H88/(B88+2)+J95),0))</f>
        <v>0</v>
      </c>
    </row>
    <row r="97" spans="1:11" ht="15.75" customHeight="1" x14ac:dyDescent="0.25">
      <c r="A97" s="106" t="s">
        <v>128</v>
      </c>
      <c r="B97" s="83" t="s">
        <v>128</v>
      </c>
      <c r="C97" s="42">
        <v>0</v>
      </c>
      <c r="D97" s="18">
        <f ca="1">((100/H88)*C97)/100</f>
        <v>0</v>
      </c>
      <c r="E97" s="171"/>
      <c r="F97" s="172"/>
      <c r="G97" s="171"/>
      <c r="H97" s="233"/>
      <c r="I97" s="13" t="s">
        <v>141</v>
      </c>
      <c r="J97" s="30">
        <f>(IF(B88&gt;3,(H88/(B88+2)+J96),0))</f>
        <v>0</v>
      </c>
    </row>
    <row r="98" spans="1:11" ht="15.75" customHeight="1" x14ac:dyDescent="0.25">
      <c r="A98" s="106" t="s">
        <v>135</v>
      </c>
      <c r="B98" s="83"/>
      <c r="C98" s="42">
        <v>0</v>
      </c>
      <c r="D98" s="18">
        <f ca="1">((100/H88)*C98)/100</f>
        <v>0</v>
      </c>
      <c r="E98" s="171"/>
      <c r="F98" s="172"/>
      <c r="G98" s="171"/>
      <c r="H98" s="233"/>
      <c r="I98" s="13" t="s">
        <v>142</v>
      </c>
      <c r="J98" s="29">
        <f>(IF(B88&gt;4,(H88/(B88+2)+J97),0))</f>
        <v>0</v>
      </c>
    </row>
    <row r="99" spans="1:11" ht="15.75" customHeight="1" x14ac:dyDescent="0.25">
      <c r="A99" s="106" t="s">
        <v>130</v>
      </c>
      <c r="B99" s="83" t="s">
        <v>130</v>
      </c>
      <c r="C99" s="42">
        <v>0</v>
      </c>
      <c r="D99" s="18">
        <f ca="1">((100/(H88))*C99)/100</f>
        <v>0</v>
      </c>
      <c r="E99" s="171"/>
      <c r="F99" s="172"/>
      <c r="G99" s="171"/>
      <c r="H99" s="233"/>
      <c r="I99" s="13" t="s">
        <v>144</v>
      </c>
      <c r="J99" s="29">
        <f ca="1">(IF(B88=1,(H88/(B88+3)+J94),IF(B88=0,(H88/4+J94),IF(B88&gt;1,0))))</f>
        <v>22.5</v>
      </c>
    </row>
    <row r="100" spans="1:11" ht="16.5" thickBot="1" x14ac:dyDescent="0.3">
      <c r="A100" s="137" t="s">
        <v>131</v>
      </c>
      <c r="B100" s="138"/>
      <c r="C100" s="43">
        <v>0</v>
      </c>
      <c r="D100" s="19">
        <f ca="1">((100/(H88))*C100)/100</f>
        <v>0</v>
      </c>
      <c r="E100" s="173"/>
      <c r="F100" s="174"/>
      <c r="G100" s="173"/>
      <c r="H100" s="234"/>
      <c r="I100" s="14" t="s">
        <v>101</v>
      </c>
      <c r="J100" s="31">
        <f ca="1">(IF(B88&gt;1.5,(H88/(B88+2)+J94+MAX(0,J95-J94)+MAX(0,J96-J95)+MAX(0,J97-J96)+MAX(0,J98-J97)+MAX(0,J99-J98)),IF(B88=1,(H88/(B88+3)+J99),IF(B88=0,H88/4+J99))))</f>
        <v>30</v>
      </c>
    </row>
    <row r="101" spans="1:11" x14ac:dyDescent="0.25">
      <c r="A101" s="101" t="s">
        <v>137</v>
      </c>
      <c r="B101" s="102"/>
      <c r="C101" s="103" t="s">
        <v>341</v>
      </c>
      <c r="D101" s="104"/>
      <c r="E101" s="104"/>
      <c r="F101" s="104"/>
      <c r="G101" s="104"/>
      <c r="H101" s="105"/>
      <c r="I101" s="46" t="str">
        <f ca="1">IF(D114=100%,"All work Completed. Possession granted to the Building.",IF(D113=100%,"All work Completed, Waiting for OC",I102&amp;""&amp;I103&amp;""&amp;J102&amp;""&amp;J101&amp;" "&amp;J103))</f>
        <v xml:space="preserve">Excavation Completed </v>
      </c>
      <c r="J101" s="47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Possession upto "&amp;C114&amp;" Floor","")))</f>
        <v/>
      </c>
      <c r="K101" s="20" t="s">
        <v>343</v>
      </c>
    </row>
    <row r="102" spans="1:11" x14ac:dyDescent="0.25">
      <c r="A102" s="67" t="s">
        <v>139</v>
      </c>
      <c r="B102" s="58">
        <f>IF(AND(ISNUMBER(SEARCH("1B",C101))),1,IF(AND(ISNUMBER(SEARCH("2B",C101))),2,IF(AND(ISNUMBER(SEARCH("3B",C101))),3,IF(AND(ISNUMBER(SEARCH("4B",C101))),4,IF(ISNUMBER(SEARCH("5B",C101)),5,0)))))</f>
        <v>0</v>
      </c>
      <c r="C102" s="58" t="s">
        <v>68</v>
      </c>
      <c r="D102" s="58">
        <v>1</v>
      </c>
      <c r="E102" s="58" t="s">
        <v>67</v>
      </c>
      <c r="F102" s="58">
        <v>0</v>
      </c>
      <c r="G102" s="58" t="s">
        <v>76</v>
      </c>
      <c r="H102" s="68">
        <f ca="1">--TRIM(RIGHT(SUBSTITUTE(LEFT(C101,_xlfn.AGGREGATE(16,6,FIND({0,1,2,3,4,5,6,7,8,9},C101,ROW(INDIRECT("1:"&amp;LEN(C101)))),1))," ",REPT(" ",LEN(C101))),LEN(C101)))</f>
        <v>30</v>
      </c>
      <c r="I102" s="48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>Excavation</v>
      </c>
      <c r="J102" s="49" t="str">
        <f ca="1">(IF(C105=0,"Work not yet Started.",IF(D105=25%,"Piling work in process",IF(D105=50%,"Excavation work in process",IF(D105=100%,"","0")))))&amp;(IF(C106=0%,"",IF(C106=J107,", Footing work is process",IF(C106=J108,", Footing work Completed",IF(C106=J109,", 1st Basement Completed",IF(C106=J110,", 1st &amp; 2nd Basement Completed",IF(C106=J111,", 1st to 3rd Basement Completed",IF(C106=J112,", 1st to 4th Basement Completed",IF(C106=J113,", Plinth work is process",IF(C106=J114,"","0"))))))))))</f>
        <v/>
      </c>
      <c r="K102" s="20" t="s">
        <v>344</v>
      </c>
    </row>
    <row r="103" spans="1:11" x14ac:dyDescent="0.25">
      <c r="A103" s="239" t="s">
        <v>86</v>
      </c>
      <c r="B103" s="240"/>
      <c r="C103" s="241" t="str">
        <f ca="1">(IF($G$58="NA",I101,"All work Completed. OC Received."))</f>
        <v xml:space="preserve">Excavation Completed </v>
      </c>
      <c r="D103" s="241"/>
      <c r="E103" s="241"/>
      <c r="F103" s="241"/>
      <c r="G103" s="241"/>
      <c r="H103" s="242"/>
      <c r="I103" s="48" t="str">
        <f ca="1">IF(I102&lt;&gt;""," Completed","")</f>
        <v xml:space="preserve"> Completed</v>
      </c>
      <c r="J103" s="49" t="str">
        <f ca="1">IF(J101&lt;&gt;"","Completed","")</f>
        <v/>
      </c>
    </row>
    <row r="104" spans="1:11" ht="15.75" customHeight="1" x14ac:dyDescent="0.25">
      <c r="A104" s="106" t="s">
        <v>46</v>
      </c>
      <c r="B104" s="83"/>
      <c r="C104" s="42" t="s">
        <v>136</v>
      </c>
      <c r="D104" s="42" t="s">
        <v>79</v>
      </c>
      <c r="E104" s="83" t="s">
        <v>81</v>
      </c>
      <c r="F104" s="83"/>
      <c r="G104" s="83" t="s">
        <v>80</v>
      </c>
      <c r="H104" s="129"/>
      <c r="I104" s="13" t="s">
        <v>138</v>
      </c>
      <c r="J104" s="27">
        <f ca="1">H102*25%</f>
        <v>7.5</v>
      </c>
    </row>
    <row r="105" spans="1:11" x14ac:dyDescent="0.25">
      <c r="A105" s="106" t="s">
        <v>125</v>
      </c>
      <c r="B105" s="83"/>
      <c r="C105" s="42">
        <f ca="1">J106</f>
        <v>30</v>
      </c>
      <c r="D105" s="18">
        <f ca="1">((100/H102)*C105)/100</f>
        <v>1</v>
      </c>
      <c r="E105" s="169">
        <f ca="1">(((C106/H102*10)+(40/(D102+F102+H102)*C107)+(7.5/(H102)*C108)+(7.5/(H102)*C109)+(10/H102*C110)+(10/H102*C111)+(5/H102*C112)+(5/H102*C113)+(5/H102*C114))/100)</f>
        <v>0</v>
      </c>
      <c r="F105" s="170"/>
      <c r="G105" s="169">
        <f ca="1">((((C105/H102)*20)+((C106/H102)*25)+(30/(H102+F102+D102)*C107)+(5/H102*C108)+(5/H102*C109)+(5/H102*C110)+(5/H102*C111)+(0/H102*C112)+(0/H102*C113)+(5/H102*C114))/100)</f>
        <v>0.2</v>
      </c>
      <c r="H105" s="232"/>
      <c r="I105" s="13" t="s">
        <v>97</v>
      </c>
      <c r="J105" s="28">
        <f ca="1">H102*50%</f>
        <v>15</v>
      </c>
    </row>
    <row r="106" spans="1:11" x14ac:dyDescent="0.25">
      <c r="A106" s="106" t="s">
        <v>47</v>
      </c>
      <c r="B106" s="83"/>
      <c r="C106" s="50">
        <v>0</v>
      </c>
      <c r="D106" s="18">
        <f ca="1">((100/H102)*C106)/100</f>
        <v>0</v>
      </c>
      <c r="E106" s="171"/>
      <c r="F106" s="172"/>
      <c r="G106" s="171"/>
      <c r="H106" s="233"/>
      <c r="I106" s="13" t="s">
        <v>98</v>
      </c>
      <c r="J106" s="28">
        <f ca="1">H102</f>
        <v>30</v>
      </c>
    </row>
    <row r="107" spans="1:11" ht="15.75" customHeight="1" x14ac:dyDescent="0.25">
      <c r="A107" s="106" t="s">
        <v>126</v>
      </c>
      <c r="B107" s="83"/>
      <c r="C107" s="42">
        <v>0</v>
      </c>
      <c r="D107" s="18">
        <f ca="1">((100/(D102+F102+H102))*C107)/100</f>
        <v>0</v>
      </c>
      <c r="E107" s="171"/>
      <c r="F107" s="172"/>
      <c r="G107" s="171"/>
      <c r="H107" s="233"/>
      <c r="I107" s="13" t="s">
        <v>99</v>
      </c>
      <c r="J107" s="29">
        <f ca="1">(IF(B102&gt;1,(H102/(B102+2)),H102/4))</f>
        <v>7.5</v>
      </c>
    </row>
    <row r="108" spans="1:11" ht="15.75" customHeight="1" x14ac:dyDescent="0.25">
      <c r="A108" s="106" t="s">
        <v>133</v>
      </c>
      <c r="B108" s="83" t="s">
        <v>127</v>
      </c>
      <c r="C108" s="42">
        <v>0</v>
      </c>
      <c r="D108" s="18">
        <f ca="1">((100/H102)*C108)/100</f>
        <v>0</v>
      </c>
      <c r="E108" s="171"/>
      <c r="F108" s="172"/>
      <c r="G108" s="171"/>
      <c r="H108" s="233"/>
      <c r="I108" s="13" t="s">
        <v>100</v>
      </c>
      <c r="J108" s="29">
        <f ca="1">(IF(B102&gt;1,(H102/(B102+2)+J107),H102/4+J107))</f>
        <v>15</v>
      </c>
    </row>
    <row r="109" spans="1:11" ht="15.75" customHeight="1" x14ac:dyDescent="0.25">
      <c r="A109" s="106" t="s">
        <v>134</v>
      </c>
      <c r="B109" s="83" t="s">
        <v>127</v>
      </c>
      <c r="C109" s="42">
        <v>0</v>
      </c>
      <c r="D109" s="18">
        <f ca="1">((100/H102)*C109)/100</f>
        <v>0</v>
      </c>
      <c r="E109" s="171"/>
      <c r="F109" s="172"/>
      <c r="G109" s="171"/>
      <c r="H109" s="233"/>
      <c r="I109" s="13" t="s">
        <v>143</v>
      </c>
      <c r="J109" s="29">
        <f>(IF(B102&gt;1,(H102/(B102+2)+J108),0))</f>
        <v>0</v>
      </c>
    </row>
    <row r="110" spans="1:11" ht="15" customHeight="1" x14ac:dyDescent="0.25">
      <c r="A110" s="106" t="s">
        <v>132</v>
      </c>
      <c r="B110" s="83" t="s">
        <v>129</v>
      </c>
      <c r="C110" s="42">
        <v>0</v>
      </c>
      <c r="D110" s="18">
        <f ca="1">((100/(H102))*C110)/100</f>
        <v>0</v>
      </c>
      <c r="E110" s="171"/>
      <c r="F110" s="172"/>
      <c r="G110" s="171"/>
      <c r="H110" s="233"/>
      <c r="I110" s="13" t="s">
        <v>140</v>
      </c>
      <c r="J110" s="29">
        <f>(IF(B102&gt;2,(H102/(B102+2)+J109),0))</f>
        <v>0</v>
      </c>
    </row>
    <row r="111" spans="1:11" ht="15.75" customHeight="1" x14ac:dyDescent="0.25">
      <c r="A111" s="106" t="s">
        <v>128</v>
      </c>
      <c r="B111" s="83" t="s">
        <v>128</v>
      </c>
      <c r="C111" s="42">
        <v>0</v>
      </c>
      <c r="D111" s="18">
        <f ca="1">((100/H102)*C111)/100</f>
        <v>0</v>
      </c>
      <c r="E111" s="171"/>
      <c r="F111" s="172"/>
      <c r="G111" s="171"/>
      <c r="H111" s="233"/>
      <c r="I111" s="13" t="s">
        <v>141</v>
      </c>
      <c r="J111" s="30">
        <f>(IF(B102&gt;3,(H102/(B102+2)+J110),0))</f>
        <v>0</v>
      </c>
    </row>
    <row r="112" spans="1:11" ht="15.75" customHeight="1" x14ac:dyDescent="0.25">
      <c r="A112" s="106" t="s">
        <v>135</v>
      </c>
      <c r="B112" s="83"/>
      <c r="C112" s="42">
        <v>0</v>
      </c>
      <c r="D112" s="18">
        <f ca="1">((100/H102)*C112)/100</f>
        <v>0</v>
      </c>
      <c r="E112" s="171"/>
      <c r="F112" s="172"/>
      <c r="G112" s="171"/>
      <c r="H112" s="233"/>
      <c r="I112" s="13" t="s">
        <v>142</v>
      </c>
      <c r="J112" s="29">
        <f>(IF(B102&gt;4,(H102/(B102+2)+J111),0))</f>
        <v>0</v>
      </c>
    </row>
    <row r="113" spans="1:10" ht="15.75" customHeight="1" x14ac:dyDescent="0.25">
      <c r="A113" s="106" t="s">
        <v>130</v>
      </c>
      <c r="B113" s="83" t="s">
        <v>130</v>
      </c>
      <c r="C113" s="42">
        <v>0</v>
      </c>
      <c r="D113" s="18">
        <f ca="1">((100/(H102))*C113)/100</f>
        <v>0</v>
      </c>
      <c r="E113" s="171"/>
      <c r="F113" s="172"/>
      <c r="G113" s="171"/>
      <c r="H113" s="233"/>
      <c r="I113" s="13" t="s">
        <v>144</v>
      </c>
      <c r="J113" s="29">
        <f ca="1">(IF(B102=1,(H102/(B102+3)+J108),IF(B102=0,(H102/4+J108),IF(B102&gt;1,0))))</f>
        <v>22.5</v>
      </c>
    </row>
    <row r="114" spans="1:10" ht="16.5" thickBot="1" x14ac:dyDescent="0.3">
      <c r="A114" s="137" t="s">
        <v>131</v>
      </c>
      <c r="B114" s="138"/>
      <c r="C114" s="43">
        <v>0</v>
      </c>
      <c r="D114" s="19">
        <f ca="1">((100/(H102))*C114)/100</f>
        <v>0</v>
      </c>
      <c r="E114" s="173"/>
      <c r="F114" s="174"/>
      <c r="G114" s="173"/>
      <c r="H114" s="234"/>
      <c r="I114" s="14" t="s">
        <v>101</v>
      </c>
      <c r="J114" s="31">
        <f ca="1">(IF(B102&gt;1.5,(H102/(B102+2)+J108+MAX(0,J109-J108)+MAX(0,J110-J109)+MAX(0,J111-J110)+MAX(0,J112-J111)+MAX(0,J113-J112)),IF(B102=1,(H102/(B102+3)+J113),IF(B102=0,H102/4+J113))))</f>
        <v>30</v>
      </c>
    </row>
    <row r="115" spans="1:10" x14ac:dyDescent="0.25">
      <c r="A115" s="76" t="s">
        <v>137</v>
      </c>
      <c r="B115" s="77"/>
      <c r="C115" s="78" t="s">
        <v>299</v>
      </c>
      <c r="D115" s="79"/>
      <c r="E115" s="79"/>
      <c r="F115" s="79"/>
      <c r="G115" s="79"/>
      <c r="H115" s="80"/>
      <c r="I115" s="46" t="str">
        <f ca="1">IF(D128=100%,"All work Completed. Possession granted to the Building.",IF(D127=100%,"All work Completed, Waiting for OC",I116&amp;""&amp;I117&amp;""&amp;J116&amp;""&amp;J115&amp;" "&amp;J117))</f>
        <v xml:space="preserve">Excavation Completed, Footing work Completed </v>
      </c>
      <c r="J115" s="47" t="str">
        <f ca="1">(IF(C121=(D116+F116+H116),"",IF(C121&gt;0,", RCC upto "&amp;C121&amp;" Slab","")))&amp;(IF(C122=H116,"",IF(C122&gt;0,", Brickwork upto "&amp;C122&amp;" Floor","")))&amp;(IF(C123=H116,"",IF(C123&gt;0,", Internal Plaster upto "&amp;C123&amp;" Floor","")))&amp;(IF(C124=H116,"",IF(C124&gt;0,", External Plaster upto "&amp;C124&amp;" Floor","")))&amp;(IF(C125=H116,"",IF(C125&gt;0,", Flooring upto "&amp;C125&amp;" Floor","")))&amp;(IF(C126=H116,"",IF(C126&gt;0,", Painting upto "&amp;C126&amp;" Floor","")))&amp;(IF(C127=H116,"",IF(C127&gt;0,", Finishing upto "&amp;C127&amp;" Floor","")))&amp;(IF(C128=H116,"",IF(C128&gt;0,", Possession upto "&amp;C128&amp;" Floor","")))</f>
        <v/>
      </c>
    </row>
    <row r="116" spans="1:10" x14ac:dyDescent="0.25">
      <c r="A116" s="15" t="s">
        <v>139</v>
      </c>
      <c r="B116" s="44">
        <f>IF(AND(ISNUMBER(SEARCH("1B",C115))),1,IF(AND(ISNUMBER(SEARCH("2B",C115))),2,IF(AND(ISNUMBER(SEARCH("3B",C115))),3,IF(AND(ISNUMBER(SEARCH("4B",C115))),4,IF(ISNUMBER(SEARCH("5B",C115)),5,0)))))</f>
        <v>0</v>
      </c>
      <c r="C116" s="44" t="s">
        <v>68</v>
      </c>
      <c r="D116" s="44">
        <v>1</v>
      </c>
      <c r="E116" s="44" t="s">
        <v>67</v>
      </c>
      <c r="F116" s="58">
        <v>0</v>
      </c>
      <c r="G116" s="45" t="s">
        <v>76</v>
      </c>
      <c r="H116" s="16">
        <f ca="1">--TRIM(RIGHT(SUBSTITUTE(LEFT(C115,_xlfn.AGGREGATE(16,6,FIND({0,1,2,3,4,5,6,7,8,9},C115,ROW(INDIRECT("1:"&amp;LEN(C115)))),1))," ",REPT(" ",LEN(C115))),LEN(C115)))</f>
        <v>30</v>
      </c>
      <c r="I116" s="48" t="str">
        <f ca="1">IF(D119=100%,"Excavation","")&amp;IF(D120=100%,", Plinth","")&amp;IF(D121=100%,", RCC Slab","")&amp;IF(D122=100%,", Brickwork","")&amp;IF(D123=100%,", Internal Plaster","")&amp;IF(D124=100%,", External Plaster","")&amp;IF(D125=100%,", Flooring","")&amp;IF(D126=100%,", Painting","")&amp;IF(D127=100%,", Building common Amenities","")</f>
        <v>Excavation</v>
      </c>
      <c r="J116" s="49" t="str">
        <f ca="1">(IF(C119=0,"Work not yet Started.",IF(D119=25%,"Piling work in process",IF(D119=50%,"Excavation work in process",IF(D119=100%,"","0")))))&amp;(IF(C120=0%,"",IF(C120=J121,", Footing work is process",IF(C120=J122,", Footing work Completed",IF(C120=J123,", 1st Basement Completed",IF(C120=J124,", 1st &amp; 2nd Basement Completed",IF(C120=J125,", 1st to 3rd Basement Completed",IF(C120=J126,", 1st to 4th Basement Completed",IF(C120=J127,", Plinth work is process",IF(C120=J128,"","0"))))))))))</f>
        <v>, Footing work Completed</v>
      </c>
    </row>
    <row r="117" spans="1:10" x14ac:dyDescent="0.25">
      <c r="A117" s="81" t="s">
        <v>86</v>
      </c>
      <c r="B117" s="81"/>
      <c r="C117" s="82" t="str">
        <f ca="1">(IF($G$58="NA",I115,"All work Completed. OC Received."))</f>
        <v xml:space="preserve">Excavation Completed, Footing work Completed </v>
      </c>
      <c r="D117" s="82"/>
      <c r="E117" s="82"/>
      <c r="F117" s="82"/>
      <c r="G117" s="82"/>
      <c r="H117" s="82"/>
      <c r="I117" s="65" t="str">
        <f ca="1">IF(I116&lt;&gt;""," Completed","")</f>
        <v xml:space="preserve"> Completed</v>
      </c>
      <c r="J117" s="49" t="str">
        <f ca="1">IF(J115&lt;&gt;"","Completed","")</f>
        <v/>
      </c>
    </row>
    <row r="118" spans="1:10" ht="15.75" customHeight="1" x14ac:dyDescent="0.25">
      <c r="A118" s="83" t="s">
        <v>46</v>
      </c>
      <c r="B118" s="83"/>
      <c r="C118" s="42" t="s">
        <v>136</v>
      </c>
      <c r="D118" s="42" t="s">
        <v>79</v>
      </c>
      <c r="E118" s="83" t="s">
        <v>81</v>
      </c>
      <c r="F118" s="83"/>
      <c r="G118" s="83" t="s">
        <v>80</v>
      </c>
      <c r="H118" s="83"/>
      <c r="I118" s="13" t="s">
        <v>138</v>
      </c>
      <c r="J118" s="27">
        <f ca="1">H116*25%</f>
        <v>7.5</v>
      </c>
    </row>
    <row r="119" spans="1:10" x14ac:dyDescent="0.25">
      <c r="A119" s="83" t="s">
        <v>125</v>
      </c>
      <c r="B119" s="83"/>
      <c r="C119" s="42">
        <f ca="1">J120</f>
        <v>30</v>
      </c>
      <c r="D119" s="18">
        <f ca="1">((100/H116)*C119)/100</f>
        <v>1</v>
      </c>
      <c r="E119" s="84">
        <f ca="1">(((C120/H116*10)+(40/(D116+F116+H116)*C121)+(7.5/(H116)*C122)+(7.5/(H116)*C123)+(10/H116*C124)+(10/H116*C125)+(5/H116*C126)+(5/H116*C127)+(5/H116*C128))/100)</f>
        <v>0.05</v>
      </c>
      <c r="F119" s="84"/>
      <c r="G119" s="84">
        <f ca="1">((((C119/H116)*20)+((C120/H116)*25)+(30/(H116+F116+D116)*C121)+(5/H116*C122)+(5/H116*C123)+(5/H116*C124)+(5/H116*C125)+(0/H116*C126)+(0/H116*C127)+(5/H116*C128))/100)</f>
        <v>0.32500000000000001</v>
      </c>
      <c r="H119" s="84"/>
      <c r="I119" s="13" t="s">
        <v>97</v>
      </c>
      <c r="J119" s="28">
        <f ca="1">H116*50%</f>
        <v>15</v>
      </c>
    </row>
    <row r="120" spans="1:10" x14ac:dyDescent="0.25">
      <c r="A120" s="83" t="s">
        <v>47</v>
      </c>
      <c r="B120" s="83"/>
      <c r="C120" s="50">
        <f ca="1">J122</f>
        <v>15</v>
      </c>
      <c r="D120" s="18">
        <f ca="1">((100/H116)*C120)/100</f>
        <v>0.5</v>
      </c>
      <c r="E120" s="84"/>
      <c r="F120" s="84"/>
      <c r="G120" s="84"/>
      <c r="H120" s="84"/>
      <c r="I120" s="13" t="s">
        <v>98</v>
      </c>
      <c r="J120" s="28">
        <f ca="1">H116</f>
        <v>30</v>
      </c>
    </row>
    <row r="121" spans="1:10" ht="15.75" customHeight="1" x14ac:dyDescent="0.25">
      <c r="A121" s="83" t="s">
        <v>126</v>
      </c>
      <c r="B121" s="83"/>
      <c r="C121" s="42">
        <v>0</v>
      </c>
      <c r="D121" s="18">
        <f ca="1">((100/(D116+F116+H116))*C121)/100</f>
        <v>0</v>
      </c>
      <c r="E121" s="84"/>
      <c r="F121" s="84"/>
      <c r="G121" s="84"/>
      <c r="H121" s="84"/>
      <c r="I121" s="13" t="s">
        <v>99</v>
      </c>
      <c r="J121" s="29">
        <f ca="1">(IF(B116&gt;1,(H116/(B116+2)),H116/4))</f>
        <v>7.5</v>
      </c>
    </row>
    <row r="122" spans="1:10" ht="15.75" customHeight="1" x14ac:dyDescent="0.25">
      <c r="A122" s="83" t="s">
        <v>133</v>
      </c>
      <c r="B122" s="83" t="s">
        <v>127</v>
      </c>
      <c r="C122" s="42">
        <v>0</v>
      </c>
      <c r="D122" s="18">
        <f ca="1">((100/H116)*C122)/100</f>
        <v>0</v>
      </c>
      <c r="E122" s="84"/>
      <c r="F122" s="84"/>
      <c r="G122" s="84"/>
      <c r="H122" s="84"/>
      <c r="I122" s="13" t="s">
        <v>100</v>
      </c>
      <c r="J122" s="29">
        <f ca="1">(IF(B116&gt;1,(H116/(B116+2)+J121),H116/4+J121))</f>
        <v>15</v>
      </c>
    </row>
    <row r="123" spans="1:10" ht="15.75" customHeight="1" x14ac:dyDescent="0.25">
      <c r="A123" s="83" t="s">
        <v>134</v>
      </c>
      <c r="B123" s="83" t="s">
        <v>127</v>
      </c>
      <c r="C123" s="42">
        <v>0</v>
      </c>
      <c r="D123" s="18">
        <f ca="1">((100/H116)*C123)/100</f>
        <v>0</v>
      </c>
      <c r="E123" s="84"/>
      <c r="F123" s="84"/>
      <c r="G123" s="84"/>
      <c r="H123" s="84"/>
      <c r="I123" s="13" t="s">
        <v>143</v>
      </c>
      <c r="J123" s="29">
        <f>(IF(B116&gt;1,(H116/(B116+2)+J122),0))</f>
        <v>0</v>
      </c>
    </row>
    <row r="124" spans="1:10" ht="15" customHeight="1" x14ac:dyDescent="0.25">
      <c r="A124" s="83" t="s">
        <v>132</v>
      </c>
      <c r="B124" s="83" t="s">
        <v>129</v>
      </c>
      <c r="C124" s="42">
        <v>0</v>
      </c>
      <c r="D124" s="18">
        <f ca="1">((100/(H116))*C124)/100</f>
        <v>0</v>
      </c>
      <c r="E124" s="84"/>
      <c r="F124" s="84"/>
      <c r="G124" s="84"/>
      <c r="H124" s="84"/>
      <c r="I124" s="13" t="s">
        <v>140</v>
      </c>
      <c r="J124" s="29">
        <f>(IF(B116&gt;2,(H116/(B116+2)+J123),0))</f>
        <v>0</v>
      </c>
    </row>
    <row r="125" spans="1:10" ht="15.75" customHeight="1" x14ac:dyDescent="0.25">
      <c r="A125" s="83" t="s">
        <v>128</v>
      </c>
      <c r="B125" s="83" t="s">
        <v>128</v>
      </c>
      <c r="C125" s="42">
        <v>0</v>
      </c>
      <c r="D125" s="18">
        <f ca="1">((100/H116)*C125)/100</f>
        <v>0</v>
      </c>
      <c r="E125" s="84"/>
      <c r="F125" s="84"/>
      <c r="G125" s="84"/>
      <c r="H125" s="84"/>
      <c r="I125" s="13" t="s">
        <v>141</v>
      </c>
      <c r="J125" s="30">
        <f>(IF(B116&gt;3,(H116/(B116+2)+J124),0))</f>
        <v>0</v>
      </c>
    </row>
    <row r="126" spans="1:10" ht="15.75" customHeight="1" x14ac:dyDescent="0.25">
      <c r="A126" s="83" t="s">
        <v>135</v>
      </c>
      <c r="B126" s="83"/>
      <c r="C126" s="42">
        <v>0</v>
      </c>
      <c r="D126" s="18">
        <f ca="1">((100/H116)*C126)/100</f>
        <v>0</v>
      </c>
      <c r="E126" s="84"/>
      <c r="F126" s="84"/>
      <c r="G126" s="84"/>
      <c r="H126" s="84"/>
      <c r="I126" s="13" t="s">
        <v>142</v>
      </c>
      <c r="J126" s="29">
        <f>(IF(B116&gt;4,(H116/(B116+2)+J125),0))</f>
        <v>0</v>
      </c>
    </row>
    <row r="127" spans="1:10" ht="15.75" customHeight="1" x14ac:dyDescent="0.25">
      <c r="A127" s="83" t="s">
        <v>130</v>
      </c>
      <c r="B127" s="83" t="s">
        <v>130</v>
      </c>
      <c r="C127" s="42">
        <v>0</v>
      </c>
      <c r="D127" s="18">
        <f ca="1">((100/(H116))*C127)/100</f>
        <v>0</v>
      </c>
      <c r="E127" s="84"/>
      <c r="F127" s="84"/>
      <c r="G127" s="84"/>
      <c r="H127" s="84"/>
      <c r="I127" s="13" t="s">
        <v>144</v>
      </c>
      <c r="J127" s="29">
        <f ca="1">(IF(B116=1,(H116/(B116+3)+J122),IF(B116=0,(H116/4+J122),IF(B116&gt;1,0))))</f>
        <v>22.5</v>
      </c>
    </row>
    <row r="128" spans="1:10" ht="16.5" thickBot="1" x14ac:dyDescent="0.3">
      <c r="A128" s="83" t="s">
        <v>131</v>
      </c>
      <c r="B128" s="83"/>
      <c r="C128" s="42">
        <v>0</v>
      </c>
      <c r="D128" s="18">
        <f ca="1">((100/(H116))*C128)/100</f>
        <v>0</v>
      </c>
      <c r="E128" s="84"/>
      <c r="F128" s="84"/>
      <c r="G128" s="84"/>
      <c r="H128" s="84"/>
      <c r="I128" s="14" t="s">
        <v>101</v>
      </c>
      <c r="J128" s="31">
        <f ca="1">(IF(B116&gt;1.5,(H116/(B116+2)+J122+MAX(0,J123-J122)+MAX(0,J124-J123)+MAX(0,J125-J124)+MAX(0,J126-J125)+MAX(0,J127-J126)),IF(B116=1,(H116/(B116+3)+J127),IF(B116=0,H116/4+J127))))</f>
        <v>30</v>
      </c>
    </row>
    <row r="129" spans="1:10" ht="33" customHeight="1" x14ac:dyDescent="0.25">
      <c r="A129" s="94" t="s">
        <v>137</v>
      </c>
      <c r="B129" s="94"/>
      <c r="C129" s="94" t="s">
        <v>335</v>
      </c>
      <c r="D129" s="94"/>
      <c r="E129" s="94"/>
      <c r="F129" s="94"/>
      <c r="G129" s="94"/>
      <c r="H129" s="94"/>
      <c r="I129" s="66" t="str">
        <f ca="1">IF(D142=100%,"All work Completed. Possession granted to the Building.",IF(D141=100%,"All work Completed, Waiting for OC",I130&amp;""&amp;I131&amp;""&amp;J130&amp;""&amp;J129&amp;" "&amp;J131))</f>
        <v xml:space="preserve">Excavation Completed </v>
      </c>
      <c r="J129" s="47" t="str">
        <f ca="1">(IF(C135=(D130+F130+H130),"",IF(C135&gt;0,", RCC upto "&amp;C135&amp;" Slab","")))&amp;(IF(C136=H130,"",IF(C136&gt;0,", Brickwork upto "&amp;C136&amp;" Floor","")))&amp;(IF(C137=H130,"",IF(C137&gt;0,", Internal Plaster upto "&amp;C137&amp;" Floor","")))&amp;(IF(C138=H130,"",IF(C138&gt;0,", External Plaster upto "&amp;C138&amp;" Floor","")))&amp;(IF(C139=H130,"",IF(C139&gt;0,", Flooring upto "&amp;C139&amp;" Floor","")))&amp;(IF(C140=H130,"",IF(C140&gt;0,", Painting upto "&amp;C140&amp;" Floor","")))&amp;(IF(C141=H130,"",IF(C141&gt;0,", Finishing upto "&amp;C141&amp;" Floor","")))&amp;(IF(C142=H130,"",IF(C142&gt;0,", Possession upto "&amp;C142&amp;" Floor","")))</f>
        <v/>
      </c>
    </row>
    <row r="130" spans="1:10" x14ac:dyDescent="0.25">
      <c r="A130" s="44" t="s">
        <v>139</v>
      </c>
      <c r="B130" s="44">
        <f>IF(AND(ISNUMBER(SEARCH("1B",C129))),1,IF(AND(ISNUMBER(SEARCH("2B",C129))),2,IF(AND(ISNUMBER(SEARCH("3B",C129))),3,IF(AND(ISNUMBER(SEARCH("4B",C129))),4,IF(ISNUMBER(SEARCH("5B",C129)),5,0)))))</f>
        <v>0</v>
      </c>
      <c r="C130" s="44" t="s">
        <v>68</v>
      </c>
      <c r="D130" s="44">
        <v>1</v>
      </c>
      <c r="E130" s="44" t="s">
        <v>67</v>
      </c>
      <c r="F130" s="58">
        <v>0</v>
      </c>
      <c r="G130" s="45" t="s">
        <v>76</v>
      </c>
      <c r="H130" s="44">
        <f ca="1">--TRIM(RIGHT(SUBSTITUTE(LEFT(C129,_xlfn.AGGREGATE(16,6,FIND({0,1,2,3,4,5,6,7,8,9},C129,ROW(INDIRECT("1:"&amp;LEN(C129)))),1))," ",REPT(" ",LEN(C129))),LEN(C129)))</f>
        <v>30</v>
      </c>
      <c r="I130" s="65" t="str">
        <f ca="1">IF(D133=100%,"Excavation","")&amp;IF(D134=100%,", Plinth","")&amp;IF(D135=100%,", RCC Slab","")&amp;IF(D136=100%,", Brickwork","")&amp;IF(D137=100%,", Internal Plaster","")&amp;IF(D138=100%,", External Plaster","")&amp;IF(D139=100%,", Flooring","")&amp;IF(D140=100%,", Painting","")&amp;IF(D141=100%,", Building common Amenities","")</f>
        <v>Excavation</v>
      </c>
      <c r="J130" s="49" t="str">
        <f ca="1">(IF(C133=0,"Work not yet Started.",IF(D133=25%,"Piling work in process",IF(D133=50%,"Excavation work in process",IF(D133=100%,"","0")))))&amp;(IF(C134=0%,"",IF(C134=J135,", Footing work is process",IF(C134=J136,", Footing work Completed",IF(C134=J137,", 1st Basement Completed",IF(C134=J138,", 1st &amp; 2nd Basement Completed",IF(C134=J139,", 1st to 3rd Basement Completed",IF(C134=J140,", 1st to 4th Basement Completed",IF(C134=J141,", Plinth work is process",IF(C134=J142,"","0"))))))))))</f>
        <v/>
      </c>
    </row>
    <row r="131" spans="1:10" x14ac:dyDescent="0.25">
      <c r="A131" s="81" t="s">
        <v>86</v>
      </c>
      <c r="B131" s="81"/>
      <c r="C131" s="82" t="str">
        <f ca="1">(IF($G$58="NA",I129,"All work Completed. OC Received."))</f>
        <v xml:space="preserve">Excavation Completed </v>
      </c>
      <c r="D131" s="82"/>
      <c r="E131" s="82"/>
      <c r="F131" s="82"/>
      <c r="G131" s="82"/>
      <c r="H131" s="82"/>
      <c r="I131" s="65" t="str">
        <f ca="1">IF(I130&lt;&gt;""," Completed","")</f>
        <v xml:space="preserve"> Completed</v>
      </c>
      <c r="J131" s="49" t="str">
        <f ca="1">IF(J129&lt;&gt;"","Completed","")</f>
        <v/>
      </c>
    </row>
    <row r="132" spans="1:10" ht="15.75" customHeight="1" x14ac:dyDescent="0.25">
      <c r="A132" s="83" t="s">
        <v>46</v>
      </c>
      <c r="B132" s="83"/>
      <c r="C132" s="42" t="s">
        <v>136</v>
      </c>
      <c r="D132" s="42" t="s">
        <v>79</v>
      </c>
      <c r="E132" s="83" t="s">
        <v>81</v>
      </c>
      <c r="F132" s="83"/>
      <c r="G132" s="83" t="s">
        <v>80</v>
      </c>
      <c r="H132" s="83"/>
      <c r="I132" s="13" t="s">
        <v>138</v>
      </c>
      <c r="J132" s="27">
        <f ca="1">H130*25%</f>
        <v>7.5</v>
      </c>
    </row>
    <row r="133" spans="1:10" x14ac:dyDescent="0.25">
      <c r="A133" s="83" t="s">
        <v>125</v>
      </c>
      <c r="B133" s="83"/>
      <c r="C133" s="42">
        <f ca="1">J134</f>
        <v>30</v>
      </c>
      <c r="D133" s="18">
        <f ca="1">((100/H130)*C133)/100</f>
        <v>1</v>
      </c>
      <c r="E133" s="84">
        <f ca="1">(((C134/H130*10)+(40/(D130+F130+H130)*C135)+(7.5/(H130)*C136)+(7.5/(H130)*C137)+(10/H130*C138)+(10/H130*C139)+(5/H130*C140)+(5/H130*C141)+(5/H130*C142))/100)</f>
        <v>0</v>
      </c>
      <c r="F133" s="84"/>
      <c r="G133" s="84">
        <f ca="1">((((C133/H130)*20)+((C134/H130)*25)+(30/(H130+F130+D130)*C135)+(5/H130*C136)+(5/H130*C137)+(5/H130*C138)+(5/H130*C139)+(0/H130*C140)+(0/H130*C141)+(5/H130*C142))/100)</f>
        <v>0.2</v>
      </c>
      <c r="H133" s="84"/>
      <c r="I133" s="13" t="s">
        <v>97</v>
      </c>
      <c r="J133" s="28">
        <f ca="1">H130*50%</f>
        <v>15</v>
      </c>
    </row>
    <row r="134" spans="1:10" x14ac:dyDescent="0.25">
      <c r="A134" s="83" t="s">
        <v>47</v>
      </c>
      <c r="B134" s="83"/>
      <c r="C134" s="42">
        <v>0</v>
      </c>
      <c r="D134" s="18">
        <f ca="1">((100/H130)*C134)/100</f>
        <v>0</v>
      </c>
      <c r="E134" s="84"/>
      <c r="F134" s="84"/>
      <c r="G134" s="84"/>
      <c r="H134" s="84"/>
      <c r="I134" s="13" t="s">
        <v>98</v>
      </c>
      <c r="J134" s="28">
        <f ca="1">H130</f>
        <v>30</v>
      </c>
    </row>
    <row r="135" spans="1:10" ht="15.75" customHeight="1" x14ac:dyDescent="0.25">
      <c r="A135" s="83" t="s">
        <v>126</v>
      </c>
      <c r="B135" s="83"/>
      <c r="C135" s="42">
        <v>0</v>
      </c>
      <c r="D135" s="18">
        <f ca="1">((100/(D130+F130+H130))*C135)/100</f>
        <v>0</v>
      </c>
      <c r="E135" s="84"/>
      <c r="F135" s="84"/>
      <c r="G135" s="84"/>
      <c r="H135" s="84"/>
      <c r="I135" s="13" t="s">
        <v>99</v>
      </c>
      <c r="J135" s="29">
        <f ca="1">(IF(B130&gt;1,(H130/(B130+2)),H130/4))</f>
        <v>7.5</v>
      </c>
    </row>
    <row r="136" spans="1:10" ht="15.75" customHeight="1" x14ac:dyDescent="0.25">
      <c r="A136" s="83" t="s">
        <v>133</v>
      </c>
      <c r="B136" s="83" t="s">
        <v>127</v>
      </c>
      <c r="C136" s="42">
        <v>0</v>
      </c>
      <c r="D136" s="18">
        <f ca="1">((100/H130)*C136)/100</f>
        <v>0</v>
      </c>
      <c r="E136" s="84"/>
      <c r="F136" s="84"/>
      <c r="G136" s="84"/>
      <c r="H136" s="84"/>
      <c r="I136" s="13" t="s">
        <v>100</v>
      </c>
      <c r="J136" s="29">
        <f ca="1">(IF(B130&gt;1,(H130/(B130+2)+J135),H130/4+J135))</f>
        <v>15</v>
      </c>
    </row>
    <row r="137" spans="1:10" ht="15.75" customHeight="1" x14ac:dyDescent="0.25">
      <c r="A137" s="83" t="s">
        <v>134</v>
      </c>
      <c r="B137" s="83" t="s">
        <v>127</v>
      </c>
      <c r="C137" s="42">
        <v>0</v>
      </c>
      <c r="D137" s="18">
        <f ca="1">((100/H130)*C137)/100</f>
        <v>0</v>
      </c>
      <c r="E137" s="84"/>
      <c r="F137" s="84"/>
      <c r="G137" s="84"/>
      <c r="H137" s="84"/>
      <c r="I137" s="13" t="s">
        <v>143</v>
      </c>
      <c r="J137" s="29">
        <f>(IF(B130&gt;1,(H130/(B130+2)+J136),0))</f>
        <v>0</v>
      </c>
    </row>
    <row r="138" spans="1:10" ht="15" customHeight="1" x14ac:dyDescent="0.25">
      <c r="A138" s="83" t="s">
        <v>132</v>
      </c>
      <c r="B138" s="83" t="s">
        <v>129</v>
      </c>
      <c r="C138" s="42">
        <v>0</v>
      </c>
      <c r="D138" s="18">
        <f ca="1">((100/(H130))*C138)/100</f>
        <v>0</v>
      </c>
      <c r="E138" s="84"/>
      <c r="F138" s="84"/>
      <c r="G138" s="84"/>
      <c r="H138" s="84"/>
      <c r="I138" s="13" t="s">
        <v>140</v>
      </c>
      <c r="J138" s="29">
        <f>(IF(B130&gt;2,(H130/(B130+2)+J137),0))</f>
        <v>0</v>
      </c>
    </row>
    <row r="139" spans="1:10" ht="15.75" customHeight="1" x14ac:dyDescent="0.25">
      <c r="A139" s="83" t="s">
        <v>128</v>
      </c>
      <c r="B139" s="83" t="s">
        <v>128</v>
      </c>
      <c r="C139" s="42">
        <v>0</v>
      </c>
      <c r="D139" s="18">
        <f ca="1">((100/H130)*C139)/100</f>
        <v>0</v>
      </c>
      <c r="E139" s="84"/>
      <c r="F139" s="84"/>
      <c r="G139" s="84"/>
      <c r="H139" s="84"/>
      <c r="I139" s="13" t="s">
        <v>141</v>
      </c>
      <c r="J139" s="30">
        <f>(IF(B130&gt;3,(H130/(B130+2)+J138),0))</f>
        <v>0</v>
      </c>
    </row>
    <row r="140" spans="1:10" ht="15.75" customHeight="1" x14ac:dyDescent="0.25">
      <c r="A140" s="83" t="s">
        <v>135</v>
      </c>
      <c r="B140" s="83"/>
      <c r="C140" s="42">
        <v>0</v>
      </c>
      <c r="D140" s="18">
        <f ca="1">((100/H130)*C140)/100</f>
        <v>0</v>
      </c>
      <c r="E140" s="84"/>
      <c r="F140" s="84"/>
      <c r="G140" s="84"/>
      <c r="H140" s="84"/>
      <c r="I140" s="13" t="s">
        <v>142</v>
      </c>
      <c r="J140" s="29">
        <f>(IF(B130&gt;4,(H130/(B130+2)+J139),0))</f>
        <v>0</v>
      </c>
    </row>
    <row r="141" spans="1:10" ht="15.75" customHeight="1" x14ac:dyDescent="0.25">
      <c r="A141" s="83" t="s">
        <v>130</v>
      </c>
      <c r="B141" s="83" t="s">
        <v>130</v>
      </c>
      <c r="C141" s="42">
        <v>0</v>
      </c>
      <c r="D141" s="18">
        <f ca="1">((100/(H130))*C141)/100</f>
        <v>0</v>
      </c>
      <c r="E141" s="84"/>
      <c r="F141" s="84"/>
      <c r="G141" s="84"/>
      <c r="H141" s="84"/>
      <c r="I141" s="13" t="s">
        <v>144</v>
      </c>
      <c r="J141" s="29">
        <f ca="1">(IF(B130=1,(H130/(B130+3)+J136),IF(B130=0,(H130/4+J136),IF(B130&gt;1,0))))</f>
        <v>22.5</v>
      </c>
    </row>
    <row r="142" spans="1:10" ht="16.5" thickBot="1" x14ac:dyDescent="0.3">
      <c r="A142" s="83" t="s">
        <v>131</v>
      </c>
      <c r="B142" s="83"/>
      <c r="C142" s="42">
        <v>0</v>
      </c>
      <c r="D142" s="18">
        <f ca="1">((100/(H130))*C142)/100</f>
        <v>0</v>
      </c>
      <c r="E142" s="84"/>
      <c r="F142" s="84"/>
      <c r="G142" s="84"/>
      <c r="H142" s="84"/>
      <c r="I142" s="14" t="s">
        <v>101</v>
      </c>
      <c r="J142" s="31">
        <f ca="1">(IF(B130&gt;1.5,(H130/(B130+2)+J136+MAX(0,J137-J136)+MAX(0,J138-J137)+MAX(0,J139-J138)+MAX(0,J140-J139)+MAX(0,J141-J140)),IF(B130=1,(H130/(B130+3)+J141),IF(B130=0,H130/4+J141))))</f>
        <v>30</v>
      </c>
    </row>
    <row r="143" spans="1:10" hidden="1" x14ac:dyDescent="0.25">
      <c r="A143" s="244" t="s">
        <v>137</v>
      </c>
      <c r="B143" s="245"/>
      <c r="C143" s="246" t="s">
        <v>333</v>
      </c>
      <c r="D143" s="247"/>
      <c r="E143" s="247"/>
      <c r="F143" s="247"/>
      <c r="G143" s="247"/>
      <c r="H143" s="248"/>
      <c r="I143" s="46" t="str">
        <f ca="1">IF(D156=100%,"All work Completed. Possession granted to the Building.",IF(D155=100%,"All work Completed, Waiting for OC",I144&amp;""&amp;I145&amp;""&amp;J144&amp;""&amp;J143&amp;" "&amp;J145))</f>
        <v xml:space="preserve">Piling work in process </v>
      </c>
      <c r="J143" s="47" t="str">
        <f ca="1">(IF(C149=(D144+F144+H144),"",IF(C149&gt;0,", RCC upto "&amp;C149&amp;" Slab","")))&amp;(IF(C150=H144,"",IF(C150&gt;0,", Brickwork upto "&amp;C150&amp;" Floor","")))&amp;(IF(C151=H144,"",IF(C151&gt;0,", Internal Plaster upto "&amp;C151&amp;" Floor","")))&amp;(IF(C152=H144,"",IF(C152&gt;0,", External Plaster upto "&amp;C152&amp;" Floor","")))&amp;(IF(C153=H144,"",IF(C153&gt;0,", Flooring upto "&amp;C153&amp;" Floor","")))&amp;(IF(C154=H144,"",IF(C154&gt;0,", Painting upto "&amp;C154&amp;" Floor","")))&amp;(IF(C155=H144,"",IF(C155&gt;0,", Finishing upto "&amp;C155&amp;" Floor","")))&amp;(IF(C156=H144,"",IF(C156&gt;0,", Possession upto "&amp;C156&amp;" Floor","")))</f>
        <v/>
      </c>
    </row>
    <row r="144" spans="1:10" hidden="1" x14ac:dyDescent="0.25">
      <c r="A144" s="15" t="s">
        <v>139</v>
      </c>
      <c r="B144" s="44">
        <f>IF(AND(ISNUMBER(SEARCH("1B",C143))),1,IF(AND(ISNUMBER(SEARCH("2B",C143))),2,IF(AND(ISNUMBER(SEARCH("3B",C143))),3,IF(AND(ISNUMBER(SEARCH("4B",C143))),4,IF(ISNUMBER(SEARCH("5B",C143)),5,0)))))</f>
        <v>0</v>
      </c>
      <c r="C144" s="44" t="s">
        <v>68</v>
      </c>
      <c r="D144" s="44">
        <v>1</v>
      </c>
      <c r="E144" s="44" t="s">
        <v>67</v>
      </c>
      <c r="F144" s="58">
        <v>0</v>
      </c>
      <c r="G144" s="45" t="s">
        <v>76</v>
      </c>
      <c r="H144" s="16">
        <f ca="1">--TRIM(RIGHT(SUBSTITUTE(LEFT(C143,_xlfn.AGGREGATE(16,6,FIND({0,1,2,3,4,5,6,7,8,9},C143,ROW(INDIRECT("1:"&amp;LEN(C143)))),1))," ",REPT(" ",LEN(C143))),LEN(C143)))</f>
        <v>30</v>
      </c>
      <c r="I144" s="48" t="str">
        <f ca="1">IF(D147=100%,"Excavation","")&amp;IF(D148=100%,", Plinth","")&amp;IF(D149=100%,", RCC Slab","")&amp;IF(D150=100%,", Brickwork","")&amp;IF(D151=100%,", Internal Plaster","")&amp;IF(D152=100%,", External Plaster","")&amp;IF(D153=100%,", Flooring","")&amp;IF(D154=100%,", Painting","")&amp;IF(D155=100%,", Building common Amenities","")</f>
        <v/>
      </c>
      <c r="J144" s="49" t="str">
        <f ca="1">(IF(C147=0,"Work not yet Started.",IF(D147=25%,"Piling work in process",IF(D147=50%,"Excavation work in process",IF(D147=100%,"","0")))))&amp;(IF(C148=0%,"",IF(C148=J149,", Footing work is process",IF(C148=J150,", Footing work Completed",IF(C148=J151,", 1st Basement Completed",IF(C148=J152,", 1st &amp; 2nd Basement Completed",IF(C148=J153,", 1st to 3rd Basement Completed",IF(C148=J154,", 1st to 4th Basement Completed",IF(C148=J155,", Plinth work is process",IF(C148=J156,"","0"))))))))))</f>
        <v>Piling work in process</v>
      </c>
    </row>
    <row r="145" spans="1:16" hidden="1" x14ac:dyDescent="0.25">
      <c r="A145" s="252" t="s">
        <v>86</v>
      </c>
      <c r="B145" s="81"/>
      <c r="C145" s="82" t="str">
        <f ca="1">(IF($G$58="NA",I143,"All work Completed. OC Received."))</f>
        <v xml:space="preserve">Piling work in process </v>
      </c>
      <c r="D145" s="82"/>
      <c r="E145" s="82"/>
      <c r="F145" s="82"/>
      <c r="G145" s="82"/>
      <c r="H145" s="175"/>
      <c r="I145" s="48" t="str">
        <f ca="1">IF(I144&lt;&gt;""," Completed","")</f>
        <v/>
      </c>
      <c r="J145" s="49" t="str">
        <f ca="1">IF(J143&lt;&gt;"","Completed","")</f>
        <v/>
      </c>
    </row>
    <row r="146" spans="1:16" ht="15.75" hidden="1" customHeight="1" x14ac:dyDescent="0.25">
      <c r="A146" s="106" t="s">
        <v>46</v>
      </c>
      <c r="B146" s="83"/>
      <c r="C146" s="42" t="s">
        <v>136</v>
      </c>
      <c r="D146" s="42" t="s">
        <v>79</v>
      </c>
      <c r="E146" s="83" t="s">
        <v>81</v>
      </c>
      <c r="F146" s="83"/>
      <c r="G146" s="83" t="s">
        <v>80</v>
      </c>
      <c r="H146" s="129"/>
      <c r="I146" s="13" t="s">
        <v>138</v>
      </c>
      <c r="J146" s="27">
        <f ca="1">H144*25%</f>
        <v>7.5</v>
      </c>
    </row>
    <row r="147" spans="1:16" hidden="1" x14ac:dyDescent="0.25">
      <c r="A147" s="106" t="s">
        <v>125</v>
      </c>
      <c r="B147" s="83"/>
      <c r="C147" s="42">
        <f ca="1">J146</f>
        <v>7.5</v>
      </c>
      <c r="D147" s="18">
        <f ca="1">((100/H144)*C147)/100</f>
        <v>0.25</v>
      </c>
      <c r="E147" s="169">
        <f ca="1">(((C148/H144*10)+(40/(D144+F144+H144)*C149)+(7.5/(H144)*C150)+(7.5/(H144)*C151)+(10/H144*C152)+(10/H144*C153)+(5/H144*C154)+(5/H144*C155)+(5/H144*C156))/100)</f>
        <v>0</v>
      </c>
      <c r="F147" s="170"/>
      <c r="G147" s="169">
        <f ca="1">((((C147/H144)*20)+((C148/H144)*25)+(30/(H144+F144+D144)*C149)+(5/H144*C150)+(5/H144*C151)+(5/H144*C152)+(5/H144*C153)+(0/H144*C154)+(0/H144*C155)+(5/H144*C156))/100)</f>
        <v>0.05</v>
      </c>
      <c r="H147" s="232"/>
      <c r="I147" s="13" t="s">
        <v>97</v>
      </c>
      <c r="J147" s="28">
        <f ca="1">H144*50%</f>
        <v>15</v>
      </c>
    </row>
    <row r="148" spans="1:16" hidden="1" x14ac:dyDescent="0.25">
      <c r="A148" s="106" t="s">
        <v>47</v>
      </c>
      <c r="B148" s="83"/>
      <c r="C148" s="42">
        <v>0</v>
      </c>
      <c r="D148" s="18">
        <f ca="1">((100/H144)*C148)/100</f>
        <v>0</v>
      </c>
      <c r="E148" s="171"/>
      <c r="F148" s="172"/>
      <c r="G148" s="171"/>
      <c r="H148" s="233"/>
      <c r="I148" s="13" t="s">
        <v>98</v>
      </c>
      <c r="J148" s="28">
        <f ca="1">H144</f>
        <v>30</v>
      </c>
    </row>
    <row r="149" spans="1:16" ht="15.75" hidden="1" customHeight="1" x14ac:dyDescent="0.25">
      <c r="A149" s="106" t="s">
        <v>126</v>
      </c>
      <c r="B149" s="83"/>
      <c r="C149" s="42">
        <v>0</v>
      </c>
      <c r="D149" s="18">
        <f ca="1">((100/(D144+F144+H144))*C149)/100</f>
        <v>0</v>
      </c>
      <c r="E149" s="171"/>
      <c r="F149" s="172"/>
      <c r="G149" s="171"/>
      <c r="H149" s="233"/>
      <c r="I149" s="13" t="s">
        <v>99</v>
      </c>
      <c r="J149" s="29">
        <f ca="1">(IF(B144&gt;1,(H144/(B144+2)),H144/4))</f>
        <v>7.5</v>
      </c>
    </row>
    <row r="150" spans="1:16" ht="15.75" hidden="1" customHeight="1" x14ac:dyDescent="0.25">
      <c r="A150" s="106" t="s">
        <v>133</v>
      </c>
      <c r="B150" s="83" t="s">
        <v>127</v>
      </c>
      <c r="C150" s="42">
        <v>0</v>
      </c>
      <c r="D150" s="18">
        <f ca="1">((100/H144)*C150)/100</f>
        <v>0</v>
      </c>
      <c r="E150" s="171"/>
      <c r="F150" s="172"/>
      <c r="G150" s="171"/>
      <c r="H150" s="233"/>
      <c r="I150" s="13" t="s">
        <v>100</v>
      </c>
      <c r="J150" s="29">
        <f ca="1">(IF(B144&gt;1,(H144/(B144+2)+J149),H144/4+J149))</f>
        <v>15</v>
      </c>
    </row>
    <row r="151" spans="1:16" ht="15.75" hidden="1" customHeight="1" x14ac:dyDescent="0.25">
      <c r="A151" s="106" t="s">
        <v>134</v>
      </c>
      <c r="B151" s="83" t="s">
        <v>127</v>
      </c>
      <c r="C151" s="42">
        <v>0</v>
      </c>
      <c r="D151" s="18">
        <f ca="1">((100/H144)*C151)/100</f>
        <v>0</v>
      </c>
      <c r="E151" s="171"/>
      <c r="F151" s="172"/>
      <c r="G151" s="171"/>
      <c r="H151" s="233"/>
      <c r="I151" s="13" t="s">
        <v>143</v>
      </c>
      <c r="J151" s="29">
        <f>(IF(B144&gt;1,(H144/(B144+2)+J150),0))</f>
        <v>0</v>
      </c>
    </row>
    <row r="152" spans="1:16" ht="15" hidden="1" customHeight="1" x14ac:dyDescent="0.25">
      <c r="A152" s="106" t="s">
        <v>132</v>
      </c>
      <c r="B152" s="83" t="s">
        <v>129</v>
      </c>
      <c r="C152" s="42">
        <v>0</v>
      </c>
      <c r="D152" s="18">
        <f ca="1">((100/(H144))*C152)/100</f>
        <v>0</v>
      </c>
      <c r="E152" s="171"/>
      <c r="F152" s="172"/>
      <c r="G152" s="171"/>
      <c r="H152" s="233"/>
      <c r="I152" s="13" t="s">
        <v>140</v>
      </c>
      <c r="J152" s="29">
        <f>(IF(B144&gt;2,(H144/(B144+2)+J151),0))</f>
        <v>0</v>
      </c>
    </row>
    <row r="153" spans="1:16" ht="15.75" hidden="1" customHeight="1" x14ac:dyDescent="0.25">
      <c r="A153" s="106" t="s">
        <v>128</v>
      </c>
      <c r="B153" s="83" t="s">
        <v>128</v>
      </c>
      <c r="C153" s="42">
        <v>0</v>
      </c>
      <c r="D153" s="18">
        <f ca="1">((100/H144)*C153)/100</f>
        <v>0</v>
      </c>
      <c r="E153" s="171"/>
      <c r="F153" s="172"/>
      <c r="G153" s="171"/>
      <c r="H153" s="233"/>
      <c r="I153" s="13" t="s">
        <v>141</v>
      </c>
      <c r="J153" s="30">
        <f>(IF(B144&gt;3,(H144/(B144+2)+J152),0))</f>
        <v>0</v>
      </c>
    </row>
    <row r="154" spans="1:16" ht="15.75" hidden="1" customHeight="1" x14ac:dyDescent="0.25">
      <c r="A154" s="106" t="s">
        <v>135</v>
      </c>
      <c r="B154" s="83"/>
      <c r="C154" s="42">
        <v>0</v>
      </c>
      <c r="D154" s="18">
        <f ca="1">((100/H144)*C154)/100</f>
        <v>0</v>
      </c>
      <c r="E154" s="171"/>
      <c r="F154" s="172"/>
      <c r="G154" s="171"/>
      <c r="H154" s="233"/>
      <c r="I154" s="13" t="s">
        <v>142</v>
      </c>
      <c r="J154" s="29">
        <f>(IF(B144&gt;4,(H144/(B144+2)+J153),0))</f>
        <v>0</v>
      </c>
    </row>
    <row r="155" spans="1:16" ht="15.75" hidden="1" customHeight="1" x14ac:dyDescent="0.25">
      <c r="A155" s="106" t="s">
        <v>130</v>
      </c>
      <c r="B155" s="83" t="s">
        <v>130</v>
      </c>
      <c r="C155" s="42">
        <v>0</v>
      </c>
      <c r="D155" s="18">
        <f ca="1">((100/(H144))*C155)/100</f>
        <v>0</v>
      </c>
      <c r="E155" s="171"/>
      <c r="F155" s="172"/>
      <c r="G155" s="171"/>
      <c r="H155" s="233"/>
      <c r="I155" s="13" t="s">
        <v>144</v>
      </c>
      <c r="J155" s="29">
        <f ca="1">(IF(B144=1,(H144/(B144+3)+J150),IF(B144=0,(H144/4+J150),IF(B144&gt;1,0))))</f>
        <v>22.5</v>
      </c>
    </row>
    <row r="156" spans="1:16" ht="16.5" hidden="1" thickBot="1" x14ac:dyDescent="0.3">
      <c r="A156" s="137" t="s">
        <v>131</v>
      </c>
      <c r="B156" s="138"/>
      <c r="C156" s="43">
        <v>0</v>
      </c>
      <c r="D156" s="19">
        <f ca="1">((100/(H144))*C156)/100</f>
        <v>0</v>
      </c>
      <c r="E156" s="173"/>
      <c r="F156" s="174"/>
      <c r="G156" s="173"/>
      <c r="H156" s="234"/>
      <c r="I156" s="14" t="s">
        <v>101</v>
      </c>
      <c r="J156" s="31">
        <f ca="1">(IF(B144&gt;1.5,(H144/(B144+2)+J150+MAX(0,J151-J150)+MAX(0,J152-J151)+MAX(0,J153-J152)+MAX(0,J154-J153)+MAX(0,J155-J154)),IF(B144=1,(H144/(B144+3)+J155),IF(B144=0,H144/4+J155))))</f>
        <v>30</v>
      </c>
    </row>
    <row r="157" spans="1:16" x14ac:dyDescent="0.25">
      <c r="A157" s="261" t="s">
        <v>154</v>
      </c>
      <c r="B157" s="261"/>
      <c r="C157" s="261"/>
      <c r="D157" s="261"/>
      <c r="E157" s="261"/>
      <c r="F157" s="143" t="s">
        <v>157</v>
      </c>
      <c r="G157" s="143"/>
      <c r="H157" s="143"/>
      <c r="I157" s="61" t="s">
        <v>327</v>
      </c>
    </row>
    <row r="158" spans="1:16" x14ac:dyDescent="0.25">
      <c r="A158" s="91" t="s">
        <v>156</v>
      </c>
      <c r="B158" s="91"/>
      <c r="C158" s="91"/>
      <c r="D158" s="91"/>
      <c r="E158" s="91"/>
      <c r="F158" s="88">
        <v>7700</v>
      </c>
      <c r="G158" s="88"/>
      <c r="H158" s="88"/>
      <c r="I158" s="275" t="s">
        <v>325</v>
      </c>
      <c r="J158" s="276"/>
      <c r="K158" s="276"/>
      <c r="L158" s="276"/>
      <c r="M158" s="276"/>
      <c r="N158" s="276"/>
      <c r="O158" s="276"/>
      <c r="P158" s="24">
        <v>45349</v>
      </c>
    </row>
    <row r="159" spans="1:16" x14ac:dyDescent="0.25">
      <c r="A159" s="91" t="s">
        <v>326</v>
      </c>
      <c r="B159" s="91"/>
      <c r="C159" s="91"/>
      <c r="D159" s="91"/>
      <c r="E159" s="91"/>
      <c r="F159" s="88">
        <v>8000</v>
      </c>
      <c r="G159" s="88"/>
      <c r="H159" s="88"/>
      <c r="I159" s="20" t="s">
        <v>336</v>
      </c>
    </row>
    <row r="160" spans="1:16" x14ac:dyDescent="0.25">
      <c r="A160" s="91" t="s">
        <v>328</v>
      </c>
      <c r="B160" s="91"/>
      <c r="C160" s="91"/>
      <c r="D160" s="91"/>
      <c r="E160" s="91"/>
      <c r="F160" s="88">
        <v>8100</v>
      </c>
      <c r="G160" s="88"/>
      <c r="H160" s="88"/>
    </row>
    <row r="161" spans="1:8" s="32" customFormat="1" hidden="1" x14ac:dyDescent="0.25">
      <c r="A161" s="283" t="s">
        <v>155</v>
      </c>
      <c r="B161" s="283"/>
      <c r="C161" s="283"/>
      <c r="D161" s="283"/>
      <c r="E161" s="283"/>
      <c r="F161" s="284">
        <v>12000</v>
      </c>
      <c r="G161" s="284"/>
      <c r="H161" s="284"/>
    </row>
    <row r="162" spans="1:8" s="32" customFormat="1" x14ac:dyDescent="0.25">
      <c r="A162" s="91" t="s">
        <v>91</v>
      </c>
      <c r="B162" s="91"/>
      <c r="C162" s="91"/>
      <c r="D162" s="91"/>
      <c r="E162" s="91"/>
      <c r="F162" s="88">
        <v>200000</v>
      </c>
      <c r="G162" s="88"/>
      <c r="H162" s="88"/>
    </row>
    <row r="163" spans="1:8" s="32" customFormat="1" hidden="1" x14ac:dyDescent="0.25">
      <c r="A163" s="91" t="s">
        <v>92</v>
      </c>
      <c r="B163" s="91"/>
      <c r="C163" s="91"/>
      <c r="D163" s="91"/>
      <c r="E163" s="91"/>
      <c r="F163" s="88"/>
      <c r="G163" s="88"/>
      <c r="H163" s="88"/>
    </row>
    <row r="164" spans="1:8" s="32" customFormat="1" hidden="1" x14ac:dyDescent="0.25">
      <c r="A164" s="91" t="s">
        <v>93</v>
      </c>
      <c r="B164" s="91"/>
      <c r="C164" s="91"/>
      <c r="D164" s="91"/>
      <c r="E164" s="91"/>
      <c r="F164" s="88"/>
      <c r="G164" s="88"/>
      <c r="H164" s="88"/>
    </row>
    <row r="165" spans="1:8" s="32" customFormat="1" hidden="1" x14ac:dyDescent="0.25">
      <c r="A165" s="91" t="s">
        <v>94</v>
      </c>
      <c r="B165" s="91"/>
      <c r="C165" s="91"/>
      <c r="D165" s="91"/>
      <c r="E165" s="91"/>
      <c r="F165" s="88"/>
      <c r="G165" s="88"/>
      <c r="H165" s="88"/>
    </row>
    <row r="166" spans="1:8" s="32" customFormat="1" x14ac:dyDescent="0.25">
      <c r="A166" s="91" t="s">
        <v>95</v>
      </c>
      <c r="B166" s="91"/>
      <c r="C166" s="91"/>
      <c r="D166" s="91"/>
      <c r="E166" s="91"/>
      <c r="F166" s="88">
        <v>100000</v>
      </c>
      <c r="G166" s="88"/>
      <c r="H166" s="88"/>
    </row>
    <row r="167" spans="1:8" s="32" customFormat="1" x14ac:dyDescent="0.25">
      <c r="A167" s="91" t="s">
        <v>96</v>
      </c>
      <c r="B167" s="91"/>
      <c r="C167" s="91"/>
      <c r="D167" s="91"/>
      <c r="E167" s="91"/>
      <c r="F167" s="88">
        <v>100000</v>
      </c>
      <c r="G167" s="88"/>
      <c r="H167" s="88"/>
    </row>
    <row r="168" spans="1:8" x14ac:dyDescent="0.25">
      <c r="A168" s="91" t="s">
        <v>48</v>
      </c>
      <c r="B168" s="91"/>
      <c r="C168" s="91"/>
      <c r="D168" s="91"/>
      <c r="E168" s="91"/>
      <c r="F168" s="88">
        <v>300000</v>
      </c>
      <c r="G168" s="88"/>
      <c r="H168" s="88"/>
    </row>
    <row r="169" spans="1:8" s="33" customFormat="1" x14ac:dyDescent="0.25">
      <c r="A169" s="115" t="s">
        <v>49</v>
      </c>
      <c r="B169" s="115"/>
      <c r="C169" s="115"/>
      <c r="D169" s="115"/>
      <c r="E169" s="115"/>
      <c r="F169" s="88">
        <f>F158*0.8</f>
        <v>6160</v>
      </c>
      <c r="G169" s="88"/>
      <c r="H169" s="88"/>
    </row>
    <row r="170" spans="1:8" s="34" customFormat="1" ht="15.75" hidden="1" customHeight="1" x14ac:dyDescent="0.25">
      <c r="A170" s="178" t="s">
        <v>71</v>
      </c>
      <c r="B170" s="178"/>
      <c r="C170" s="178"/>
      <c r="D170" s="178"/>
      <c r="E170" s="178"/>
      <c r="F170" s="178"/>
      <c r="G170" s="178"/>
      <c r="H170" s="178"/>
    </row>
    <row r="171" spans="1:8" s="34" customFormat="1" ht="15.75" hidden="1" customHeight="1" x14ac:dyDescent="0.25">
      <c r="A171" s="90" t="s">
        <v>50</v>
      </c>
      <c r="B171" s="90"/>
      <c r="C171" s="97" t="s">
        <v>74</v>
      </c>
      <c r="D171" s="97"/>
      <c r="E171" s="95" t="s">
        <v>51</v>
      </c>
      <c r="F171" s="95"/>
      <c r="G171" s="90" t="s">
        <v>52</v>
      </c>
      <c r="H171" s="90"/>
    </row>
    <row r="172" spans="1:8" s="34" customFormat="1" hidden="1" x14ac:dyDescent="0.25">
      <c r="A172" s="96"/>
      <c r="B172" s="96"/>
      <c r="C172" s="254"/>
      <c r="D172" s="254"/>
      <c r="E172" s="255"/>
      <c r="F172" s="255"/>
      <c r="G172" s="136"/>
      <c r="H172" s="136"/>
    </row>
    <row r="173" spans="1:8" s="34" customFormat="1" hidden="1" x14ac:dyDescent="0.25">
      <c r="A173" s="96"/>
      <c r="B173" s="96"/>
      <c r="C173" s="254"/>
      <c r="D173" s="254"/>
      <c r="E173" s="255"/>
      <c r="F173" s="255"/>
      <c r="G173" s="136"/>
      <c r="H173" s="136"/>
    </row>
    <row r="174" spans="1:8" s="34" customFormat="1" hidden="1" x14ac:dyDescent="0.25">
      <c r="A174" s="178" t="s">
        <v>147</v>
      </c>
      <c r="B174" s="178"/>
      <c r="C174" s="97"/>
      <c r="D174" s="97"/>
      <c r="E174" s="95"/>
      <c r="F174" s="95"/>
      <c r="G174" s="90"/>
      <c r="H174" s="90"/>
    </row>
    <row r="175" spans="1:8" s="34" customFormat="1" x14ac:dyDescent="0.25">
      <c r="A175" s="178" t="s">
        <v>66</v>
      </c>
      <c r="B175" s="178"/>
      <c r="C175" s="178"/>
      <c r="D175" s="178"/>
      <c r="E175" s="178"/>
      <c r="F175" s="178"/>
      <c r="G175" s="178"/>
      <c r="H175" s="178"/>
    </row>
    <row r="176" spans="1:8" s="34" customFormat="1" ht="15.75" customHeight="1" x14ac:dyDescent="0.25">
      <c r="A176" s="90" t="s">
        <v>50</v>
      </c>
      <c r="B176" s="90"/>
      <c r="C176" s="97" t="s">
        <v>74</v>
      </c>
      <c r="D176" s="97"/>
      <c r="E176" s="95" t="s">
        <v>51</v>
      </c>
      <c r="F176" s="95"/>
      <c r="G176" s="90" t="s">
        <v>52</v>
      </c>
      <c r="H176" s="90"/>
    </row>
    <row r="177" spans="1:14" s="34" customFormat="1" ht="47.25" x14ac:dyDescent="0.25">
      <c r="A177" s="96" t="s">
        <v>302</v>
      </c>
      <c r="B177" s="56" t="s">
        <v>303</v>
      </c>
      <c r="C177" s="277">
        <f>COUNT(F201:F206)*2+COUNT(F208:F219)*23+COUNT(F221:F225,F227:F232)*5</f>
        <v>343</v>
      </c>
      <c r="D177" s="277"/>
      <c r="E177" s="278">
        <f>SUM(F201:F206)*2+SUM(F208:F219)*23+SUM(F221:F225,F227:F232)*5</f>
        <v>127862.54207999998</v>
      </c>
      <c r="F177" s="278"/>
      <c r="G177" s="278">
        <f>SUM(H201:H206)*2+SUM(H208:H219)*23+SUM(H221:H225,H227:H232)*5</f>
        <v>191793.81311999998</v>
      </c>
      <c r="H177" s="278"/>
      <c r="I177" s="34">
        <f>678/2</f>
        <v>339</v>
      </c>
    </row>
    <row r="178" spans="1:14" s="34" customFormat="1" ht="47.25" x14ac:dyDescent="0.25">
      <c r="A178" s="96"/>
      <c r="B178" s="60" t="s">
        <v>310</v>
      </c>
      <c r="C178" s="277">
        <f>COUNT(F236:F239)*2+COUNT(F241:F252)*23+COUNT(F254:F256,F258:F265)*5</f>
        <v>339</v>
      </c>
      <c r="D178" s="277"/>
      <c r="E178" s="278">
        <f t="shared" ref="E178" si="0">SUM(F236:F239)*2+SUM(F241:F252)*23+SUM(F254:F256,F258:F265)*5</f>
        <v>165305.43899999998</v>
      </c>
      <c r="F178" s="278"/>
      <c r="G178" s="278">
        <f>SUM(H236:H239)*2+SUM(H241:H252)*23+SUM(H254:H256,H258:H265)*5</f>
        <v>247958.15850000002</v>
      </c>
      <c r="H178" s="278"/>
    </row>
    <row r="179" spans="1:14" s="34" customFormat="1" ht="47.25" x14ac:dyDescent="0.25">
      <c r="A179" s="96"/>
      <c r="B179" s="56" t="s">
        <v>313</v>
      </c>
      <c r="C179" s="277">
        <f>COUNT(F269:F274)*2+COUNT(F276:F287)*23+COUNT(F289:F293,F295:F300)*5</f>
        <v>343</v>
      </c>
      <c r="D179" s="277"/>
      <c r="E179" s="278">
        <f>SUM(F269:F274)*2+SUM(F276:F287)*23+SUM(F289:F293,F295:F300)*5</f>
        <v>127862.54207999998</v>
      </c>
      <c r="F179" s="278"/>
      <c r="G179" s="278">
        <f>SUM(H269:H274)*2+SUM(H276:H287)*23+SUM(H289:H293,H295:H300)*5</f>
        <v>191793.81311999998</v>
      </c>
      <c r="H179" s="278"/>
      <c r="J179" s="34">
        <f>295+60</f>
        <v>355</v>
      </c>
    </row>
    <row r="180" spans="1:14" s="34" customFormat="1" ht="31.5" x14ac:dyDescent="0.25">
      <c r="A180" s="56" t="s">
        <v>315</v>
      </c>
      <c r="B180" s="56" t="s">
        <v>314</v>
      </c>
      <c r="C180" s="277">
        <f>COUNT(F305:F308)*2+COUNT(F310:F321)*23+COUNT(F323:F325,F327:F334)*5</f>
        <v>339</v>
      </c>
      <c r="D180" s="277"/>
      <c r="E180" s="278">
        <f>SUM(F305:F308)*2+SUM(F310:F321)*23+SUM(F323:F325,F327:F334)*5</f>
        <v>165305.43899999998</v>
      </c>
      <c r="F180" s="278"/>
      <c r="G180" s="278">
        <f>SUM(H305:H308)*2+SUM(H310:H321)*23+SUM(H323:H325,H327:H334)*5</f>
        <v>247958.15850000002</v>
      </c>
      <c r="H180" s="278"/>
    </row>
    <row r="181" spans="1:14" s="34" customFormat="1" ht="47.25" x14ac:dyDescent="0.25">
      <c r="A181" s="96" t="s">
        <v>316</v>
      </c>
      <c r="B181" s="56" t="s">
        <v>317</v>
      </c>
      <c r="C181" s="277">
        <f>COUNT(F339:F344)*2+COUNT(F346:F357)*23+COUNT(F359:F363,F365:F370)*5</f>
        <v>343</v>
      </c>
      <c r="D181" s="277"/>
      <c r="E181" s="278">
        <f>SUM(F339:F344)*2+SUM(F346:F357)*23+SUM(F359:F363,F365:F370)*5</f>
        <v>127862.54207999998</v>
      </c>
      <c r="F181" s="278"/>
      <c r="G181" s="278">
        <f>SUM(H339:H344)*2+SUM(H346:H357)*23+SUM(H359:H363,H365:H370)*5</f>
        <v>191793.81311999998</v>
      </c>
      <c r="H181" s="278"/>
    </row>
    <row r="182" spans="1:14" s="34" customFormat="1" ht="47.25" x14ac:dyDescent="0.25">
      <c r="A182" s="96"/>
      <c r="B182" s="56" t="s">
        <v>319</v>
      </c>
      <c r="C182" s="277">
        <f>COUNT(F374:F377)*2+COUNT(F379:F390)*17+COUNT(F392:F394,F396:F403)*3</f>
        <v>245</v>
      </c>
      <c r="D182" s="277"/>
      <c r="E182" s="278">
        <f>SUM(F374:F377)*2+SUM(F379:F390)*17+SUM(F392:F394,F396:F403)*3</f>
        <v>119669.30819999997</v>
      </c>
      <c r="F182" s="278"/>
      <c r="G182" s="278">
        <f>SUM(H374:H377)*2+SUM(H379:H390)*17+SUM(H392:H394,H396:H403)*3</f>
        <v>179503.96230000001</v>
      </c>
      <c r="H182" s="278"/>
    </row>
    <row r="183" spans="1:14" s="34" customFormat="1" ht="16.5" thickBot="1" x14ac:dyDescent="0.3">
      <c r="A183" s="152" t="s">
        <v>163</v>
      </c>
      <c r="B183" s="153"/>
      <c r="C183" s="264">
        <f>SUM(C177:D182)</f>
        <v>1952</v>
      </c>
      <c r="D183" s="264"/>
      <c r="E183" s="262">
        <f>SUM(E177:F182)</f>
        <v>833867.81243999989</v>
      </c>
      <c r="F183" s="263"/>
      <c r="G183" s="262">
        <f>SUM(G177:H182)</f>
        <v>1250801.71866</v>
      </c>
      <c r="H183" s="263"/>
    </row>
    <row r="184" spans="1:14" s="33" customFormat="1" x14ac:dyDescent="0.25">
      <c r="A184" s="143" t="s">
        <v>53</v>
      </c>
      <c r="B184" s="143"/>
      <c r="C184" s="143"/>
      <c r="D184" s="143"/>
      <c r="E184" s="143"/>
      <c r="F184" s="143"/>
      <c r="G184" s="143"/>
      <c r="H184" s="143"/>
    </row>
    <row r="185" spans="1:14" x14ac:dyDescent="0.25">
      <c r="A185" s="89" t="s">
        <v>171</v>
      </c>
      <c r="B185" s="89"/>
      <c r="C185" s="89"/>
      <c r="D185" s="89"/>
      <c r="E185" s="89"/>
      <c r="F185" s="89"/>
      <c r="G185" s="89"/>
      <c r="H185" s="89"/>
    </row>
    <row r="186" spans="1:14" ht="47.25" hidden="1" customHeight="1" x14ac:dyDescent="0.25">
      <c r="A186" s="134" t="s">
        <v>117</v>
      </c>
      <c r="B186" s="134" t="s">
        <v>172</v>
      </c>
      <c r="C186" s="134" t="s">
        <v>54</v>
      </c>
      <c r="D186" s="134" t="s">
        <v>229</v>
      </c>
      <c r="E186" s="249" t="s">
        <v>153</v>
      </c>
      <c r="F186" s="134" t="s">
        <v>55</v>
      </c>
      <c r="G186" s="249" t="s">
        <v>56</v>
      </c>
      <c r="H186" s="53" t="s">
        <v>146</v>
      </c>
    </row>
    <row r="187" spans="1:14" s="36" customFormat="1" hidden="1" x14ac:dyDescent="0.25">
      <c r="A187" s="135"/>
      <c r="B187" s="135"/>
      <c r="C187" s="135"/>
      <c r="D187" s="135"/>
      <c r="E187" s="250"/>
      <c r="F187" s="135"/>
      <c r="G187" s="250"/>
      <c r="H187" s="54">
        <v>0.45</v>
      </c>
    </row>
    <row r="188" spans="1:14" s="36" customFormat="1" hidden="1" x14ac:dyDescent="0.25">
      <c r="A188" s="146" t="s">
        <v>116</v>
      </c>
      <c r="B188" s="147"/>
      <c r="C188" s="147"/>
      <c r="D188" s="147"/>
      <c r="E188" s="147"/>
      <c r="F188" s="147"/>
      <c r="G188" s="147"/>
      <c r="H188" s="148"/>
      <c r="J188" s="35"/>
    </row>
    <row r="189" spans="1:14" s="36" customFormat="1" ht="15.75" hidden="1" customHeight="1" x14ac:dyDescent="0.25">
      <c r="A189" s="92">
        <v>1</v>
      </c>
      <c r="B189" s="93"/>
      <c r="C189" s="41"/>
      <c r="D189" s="41"/>
      <c r="E189" s="41">
        <v>0</v>
      </c>
      <c r="F189" s="41">
        <f>D189+E189</f>
        <v>0</v>
      </c>
      <c r="G189" s="41">
        <v>0</v>
      </c>
      <c r="H189" s="41">
        <f>(D189+E189)*(($H$187)+1)</f>
        <v>0</v>
      </c>
      <c r="I189" s="35"/>
      <c r="L189" s="243"/>
      <c r="M189" s="243"/>
      <c r="N189" s="35"/>
    </row>
    <row r="190" spans="1:14" s="36" customFormat="1" ht="15.75" hidden="1" customHeight="1" x14ac:dyDescent="0.25">
      <c r="A190" s="92">
        <f>A189+1</f>
        <v>2</v>
      </c>
      <c r="B190" s="93"/>
      <c r="C190" s="41"/>
      <c r="D190" s="41"/>
      <c r="E190" s="41">
        <v>0</v>
      </c>
      <c r="F190" s="41">
        <f>D190+E190</f>
        <v>0</v>
      </c>
      <c r="G190" s="41">
        <v>0</v>
      </c>
      <c r="H190" s="41">
        <f>(D190+E190)*(($H$187)+1)</f>
        <v>0</v>
      </c>
      <c r="I190" s="35"/>
      <c r="L190" s="243"/>
      <c r="M190" s="243"/>
      <c r="N190" s="35"/>
    </row>
    <row r="191" spans="1:14" s="36" customFormat="1" ht="15.75" hidden="1" customHeight="1" x14ac:dyDescent="0.25">
      <c r="A191" s="92">
        <f>A190+1</f>
        <v>3</v>
      </c>
      <c r="B191" s="93"/>
      <c r="C191" s="41"/>
      <c r="D191" s="41"/>
      <c r="E191" s="41">
        <v>0</v>
      </c>
      <c r="F191" s="41">
        <f>D191+E191</f>
        <v>0</v>
      </c>
      <c r="G191" s="41">
        <v>0</v>
      </c>
      <c r="H191" s="41">
        <f>(D191+E191)*(($H$187)+1)</f>
        <v>0</v>
      </c>
      <c r="I191" s="35"/>
      <c r="L191" s="243"/>
      <c r="M191" s="243"/>
      <c r="N191" s="35"/>
    </row>
    <row r="192" spans="1:14" s="36" customFormat="1" ht="15.75" hidden="1" customHeight="1" x14ac:dyDescent="0.25">
      <c r="A192" s="92">
        <f>A191+1</f>
        <v>4</v>
      </c>
      <c r="B192" s="93"/>
      <c r="C192" s="41"/>
      <c r="D192" s="41"/>
      <c r="E192" s="41">
        <v>0</v>
      </c>
      <c r="F192" s="41">
        <f>D192+E192</f>
        <v>0</v>
      </c>
      <c r="G192" s="41">
        <v>0</v>
      </c>
      <c r="H192" s="41">
        <f>(D192+E192)*(($H$187)+1)</f>
        <v>0</v>
      </c>
      <c r="I192" s="35"/>
      <c r="L192" s="243"/>
      <c r="M192" s="243"/>
      <c r="N192" s="35"/>
    </row>
    <row r="193" spans="1:14" s="36" customFormat="1" hidden="1" x14ac:dyDescent="0.25">
      <c r="A193" s="92"/>
      <c r="B193" s="142"/>
      <c r="C193" s="142"/>
      <c r="D193" s="142"/>
      <c r="E193" s="142"/>
      <c r="F193" s="142"/>
      <c r="G193" s="142"/>
      <c r="H193" s="93"/>
      <c r="I193" s="35"/>
      <c r="N193" s="35"/>
    </row>
    <row r="194" spans="1:14" ht="47.25" customHeight="1" x14ac:dyDescent="0.25">
      <c r="A194" s="144" t="s">
        <v>118</v>
      </c>
      <c r="B194" s="134" t="s">
        <v>173</v>
      </c>
      <c r="C194" s="134" t="s">
        <v>54</v>
      </c>
      <c r="D194" s="134" t="s">
        <v>229</v>
      </c>
      <c r="E194" s="134" t="s">
        <v>228</v>
      </c>
      <c r="F194" s="134" t="s">
        <v>55</v>
      </c>
      <c r="G194" s="249" t="s">
        <v>56</v>
      </c>
      <c r="H194" s="53" t="s">
        <v>146</v>
      </c>
      <c r="I194" s="35"/>
    </row>
    <row r="195" spans="1:14" s="36" customFormat="1" x14ac:dyDescent="0.25">
      <c r="A195" s="145"/>
      <c r="B195" s="135"/>
      <c r="C195" s="135"/>
      <c r="D195" s="135"/>
      <c r="E195" s="135"/>
      <c r="F195" s="135"/>
      <c r="G195" s="250"/>
      <c r="H195" s="59">
        <v>0.5</v>
      </c>
      <c r="I195" s="35"/>
    </row>
    <row r="196" spans="1:14" s="36" customFormat="1" x14ac:dyDescent="0.25">
      <c r="A196" s="139" t="s">
        <v>301</v>
      </c>
      <c r="B196" s="140"/>
      <c r="C196" s="140"/>
      <c r="D196" s="140"/>
      <c r="E196" s="140"/>
      <c r="F196" s="140"/>
      <c r="G196" s="140"/>
      <c r="H196" s="141"/>
      <c r="J196" s="35"/>
    </row>
    <row r="197" spans="1:14" s="36" customFormat="1" x14ac:dyDescent="0.25">
      <c r="A197" s="163" t="s">
        <v>302</v>
      </c>
      <c r="B197" s="164"/>
      <c r="C197" s="164"/>
      <c r="D197" s="164"/>
      <c r="E197" s="164"/>
      <c r="F197" s="164"/>
      <c r="G197" s="164"/>
      <c r="H197" s="165"/>
      <c r="J197" s="35"/>
    </row>
    <row r="198" spans="1:14" s="36" customFormat="1" x14ac:dyDescent="0.25">
      <c r="A198" s="166" t="s">
        <v>303</v>
      </c>
      <c r="B198" s="167"/>
      <c r="C198" s="167"/>
      <c r="D198" s="167"/>
      <c r="E198" s="167"/>
      <c r="F198" s="167"/>
      <c r="G198" s="167"/>
      <c r="H198" s="168"/>
      <c r="J198" s="35"/>
    </row>
    <row r="199" spans="1:14" s="36" customFormat="1" x14ac:dyDescent="0.25">
      <c r="A199" s="146" t="s">
        <v>304</v>
      </c>
      <c r="B199" s="147"/>
      <c r="C199" s="147"/>
      <c r="D199" s="147"/>
      <c r="E199" s="147"/>
      <c r="F199" s="147"/>
      <c r="G199" s="147"/>
      <c r="H199" s="148"/>
      <c r="J199" s="35"/>
    </row>
    <row r="200" spans="1:14" s="36" customFormat="1" x14ac:dyDescent="0.25">
      <c r="A200" s="146" t="s">
        <v>306</v>
      </c>
      <c r="B200" s="147"/>
      <c r="C200" s="147"/>
      <c r="D200" s="147"/>
      <c r="E200" s="147"/>
      <c r="F200" s="147"/>
      <c r="G200" s="147"/>
      <c r="H200" s="148"/>
      <c r="J200" s="35"/>
    </row>
    <row r="201" spans="1:14" s="36" customFormat="1" ht="15.75" customHeight="1" x14ac:dyDescent="0.25">
      <c r="A201" s="92">
        <v>1</v>
      </c>
      <c r="B201" s="93"/>
      <c r="C201" s="41" t="s">
        <v>305</v>
      </c>
      <c r="D201" s="41">
        <f>34.45*10.764</f>
        <v>370.81979999999999</v>
      </c>
      <c r="E201" s="41">
        <f>1*1.15*10.764</f>
        <v>12.378599999999999</v>
      </c>
      <c r="F201" s="41">
        <f t="shared" ref="F201:F206" si="1">D201+E201</f>
        <v>383.19839999999999</v>
      </c>
      <c r="G201" s="41">
        <v>0</v>
      </c>
      <c r="H201" s="41">
        <f t="shared" ref="H201:H206" si="2">F201*(($H$195)+1)+(IF(G201&lt;101,G201,IF(G201&lt;201,G201/2,IF(G201&lt;=301,G201/3,G201/4))))</f>
        <v>574.79759999999999</v>
      </c>
      <c r="I201" s="35"/>
      <c r="J201" s="36">
        <f>2.75*4.35+2*2.45+2.75*3.45+1.5*1+1.65*1.05+0.9*2.2+1.12*1.79</f>
        <v>33.567299999999996</v>
      </c>
      <c r="L201" s="243"/>
      <c r="M201" s="243"/>
      <c r="N201" s="35"/>
    </row>
    <row r="202" spans="1:14" s="36" customFormat="1" ht="15.75" customHeight="1" x14ac:dyDescent="0.25">
      <c r="A202" s="92">
        <f>A201+1</f>
        <v>2</v>
      </c>
      <c r="B202" s="93"/>
      <c r="C202" s="41" t="s">
        <v>305</v>
      </c>
      <c r="D202" s="41">
        <f t="shared" ref="D202:D206" si="3">34.45*10.764</f>
        <v>370.81979999999999</v>
      </c>
      <c r="E202" s="41">
        <f t="shared" ref="E202:E206" si="4">1*1.15*10.764</f>
        <v>12.378599999999999</v>
      </c>
      <c r="F202" s="41">
        <f t="shared" si="1"/>
        <v>383.19839999999999</v>
      </c>
      <c r="G202" s="41">
        <v>0</v>
      </c>
      <c r="H202" s="41">
        <f t="shared" si="2"/>
        <v>574.79759999999999</v>
      </c>
      <c r="I202" s="35"/>
      <c r="L202" s="243"/>
      <c r="M202" s="243"/>
      <c r="N202" s="35"/>
    </row>
    <row r="203" spans="1:14" s="36" customFormat="1" ht="15.75" customHeight="1" x14ac:dyDescent="0.25">
      <c r="A203" s="92">
        <f>A202+1</f>
        <v>3</v>
      </c>
      <c r="B203" s="93"/>
      <c r="C203" s="41" t="s">
        <v>305</v>
      </c>
      <c r="D203" s="41">
        <f t="shared" si="3"/>
        <v>370.81979999999999</v>
      </c>
      <c r="E203" s="41">
        <f t="shared" si="4"/>
        <v>12.378599999999999</v>
      </c>
      <c r="F203" s="41">
        <f t="shared" si="1"/>
        <v>383.19839999999999</v>
      </c>
      <c r="G203" s="41">
        <v>0</v>
      </c>
      <c r="H203" s="41">
        <f t="shared" si="2"/>
        <v>574.79759999999999</v>
      </c>
      <c r="I203" s="35"/>
      <c r="L203" s="243"/>
      <c r="M203" s="243"/>
      <c r="N203" s="35"/>
    </row>
    <row r="204" spans="1:14" s="36" customFormat="1" ht="15.75" customHeight="1" x14ac:dyDescent="0.25">
      <c r="A204" s="92">
        <f>A203+1</f>
        <v>4</v>
      </c>
      <c r="B204" s="93"/>
      <c r="C204" s="41" t="s">
        <v>305</v>
      </c>
      <c r="D204" s="41">
        <f t="shared" si="3"/>
        <v>370.81979999999999</v>
      </c>
      <c r="E204" s="41">
        <f t="shared" si="4"/>
        <v>12.378599999999999</v>
      </c>
      <c r="F204" s="41">
        <f t="shared" si="1"/>
        <v>383.19839999999999</v>
      </c>
      <c r="G204" s="41">
        <v>0</v>
      </c>
      <c r="H204" s="41">
        <f t="shared" si="2"/>
        <v>574.79759999999999</v>
      </c>
      <c r="I204" s="35"/>
      <c r="L204" s="243"/>
      <c r="M204" s="243"/>
      <c r="N204" s="35"/>
    </row>
    <row r="205" spans="1:14" s="36" customFormat="1" ht="15.75" customHeight="1" x14ac:dyDescent="0.25">
      <c r="A205" s="92">
        <f>A204+1</f>
        <v>5</v>
      </c>
      <c r="B205" s="93"/>
      <c r="C205" s="41" t="s">
        <v>305</v>
      </c>
      <c r="D205" s="41">
        <f t="shared" si="3"/>
        <v>370.81979999999999</v>
      </c>
      <c r="E205" s="41">
        <f t="shared" si="4"/>
        <v>12.378599999999999</v>
      </c>
      <c r="F205" s="41">
        <f t="shared" si="1"/>
        <v>383.19839999999999</v>
      </c>
      <c r="G205" s="41">
        <v>0</v>
      </c>
      <c r="H205" s="41">
        <f t="shared" si="2"/>
        <v>574.79759999999999</v>
      </c>
      <c r="I205" s="35"/>
      <c r="L205" s="243"/>
      <c r="M205" s="243"/>
      <c r="N205" s="35"/>
    </row>
    <row r="206" spans="1:14" s="36" customFormat="1" ht="15.75" customHeight="1" x14ac:dyDescent="0.25">
      <c r="A206" s="92">
        <f>A205+1</f>
        <v>6</v>
      </c>
      <c r="B206" s="93"/>
      <c r="C206" s="41" t="s">
        <v>305</v>
      </c>
      <c r="D206" s="41">
        <f t="shared" si="3"/>
        <v>370.81979999999999</v>
      </c>
      <c r="E206" s="41">
        <f t="shared" si="4"/>
        <v>12.378599999999999</v>
      </c>
      <c r="F206" s="41">
        <f t="shared" si="1"/>
        <v>383.19839999999999</v>
      </c>
      <c r="G206" s="41">
        <v>0</v>
      </c>
      <c r="H206" s="41">
        <f t="shared" si="2"/>
        <v>574.79759999999999</v>
      </c>
      <c r="I206" s="35"/>
      <c r="L206" s="243"/>
      <c r="M206" s="243"/>
      <c r="N206" s="35"/>
    </row>
    <row r="207" spans="1:14" s="36" customFormat="1" x14ac:dyDescent="0.25">
      <c r="A207" s="179" t="s">
        <v>307</v>
      </c>
      <c r="B207" s="179"/>
      <c r="C207" s="179"/>
      <c r="D207" s="179"/>
      <c r="E207" s="179"/>
      <c r="F207" s="179"/>
      <c r="G207" s="179"/>
      <c r="H207" s="179"/>
      <c r="I207" s="35"/>
      <c r="L207" s="243"/>
      <c r="M207" s="243"/>
    </row>
    <row r="208" spans="1:14" s="36" customFormat="1" x14ac:dyDescent="0.25">
      <c r="A208" s="133">
        <v>1</v>
      </c>
      <c r="B208" s="133"/>
      <c r="C208" s="41" t="s">
        <v>305</v>
      </c>
      <c r="D208" s="41">
        <f>34.45*10.764</f>
        <v>370.81979999999999</v>
      </c>
      <c r="E208" s="41">
        <f>1*1.15*10.764</f>
        <v>12.378599999999999</v>
      </c>
      <c r="F208" s="41">
        <f t="shared" ref="F208:F219" si="5">D208+E208</f>
        <v>383.19839999999999</v>
      </c>
      <c r="G208" s="41">
        <v>0</v>
      </c>
      <c r="H208" s="41">
        <f t="shared" ref="H208:H219" si="6">F208*(($H$195)+1)+(IF(G208&lt;101,G208,IF(G208&lt;201,G208/2,IF(G208&lt;=301,G208/3,G208/4))))</f>
        <v>574.79759999999999</v>
      </c>
      <c r="I208" s="35"/>
      <c r="N208" s="35"/>
    </row>
    <row r="209" spans="1:14" s="36" customFormat="1" x14ac:dyDescent="0.25">
      <c r="A209" s="133">
        <f t="shared" ref="A209:A219" si="7">A208+1</f>
        <v>2</v>
      </c>
      <c r="B209" s="133"/>
      <c r="C209" s="41" t="s">
        <v>305</v>
      </c>
      <c r="D209" s="41">
        <f t="shared" ref="D209:D215" si="8">34.45*10.764</f>
        <v>370.81979999999999</v>
      </c>
      <c r="E209" s="41">
        <f t="shared" ref="E209:E215" si="9">1*1.15*10.764</f>
        <v>12.378599999999999</v>
      </c>
      <c r="F209" s="41">
        <f t="shared" si="5"/>
        <v>383.19839999999999</v>
      </c>
      <c r="G209" s="41">
        <v>0</v>
      </c>
      <c r="H209" s="41">
        <f t="shared" si="6"/>
        <v>574.79759999999999</v>
      </c>
      <c r="I209" s="35"/>
      <c r="N209" s="35"/>
    </row>
    <row r="210" spans="1:14" s="36" customFormat="1" x14ac:dyDescent="0.25">
      <c r="A210" s="133">
        <f t="shared" si="7"/>
        <v>3</v>
      </c>
      <c r="B210" s="133"/>
      <c r="C210" s="41" t="s">
        <v>305</v>
      </c>
      <c r="D210" s="41">
        <f t="shared" si="8"/>
        <v>370.81979999999999</v>
      </c>
      <c r="E210" s="41">
        <f t="shared" si="9"/>
        <v>12.378599999999999</v>
      </c>
      <c r="F210" s="41">
        <f t="shared" si="5"/>
        <v>383.19839999999999</v>
      </c>
      <c r="G210" s="41">
        <v>0</v>
      </c>
      <c r="H210" s="41">
        <f t="shared" si="6"/>
        <v>574.79759999999999</v>
      </c>
      <c r="I210" s="35"/>
      <c r="N210" s="35"/>
    </row>
    <row r="211" spans="1:14" s="36" customFormat="1" x14ac:dyDescent="0.25">
      <c r="A211" s="133">
        <f t="shared" si="7"/>
        <v>4</v>
      </c>
      <c r="B211" s="133"/>
      <c r="C211" s="41" t="s">
        <v>305</v>
      </c>
      <c r="D211" s="41">
        <f t="shared" si="8"/>
        <v>370.81979999999999</v>
      </c>
      <c r="E211" s="41">
        <f t="shared" si="9"/>
        <v>12.378599999999999</v>
      </c>
      <c r="F211" s="41">
        <f t="shared" si="5"/>
        <v>383.19839999999999</v>
      </c>
      <c r="G211" s="41">
        <v>0</v>
      </c>
      <c r="H211" s="41">
        <f t="shared" si="6"/>
        <v>574.79759999999999</v>
      </c>
      <c r="I211" s="35"/>
      <c r="N211" s="35"/>
    </row>
    <row r="212" spans="1:14" s="36" customFormat="1" x14ac:dyDescent="0.25">
      <c r="A212" s="133">
        <f t="shared" si="7"/>
        <v>5</v>
      </c>
      <c r="B212" s="133"/>
      <c r="C212" s="41" t="s">
        <v>305</v>
      </c>
      <c r="D212" s="41">
        <f t="shared" si="8"/>
        <v>370.81979999999999</v>
      </c>
      <c r="E212" s="41">
        <f t="shared" si="9"/>
        <v>12.378599999999999</v>
      </c>
      <c r="F212" s="41">
        <f t="shared" si="5"/>
        <v>383.19839999999999</v>
      </c>
      <c r="G212" s="41">
        <v>0</v>
      </c>
      <c r="H212" s="41">
        <f t="shared" si="6"/>
        <v>574.79759999999999</v>
      </c>
      <c r="I212" s="35"/>
      <c r="N212" s="35"/>
    </row>
    <row r="213" spans="1:14" s="36" customFormat="1" x14ac:dyDescent="0.25">
      <c r="A213" s="133">
        <f t="shared" si="7"/>
        <v>6</v>
      </c>
      <c r="B213" s="133"/>
      <c r="C213" s="41" t="s">
        <v>305</v>
      </c>
      <c r="D213" s="41">
        <f t="shared" si="8"/>
        <v>370.81979999999999</v>
      </c>
      <c r="E213" s="41">
        <f t="shared" si="9"/>
        <v>12.378599999999999</v>
      </c>
      <c r="F213" s="41">
        <f t="shared" si="5"/>
        <v>383.19839999999999</v>
      </c>
      <c r="G213" s="41">
        <v>0</v>
      </c>
      <c r="H213" s="41">
        <f t="shared" si="6"/>
        <v>574.79759999999999</v>
      </c>
      <c r="I213" s="35"/>
      <c r="N213" s="35"/>
    </row>
    <row r="214" spans="1:14" s="36" customFormat="1" x14ac:dyDescent="0.25">
      <c r="A214" s="133">
        <f t="shared" si="7"/>
        <v>7</v>
      </c>
      <c r="B214" s="133"/>
      <c r="C214" s="41" t="s">
        <v>305</v>
      </c>
      <c r="D214" s="41">
        <f t="shared" si="8"/>
        <v>370.81979999999999</v>
      </c>
      <c r="E214" s="41">
        <f t="shared" si="9"/>
        <v>12.378599999999999</v>
      </c>
      <c r="F214" s="41">
        <f t="shared" si="5"/>
        <v>383.19839999999999</v>
      </c>
      <c r="G214" s="41">
        <v>0</v>
      </c>
      <c r="H214" s="41">
        <f t="shared" si="6"/>
        <v>574.79759999999999</v>
      </c>
      <c r="I214" s="35"/>
      <c r="N214" s="35"/>
    </row>
    <row r="215" spans="1:14" s="36" customFormat="1" x14ac:dyDescent="0.25">
      <c r="A215" s="133">
        <f t="shared" si="7"/>
        <v>8</v>
      </c>
      <c r="B215" s="133"/>
      <c r="C215" s="41" t="s">
        <v>305</v>
      </c>
      <c r="D215" s="41">
        <f t="shared" si="8"/>
        <v>370.81979999999999</v>
      </c>
      <c r="E215" s="41">
        <f t="shared" si="9"/>
        <v>12.378599999999999</v>
      </c>
      <c r="F215" s="41">
        <f t="shared" si="5"/>
        <v>383.19839999999999</v>
      </c>
      <c r="G215" s="41">
        <v>0</v>
      </c>
      <c r="H215" s="41">
        <f t="shared" si="6"/>
        <v>574.79759999999999</v>
      </c>
      <c r="I215" s="35"/>
      <c r="N215" s="35"/>
    </row>
    <row r="216" spans="1:14" s="36" customFormat="1" x14ac:dyDescent="0.25">
      <c r="A216" s="133">
        <f t="shared" si="7"/>
        <v>9</v>
      </c>
      <c r="B216" s="133"/>
      <c r="C216" s="41" t="s">
        <v>305</v>
      </c>
      <c r="D216" s="41">
        <f>29.67*10.764</f>
        <v>319.36788000000001</v>
      </c>
      <c r="E216" s="41">
        <v>0</v>
      </c>
      <c r="F216" s="41">
        <f t="shared" si="5"/>
        <v>319.36788000000001</v>
      </c>
      <c r="G216" s="41">
        <v>0</v>
      </c>
      <c r="H216" s="41">
        <f t="shared" si="6"/>
        <v>479.05182000000002</v>
      </c>
      <c r="I216" s="35"/>
      <c r="N216" s="35"/>
    </row>
    <row r="217" spans="1:14" s="36" customFormat="1" x14ac:dyDescent="0.25">
      <c r="A217" s="133">
        <f t="shared" si="7"/>
        <v>10</v>
      </c>
      <c r="B217" s="133"/>
      <c r="C217" s="41" t="s">
        <v>305</v>
      </c>
      <c r="D217" s="41">
        <f>29.67*10.764</f>
        <v>319.36788000000001</v>
      </c>
      <c r="E217" s="41">
        <v>0</v>
      </c>
      <c r="F217" s="41">
        <f t="shared" si="5"/>
        <v>319.36788000000001</v>
      </c>
      <c r="G217" s="41">
        <v>0</v>
      </c>
      <c r="H217" s="41">
        <f t="shared" si="6"/>
        <v>479.05182000000002</v>
      </c>
      <c r="I217" s="35"/>
      <c r="N217" s="35"/>
    </row>
    <row r="218" spans="1:14" s="36" customFormat="1" x14ac:dyDescent="0.25">
      <c r="A218" s="133">
        <f t="shared" si="7"/>
        <v>11</v>
      </c>
      <c r="B218" s="133"/>
      <c r="C218" s="41" t="s">
        <v>305</v>
      </c>
      <c r="D218" s="41">
        <f t="shared" ref="D218:D219" si="10">34.45*10.764</f>
        <v>370.81979999999999</v>
      </c>
      <c r="E218" s="41">
        <f t="shared" ref="E218:E219" si="11">1*1.15*10.764</f>
        <v>12.378599999999999</v>
      </c>
      <c r="F218" s="41">
        <f t="shared" si="5"/>
        <v>383.19839999999999</v>
      </c>
      <c r="G218" s="41">
        <v>0</v>
      </c>
      <c r="H218" s="41">
        <f t="shared" si="6"/>
        <v>574.79759999999999</v>
      </c>
      <c r="I218" s="35"/>
      <c r="N218" s="35"/>
    </row>
    <row r="219" spans="1:14" s="36" customFormat="1" x14ac:dyDescent="0.25">
      <c r="A219" s="133">
        <f t="shared" si="7"/>
        <v>12</v>
      </c>
      <c r="B219" s="133"/>
      <c r="C219" s="41" t="s">
        <v>305</v>
      </c>
      <c r="D219" s="41">
        <f t="shared" si="10"/>
        <v>370.81979999999999</v>
      </c>
      <c r="E219" s="41">
        <f t="shared" si="11"/>
        <v>12.378599999999999</v>
      </c>
      <c r="F219" s="41">
        <f t="shared" si="5"/>
        <v>383.19839999999999</v>
      </c>
      <c r="G219" s="41">
        <v>0</v>
      </c>
      <c r="H219" s="41">
        <f t="shared" si="6"/>
        <v>574.79759999999999</v>
      </c>
      <c r="I219" s="35"/>
      <c r="N219" s="35"/>
    </row>
    <row r="220" spans="1:14" s="36" customFormat="1" x14ac:dyDescent="0.25">
      <c r="A220" s="179" t="s">
        <v>309</v>
      </c>
      <c r="B220" s="179"/>
      <c r="C220" s="179"/>
      <c r="D220" s="179"/>
      <c r="E220" s="179"/>
      <c r="F220" s="179"/>
      <c r="G220" s="179"/>
      <c r="H220" s="179"/>
      <c r="I220" s="35"/>
      <c r="L220" s="243"/>
      <c r="M220" s="243"/>
    </row>
    <row r="221" spans="1:14" s="36" customFormat="1" x14ac:dyDescent="0.25">
      <c r="A221" s="133">
        <v>1</v>
      </c>
      <c r="B221" s="133"/>
      <c r="C221" s="41" t="s">
        <v>305</v>
      </c>
      <c r="D221" s="41">
        <f>34.45*10.764</f>
        <v>370.81979999999999</v>
      </c>
      <c r="E221" s="41">
        <f>1*1.15*10.764</f>
        <v>12.378599999999999</v>
      </c>
      <c r="F221" s="41">
        <f>D221+E221</f>
        <v>383.19839999999999</v>
      </c>
      <c r="G221" s="41">
        <v>0</v>
      </c>
      <c r="H221" s="41">
        <f>F221*(($H$195)+1)+(IF(G221&lt;101,G221,IF(G221&lt;201,G221/2,IF(G221&lt;=301,G221/3,G221/4))))</f>
        <v>574.79759999999999</v>
      </c>
      <c r="I221" s="35"/>
      <c r="N221" s="35"/>
    </row>
    <row r="222" spans="1:14" s="36" customFormat="1" x14ac:dyDescent="0.25">
      <c r="A222" s="133">
        <f t="shared" ref="A222:A232" si="12">A221+1</f>
        <v>2</v>
      </c>
      <c r="B222" s="133"/>
      <c r="C222" s="41" t="s">
        <v>305</v>
      </c>
      <c r="D222" s="41">
        <f t="shared" ref="D222:D228" si="13">34.45*10.764</f>
        <v>370.81979999999999</v>
      </c>
      <c r="E222" s="41">
        <f t="shared" ref="E222:E228" si="14">1*1.15*10.764</f>
        <v>12.378599999999999</v>
      </c>
      <c r="F222" s="41">
        <f>D222+E222</f>
        <v>383.19839999999999</v>
      </c>
      <c r="G222" s="41">
        <v>0</v>
      </c>
      <c r="H222" s="41">
        <f>F222*(($H$195)+1)+(IF(G222&lt;101,G222,IF(G222&lt;201,G222/2,IF(G222&lt;=301,G222/3,G222/4))))</f>
        <v>574.79759999999999</v>
      </c>
      <c r="I222" s="35"/>
      <c r="N222" s="35"/>
    </row>
    <row r="223" spans="1:14" s="36" customFormat="1" x14ac:dyDescent="0.25">
      <c r="A223" s="133">
        <f t="shared" si="12"/>
        <v>3</v>
      </c>
      <c r="B223" s="133"/>
      <c r="C223" s="41" t="s">
        <v>305</v>
      </c>
      <c r="D223" s="41">
        <f t="shared" si="13"/>
        <v>370.81979999999999</v>
      </c>
      <c r="E223" s="41">
        <f t="shared" si="14"/>
        <v>12.378599999999999</v>
      </c>
      <c r="F223" s="41">
        <f>D223+E223</f>
        <v>383.19839999999999</v>
      </c>
      <c r="G223" s="41">
        <v>0</v>
      </c>
      <c r="H223" s="41">
        <f>F223*(($H$195)+1)+(IF(G223&lt;101,G223,IF(G223&lt;201,G223/2,IF(G223&lt;=301,G223/3,G223/4))))</f>
        <v>574.79759999999999</v>
      </c>
      <c r="I223" s="35"/>
      <c r="N223" s="35"/>
    </row>
    <row r="224" spans="1:14" s="36" customFormat="1" x14ac:dyDescent="0.25">
      <c r="A224" s="133">
        <f t="shared" si="12"/>
        <v>4</v>
      </c>
      <c r="B224" s="133"/>
      <c r="C224" s="41" t="s">
        <v>305</v>
      </c>
      <c r="D224" s="41">
        <f t="shared" si="13"/>
        <v>370.81979999999999</v>
      </c>
      <c r="E224" s="41">
        <f t="shared" si="14"/>
        <v>12.378599999999999</v>
      </c>
      <c r="F224" s="41">
        <f>D224+E224</f>
        <v>383.19839999999999</v>
      </c>
      <c r="G224" s="41">
        <v>0</v>
      </c>
      <c r="H224" s="41">
        <f>F224*(($H$195)+1)+(IF(G224&lt;101,G224,IF(G224&lt;201,G224/2,IF(G224&lt;=301,G224/3,G224/4))))</f>
        <v>574.79759999999999</v>
      </c>
      <c r="I224" s="35"/>
      <c r="N224" s="35"/>
    </row>
    <row r="225" spans="1:14" s="36" customFormat="1" x14ac:dyDescent="0.25">
      <c r="A225" s="133">
        <f t="shared" si="12"/>
        <v>5</v>
      </c>
      <c r="B225" s="133"/>
      <c r="C225" s="41" t="s">
        <v>305</v>
      </c>
      <c r="D225" s="41">
        <f t="shared" si="13"/>
        <v>370.81979999999999</v>
      </c>
      <c r="E225" s="41">
        <f t="shared" si="14"/>
        <v>12.378599999999999</v>
      </c>
      <c r="F225" s="41">
        <f>D225+E225</f>
        <v>383.19839999999999</v>
      </c>
      <c r="G225" s="41">
        <v>0</v>
      </c>
      <c r="H225" s="41">
        <f>F225*(($H$195)+1)+(IF(G225&lt;101,G225,IF(G225&lt;201,G225/2,IF(G225&lt;=301,G225/3,G225/4))))</f>
        <v>574.79759999999999</v>
      </c>
      <c r="I225" s="35"/>
      <c r="N225" s="35"/>
    </row>
    <row r="226" spans="1:14" s="36" customFormat="1" x14ac:dyDescent="0.25">
      <c r="A226" s="133">
        <f t="shared" si="12"/>
        <v>6</v>
      </c>
      <c r="B226" s="133"/>
      <c r="C226" s="133" t="s">
        <v>308</v>
      </c>
      <c r="D226" s="133"/>
      <c r="E226" s="133"/>
      <c r="F226" s="133"/>
      <c r="G226" s="133"/>
      <c r="H226" s="133"/>
      <c r="I226" s="35"/>
      <c r="N226" s="35"/>
    </row>
    <row r="227" spans="1:14" s="36" customFormat="1" x14ac:dyDescent="0.25">
      <c r="A227" s="133">
        <f t="shared" si="12"/>
        <v>7</v>
      </c>
      <c r="B227" s="133"/>
      <c r="C227" s="41" t="s">
        <v>305</v>
      </c>
      <c r="D227" s="41">
        <f t="shared" si="13"/>
        <v>370.81979999999999</v>
      </c>
      <c r="E227" s="41">
        <f t="shared" si="14"/>
        <v>12.378599999999999</v>
      </c>
      <c r="F227" s="41">
        <f t="shared" ref="F227:F232" si="15">D227+E227</f>
        <v>383.19839999999999</v>
      </c>
      <c r="G227" s="41">
        <v>0</v>
      </c>
      <c r="H227" s="41">
        <f t="shared" ref="H227:H232" si="16">F227*(($H$195)+1)+(IF(G227&lt;101,G227,IF(G227&lt;201,G227/2,IF(G227&lt;=301,G227/3,G227/4))))</f>
        <v>574.79759999999999</v>
      </c>
      <c r="I227" s="35"/>
      <c r="N227" s="35"/>
    </row>
    <row r="228" spans="1:14" s="36" customFormat="1" x14ac:dyDescent="0.25">
      <c r="A228" s="133">
        <f t="shared" si="12"/>
        <v>8</v>
      </c>
      <c r="B228" s="133"/>
      <c r="C228" s="41" t="s">
        <v>305</v>
      </c>
      <c r="D228" s="41">
        <f t="shared" si="13"/>
        <v>370.81979999999999</v>
      </c>
      <c r="E228" s="41">
        <f t="shared" si="14"/>
        <v>12.378599999999999</v>
      </c>
      <c r="F228" s="41">
        <f t="shared" si="15"/>
        <v>383.19839999999999</v>
      </c>
      <c r="G228" s="41">
        <v>0</v>
      </c>
      <c r="H228" s="41">
        <f t="shared" si="16"/>
        <v>574.79759999999999</v>
      </c>
      <c r="I228" s="35"/>
      <c r="N228" s="35"/>
    </row>
    <row r="229" spans="1:14" s="36" customFormat="1" x14ac:dyDescent="0.25">
      <c r="A229" s="133">
        <f t="shared" si="12"/>
        <v>9</v>
      </c>
      <c r="B229" s="133"/>
      <c r="C229" s="41" t="s">
        <v>305</v>
      </c>
      <c r="D229" s="41">
        <f>29.67*10.764</f>
        <v>319.36788000000001</v>
      </c>
      <c r="E229" s="41">
        <v>0</v>
      </c>
      <c r="F229" s="41">
        <f t="shared" si="15"/>
        <v>319.36788000000001</v>
      </c>
      <c r="G229" s="41">
        <v>0</v>
      </c>
      <c r="H229" s="41">
        <f t="shared" si="16"/>
        <v>479.05182000000002</v>
      </c>
      <c r="I229" s="35"/>
      <c r="N229" s="35"/>
    </row>
    <row r="230" spans="1:14" s="36" customFormat="1" x14ac:dyDescent="0.25">
      <c r="A230" s="133">
        <f t="shared" si="12"/>
        <v>10</v>
      </c>
      <c r="B230" s="133"/>
      <c r="C230" s="41" t="s">
        <v>305</v>
      </c>
      <c r="D230" s="41">
        <f>29.67*10.764</f>
        <v>319.36788000000001</v>
      </c>
      <c r="E230" s="41">
        <v>0</v>
      </c>
      <c r="F230" s="41">
        <f t="shared" si="15"/>
        <v>319.36788000000001</v>
      </c>
      <c r="G230" s="41">
        <v>0</v>
      </c>
      <c r="H230" s="41">
        <f t="shared" si="16"/>
        <v>479.05182000000002</v>
      </c>
      <c r="I230" s="35"/>
      <c r="N230" s="35"/>
    </row>
    <row r="231" spans="1:14" s="36" customFormat="1" x14ac:dyDescent="0.25">
      <c r="A231" s="133">
        <f t="shared" si="12"/>
        <v>11</v>
      </c>
      <c r="B231" s="133"/>
      <c r="C231" s="41" t="s">
        <v>305</v>
      </c>
      <c r="D231" s="41">
        <f t="shared" ref="D231:D232" si="17">34.45*10.764</f>
        <v>370.81979999999999</v>
      </c>
      <c r="E231" s="41">
        <f t="shared" ref="E231:E232" si="18">1*1.15*10.764</f>
        <v>12.378599999999999</v>
      </c>
      <c r="F231" s="41">
        <f t="shared" si="15"/>
        <v>383.19839999999999</v>
      </c>
      <c r="G231" s="41">
        <v>0</v>
      </c>
      <c r="H231" s="41">
        <f t="shared" si="16"/>
        <v>574.79759999999999</v>
      </c>
      <c r="I231" s="35"/>
      <c r="N231" s="35"/>
    </row>
    <row r="232" spans="1:14" s="36" customFormat="1" x14ac:dyDescent="0.25">
      <c r="A232" s="133">
        <f t="shared" si="12"/>
        <v>12</v>
      </c>
      <c r="B232" s="133"/>
      <c r="C232" s="41" t="s">
        <v>305</v>
      </c>
      <c r="D232" s="41">
        <f t="shared" si="17"/>
        <v>370.81979999999999</v>
      </c>
      <c r="E232" s="41">
        <f t="shared" si="18"/>
        <v>12.378599999999999</v>
      </c>
      <c r="F232" s="41">
        <f t="shared" si="15"/>
        <v>383.19839999999999</v>
      </c>
      <c r="G232" s="41">
        <v>0</v>
      </c>
      <c r="H232" s="41">
        <f t="shared" si="16"/>
        <v>574.79759999999999</v>
      </c>
      <c r="I232" s="35"/>
      <c r="N232" s="35"/>
    </row>
    <row r="233" spans="1:14" s="36" customFormat="1" x14ac:dyDescent="0.25">
      <c r="A233" s="265" t="s">
        <v>310</v>
      </c>
      <c r="B233" s="265"/>
      <c r="C233" s="265"/>
      <c r="D233" s="265"/>
      <c r="E233" s="265"/>
      <c r="F233" s="265"/>
      <c r="G233" s="265"/>
      <c r="H233" s="265"/>
      <c r="J233" s="35"/>
    </row>
    <row r="234" spans="1:14" s="36" customFormat="1" x14ac:dyDescent="0.25">
      <c r="A234" s="146" t="s">
        <v>304</v>
      </c>
      <c r="B234" s="147"/>
      <c r="C234" s="147"/>
      <c r="D234" s="147"/>
      <c r="E234" s="147"/>
      <c r="F234" s="147"/>
      <c r="G234" s="147"/>
      <c r="H234" s="148"/>
      <c r="J234" s="35"/>
    </row>
    <row r="235" spans="1:14" s="36" customFormat="1" x14ac:dyDescent="0.25">
      <c r="A235" s="146" t="s">
        <v>306</v>
      </c>
      <c r="B235" s="147"/>
      <c r="C235" s="147"/>
      <c r="D235" s="147"/>
      <c r="E235" s="147"/>
      <c r="F235" s="147"/>
      <c r="G235" s="147"/>
      <c r="H235" s="148"/>
      <c r="J235" s="35"/>
    </row>
    <row r="236" spans="1:14" s="36" customFormat="1" ht="15.75" customHeight="1" x14ac:dyDescent="0.25">
      <c r="A236" s="92">
        <v>1</v>
      </c>
      <c r="B236" s="93"/>
      <c r="C236" s="41" t="s">
        <v>312</v>
      </c>
      <c r="D236" s="41">
        <f>49.7*10.764</f>
        <v>534.97080000000005</v>
      </c>
      <c r="E236" s="41">
        <f>2.13*1*10.764</f>
        <v>22.927319999999998</v>
      </c>
      <c r="F236" s="41">
        <f>D236+E236</f>
        <v>557.89812000000006</v>
      </c>
      <c r="G236" s="41">
        <v>0</v>
      </c>
      <c r="H236" s="41">
        <f>F236*(($H$195)+1)+(IF(G236&lt;101,G236,IF(G236&lt;201,G236/2,IF(G236&lt;=301,G236/3,G236/4))))</f>
        <v>836.84718000000009</v>
      </c>
      <c r="I236" s="35"/>
      <c r="J236" s="36">
        <f>2.75*4.35+2*2.45+2.75*3.45+1.5*1+1.65*1.05+0.9*2.2+1.12*1.79</f>
        <v>33.567299999999996</v>
      </c>
      <c r="L236" s="243"/>
      <c r="M236" s="243"/>
      <c r="N236" s="35"/>
    </row>
    <row r="237" spans="1:14" s="36" customFormat="1" ht="15.75" customHeight="1" x14ac:dyDescent="0.25">
      <c r="A237" s="92">
        <f>A236+1</f>
        <v>2</v>
      </c>
      <c r="B237" s="93"/>
      <c r="C237" s="41" t="s">
        <v>312</v>
      </c>
      <c r="D237" s="41">
        <f t="shared" ref="D237:D239" si="19">49.7*10.764</f>
        <v>534.97080000000005</v>
      </c>
      <c r="E237" s="41">
        <f t="shared" ref="E237:E239" si="20">2.13*1*10.764</f>
        <v>22.927319999999998</v>
      </c>
      <c r="F237" s="41">
        <f>D237+E237</f>
        <v>557.89812000000006</v>
      </c>
      <c r="G237" s="41">
        <v>0</v>
      </c>
      <c r="H237" s="41">
        <f>F237*(($H$195)+1)+(IF(G237&lt;101,G237,IF(G237&lt;201,G237/2,IF(G237&lt;=301,G237/3,G237/4))))</f>
        <v>836.84718000000009</v>
      </c>
      <c r="I237" s="35"/>
      <c r="L237" s="243"/>
      <c r="M237" s="243"/>
      <c r="N237" s="35"/>
    </row>
    <row r="238" spans="1:14" s="36" customFormat="1" ht="15.75" customHeight="1" x14ac:dyDescent="0.25">
      <c r="A238" s="92">
        <f>A237+1</f>
        <v>3</v>
      </c>
      <c r="B238" s="93"/>
      <c r="C238" s="41" t="s">
        <v>312</v>
      </c>
      <c r="D238" s="41">
        <f t="shared" si="19"/>
        <v>534.97080000000005</v>
      </c>
      <c r="E238" s="41">
        <f t="shared" si="20"/>
        <v>22.927319999999998</v>
      </c>
      <c r="F238" s="41">
        <f>D238+E238</f>
        <v>557.89812000000006</v>
      </c>
      <c r="G238" s="41">
        <v>0</v>
      </c>
      <c r="H238" s="41">
        <f>F238*(($H$195)+1)+(IF(G238&lt;101,G238,IF(G238&lt;201,G238/2,IF(G238&lt;=301,G238/3,G238/4))))</f>
        <v>836.84718000000009</v>
      </c>
      <c r="I238" s="35"/>
      <c r="L238" s="243"/>
      <c r="M238" s="243"/>
      <c r="N238" s="35"/>
    </row>
    <row r="239" spans="1:14" s="36" customFormat="1" ht="15.75" customHeight="1" x14ac:dyDescent="0.25">
      <c r="A239" s="92">
        <f>A238+1</f>
        <v>4</v>
      </c>
      <c r="B239" s="93"/>
      <c r="C239" s="41" t="s">
        <v>312</v>
      </c>
      <c r="D239" s="41">
        <f t="shared" si="19"/>
        <v>534.97080000000005</v>
      </c>
      <c r="E239" s="41">
        <f t="shared" si="20"/>
        <v>22.927319999999998</v>
      </c>
      <c r="F239" s="41">
        <f>D239+E239</f>
        <v>557.89812000000006</v>
      </c>
      <c r="G239" s="41">
        <v>0</v>
      </c>
      <c r="H239" s="41">
        <f>F239*(($H$195)+1)+(IF(G239&lt;101,G239,IF(G239&lt;201,G239/2,IF(G239&lt;=301,G239/3,G239/4))))</f>
        <v>836.84718000000009</v>
      </c>
      <c r="I239" s="35"/>
      <c r="L239" s="243"/>
      <c r="M239" s="243"/>
      <c r="N239" s="35"/>
    </row>
    <row r="240" spans="1:14" s="36" customFormat="1" x14ac:dyDescent="0.25">
      <c r="A240" s="179" t="s">
        <v>307</v>
      </c>
      <c r="B240" s="179"/>
      <c r="C240" s="179"/>
      <c r="D240" s="179"/>
      <c r="E240" s="179"/>
      <c r="F240" s="179"/>
      <c r="G240" s="179"/>
      <c r="H240" s="179"/>
      <c r="I240" s="35"/>
      <c r="L240" s="243"/>
      <c r="M240" s="243"/>
    </row>
    <row r="241" spans="1:14" s="36" customFormat="1" x14ac:dyDescent="0.25">
      <c r="A241" s="133">
        <v>1</v>
      </c>
      <c r="B241" s="133"/>
      <c r="C241" s="41" t="s">
        <v>312</v>
      </c>
      <c r="D241" s="41">
        <f>49.7*10.764</f>
        <v>534.97080000000005</v>
      </c>
      <c r="E241" s="41">
        <f>2.13*1*10.764</f>
        <v>22.927319999999998</v>
      </c>
      <c r="F241" s="41">
        <f t="shared" ref="F241:F252" si="21">D241+E241</f>
        <v>557.89812000000006</v>
      </c>
      <c r="G241" s="41">
        <v>0</v>
      </c>
      <c r="H241" s="41">
        <f t="shared" ref="H241:H252" si="22">F241*(($H$195)+1)+(IF(G241&lt;101,G241,IF(G241&lt;201,G241/2,IF(G241&lt;=301,G241/3,G241/4))))</f>
        <v>836.84718000000009</v>
      </c>
      <c r="I241" s="35"/>
      <c r="N241" s="35"/>
    </row>
    <row r="242" spans="1:14" s="36" customFormat="1" x14ac:dyDescent="0.25">
      <c r="A242" s="133">
        <f t="shared" ref="A242:A252" si="23">A241+1</f>
        <v>2</v>
      </c>
      <c r="B242" s="133"/>
      <c r="C242" s="41" t="s">
        <v>312</v>
      </c>
      <c r="D242" s="41">
        <f t="shared" ref="D242:D244" si="24">49.7*10.764</f>
        <v>534.97080000000005</v>
      </c>
      <c r="E242" s="41">
        <f t="shared" ref="E242:E244" si="25">2.13*1*10.764</f>
        <v>22.927319999999998</v>
      </c>
      <c r="F242" s="41">
        <f t="shared" si="21"/>
        <v>557.89812000000006</v>
      </c>
      <c r="G242" s="41">
        <v>0</v>
      </c>
      <c r="H242" s="41">
        <f t="shared" si="22"/>
        <v>836.84718000000009</v>
      </c>
      <c r="I242" s="35"/>
      <c r="N242" s="35"/>
    </row>
    <row r="243" spans="1:14" s="36" customFormat="1" x14ac:dyDescent="0.25">
      <c r="A243" s="133">
        <f t="shared" si="23"/>
        <v>3</v>
      </c>
      <c r="B243" s="133"/>
      <c r="C243" s="41" t="s">
        <v>312</v>
      </c>
      <c r="D243" s="41">
        <f t="shared" si="24"/>
        <v>534.97080000000005</v>
      </c>
      <c r="E243" s="41">
        <f t="shared" si="25"/>
        <v>22.927319999999998</v>
      </c>
      <c r="F243" s="41">
        <f t="shared" si="21"/>
        <v>557.89812000000006</v>
      </c>
      <c r="G243" s="41">
        <v>0</v>
      </c>
      <c r="H243" s="41">
        <f t="shared" si="22"/>
        <v>836.84718000000009</v>
      </c>
      <c r="I243" s="35"/>
      <c r="N243" s="35"/>
    </row>
    <row r="244" spans="1:14" s="36" customFormat="1" x14ac:dyDescent="0.25">
      <c r="A244" s="133">
        <f t="shared" si="23"/>
        <v>4</v>
      </c>
      <c r="B244" s="133"/>
      <c r="C244" s="41" t="s">
        <v>312</v>
      </c>
      <c r="D244" s="41">
        <f t="shared" si="24"/>
        <v>534.97080000000005</v>
      </c>
      <c r="E244" s="41">
        <f t="shared" si="25"/>
        <v>22.927319999999998</v>
      </c>
      <c r="F244" s="41">
        <f t="shared" si="21"/>
        <v>557.89812000000006</v>
      </c>
      <c r="G244" s="41">
        <v>0</v>
      </c>
      <c r="H244" s="41">
        <f t="shared" si="22"/>
        <v>836.84718000000009</v>
      </c>
      <c r="I244" s="35"/>
      <c r="N244" s="35"/>
    </row>
    <row r="245" spans="1:14" s="36" customFormat="1" x14ac:dyDescent="0.25">
      <c r="A245" s="133">
        <f t="shared" si="23"/>
        <v>5</v>
      </c>
      <c r="B245" s="133"/>
      <c r="C245" s="41" t="s">
        <v>312</v>
      </c>
      <c r="D245" s="41">
        <f>41.95*10.764</f>
        <v>451.5498</v>
      </c>
      <c r="E245" s="41">
        <v>0</v>
      </c>
      <c r="F245" s="41">
        <f t="shared" si="21"/>
        <v>451.5498</v>
      </c>
      <c r="G245" s="41">
        <v>0</v>
      </c>
      <c r="H245" s="41">
        <f t="shared" si="22"/>
        <v>677.32470000000001</v>
      </c>
      <c r="I245" s="35"/>
      <c r="N245" s="35"/>
    </row>
    <row r="246" spans="1:14" s="36" customFormat="1" x14ac:dyDescent="0.25">
      <c r="A246" s="133">
        <f t="shared" si="23"/>
        <v>6</v>
      </c>
      <c r="B246" s="133"/>
      <c r="C246" s="41" t="s">
        <v>312</v>
      </c>
      <c r="D246" s="41">
        <f t="shared" ref="D246:D252" si="26">41.95*10.764</f>
        <v>451.5498</v>
      </c>
      <c r="E246" s="41">
        <v>0</v>
      </c>
      <c r="F246" s="41">
        <f t="shared" si="21"/>
        <v>451.5498</v>
      </c>
      <c r="G246" s="41">
        <v>0</v>
      </c>
      <c r="H246" s="41">
        <f t="shared" si="22"/>
        <v>677.32470000000001</v>
      </c>
      <c r="I246" s="35"/>
      <c r="N246" s="35"/>
    </row>
    <row r="247" spans="1:14" s="36" customFormat="1" x14ac:dyDescent="0.25">
      <c r="A247" s="133">
        <f t="shared" si="23"/>
        <v>7</v>
      </c>
      <c r="B247" s="133"/>
      <c r="C247" s="41" t="s">
        <v>312</v>
      </c>
      <c r="D247" s="41">
        <f t="shared" si="26"/>
        <v>451.5498</v>
      </c>
      <c r="E247" s="41">
        <v>0</v>
      </c>
      <c r="F247" s="41">
        <f t="shared" si="21"/>
        <v>451.5498</v>
      </c>
      <c r="G247" s="41">
        <v>0</v>
      </c>
      <c r="H247" s="41">
        <f t="shared" si="22"/>
        <v>677.32470000000001</v>
      </c>
      <c r="I247" s="35"/>
      <c r="N247" s="35"/>
    </row>
    <row r="248" spans="1:14" s="36" customFormat="1" x14ac:dyDescent="0.25">
      <c r="A248" s="133">
        <f t="shared" si="23"/>
        <v>8</v>
      </c>
      <c r="B248" s="133"/>
      <c r="C248" s="41" t="s">
        <v>312</v>
      </c>
      <c r="D248" s="41">
        <f t="shared" si="26"/>
        <v>451.5498</v>
      </c>
      <c r="E248" s="41">
        <v>0</v>
      </c>
      <c r="F248" s="41">
        <f t="shared" si="21"/>
        <v>451.5498</v>
      </c>
      <c r="G248" s="41">
        <v>0</v>
      </c>
      <c r="H248" s="41">
        <f t="shared" si="22"/>
        <v>677.32470000000001</v>
      </c>
      <c r="I248" s="35"/>
      <c r="N248" s="35"/>
    </row>
    <row r="249" spans="1:14" s="36" customFormat="1" x14ac:dyDescent="0.25">
      <c r="A249" s="133">
        <f t="shared" si="23"/>
        <v>9</v>
      </c>
      <c r="B249" s="133"/>
      <c r="C249" s="41" t="s">
        <v>312</v>
      </c>
      <c r="D249" s="41">
        <f t="shared" si="26"/>
        <v>451.5498</v>
      </c>
      <c r="E249" s="41">
        <v>0</v>
      </c>
      <c r="F249" s="41">
        <f t="shared" si="21"/>
        <v>451.5498</v>
      </c>
      <c r="G249" s="41">
        <v>0</v>
      </c>
      <c r="H249" s="41">
        <f t="shared" si="22"/>
        <v>677.32470000000001</v>
      </c>
      <c r="I249" s="35"/>
      <c r="N249" s="35"/>
    </row>
    <row r="250" spans="1:14" s="36" customFormat="1" x14ac:dyDescent="0.25">
      <c r="A250" s="133">
        <f t="shared" si="23"/>
        <v>10</v>
      </c>
      <c r="B250" s="133"/>
      <c r="C250" s="41" t="s">
        <v>312</v>
      </c>
      <c r="D250" s="41">
        <f t="shared" si="26"/>
        <v>451.5498</v>
      </c>
      <c r="E250" s="41">
        <v>0</v>
      </c>
      <c r="F250" s="41">
        <f t="shared" si="21"/>
        <v>451.5498</v>
      </c>
      <c r="G250" s="41">
        <v>0</v>
      </c>
      <c r="H250" s="41">
        <f t="shared" si="22"/>
        <v>677.32470000000001</v>
      </c>
      <c r="I250" s="35"/>
      <c r="N250" s="35"/>
    </row>
    <row r="251" spans="1:14" s="36" customFormat="1" x14ac:dyDescent="0.25">
      <c r="A251" s="133">
        <f t="shared" si="23"/>
        <v>11</v>
      </c>
      <c r="B251" s="133"/>
      <c r="C251" s="41" t="s">
        <v>312</v>
      </c>
      <c r="D251" s="41">
        <f t="shared" si="26"/>
        <v>451.5498</v>
      </c>
      <c r="E251" s="41">
        <v>0</v>
      </c>
      <c r="F251" s="41">
        <f t="shared" si="21"/>
        <v>451.5498</v>
      </c>
      <c r="G251" s="41">
        <v>0</v>
      </c>
      <c r="H251" s="41">
        <f t="shared" si="22"/>
        <v>677.32470000000001</v>
      </c>
      <c r="I251" s="35"/>
      <c r="N251" s="35"/>
    </row>
    <row r="252" spans="1:14" s="36" customFormat="1" x14ac:dyDescent="0.25">
      <c r="A252" s="133">
        <f t="shared" si="23"/>
        <v>12</v>
      </c>
      <c r="B252" s="133"/>
      <c r="C252" s="41" t="s">
        <v>312</v>
      </c>
      <c r="D252" s="41">
        <f t="shared" si="26"/>
        <v>451.5498</v>
      </c>
      <c r="E252" s="41">
        <v>0</v>
      </c>
      <c r="F252" s="41">
        <f t="shared" si="21"/>
        <v>451.5498</v>
      </c>
      <c r="G252" s="41">
        <v>0</v>
      </c>
      <c r="H252" s="41">
        <f t="shared" si="22"/>
        <v>677.32470000000001</v>
      </c>
      <c r="I252" s="35"/>
      <c r="N252" s="35"/>
    </row>
    <row r="253" spans="1:14" s="36" customFormat="1" x14ac:dyDescent="0.25">
      <c r="A253" s="179" t="s">
        <v>309</v>
      </c>
      <c r="B253" s="179"/>
      <c r="C253" s="179"/>
      <c r="D253" s="179"/>
      <c r="E253" s="179"/>
      <c r="F253" s="179"/>
      <c r="G253" s="179"/>
      <c r="H253" s="179"/>
      <c r="I253" s="35"/>
      <c r="L253" s="243"/>
      <c r="M253" s="243"/>
    </row>
    <row r="254" spans="1:14" s="36" customFormat="1" x14ac:dyDescent="0.25">
      <c r="A254" s="133">
        <v>1</v>
      </c>
      <c r="B254" s="133"/>
      <c r="C254" s="41" t="s">
        <v>312</v>
      </c>
      <c r="D254" s="41">
        <f>49.7*10.764</f>
        <v>534.97080000000005</v>
      </c>
      <c r="E254" s="41">
        <f>2.13*1*10.764</f>
        <v>22.927319999999998</v>
      </c>
      <c r="F254" s="41">
        <f>D254+E254</f>
        <v>557.89812000000006</v>
      </c>
      <c r="G254" s="41">
        <v>0</v>
      </c>
      <c r="H254" s="41">
        <f>F254*(($H$195)+1)+(IF(G254&lt;101,G254,IF(G254&lt;201,G254/2,IF(G254&lt;=301,G254/3,G254/4))))</f>
        <v>836.84718000000009</v>
      </c>
      <c r="I254" s="35"/>
      <c r="N254" s="35"/>
    </row>
    <row r="255" spans="1:14" s="36" customFormat="1" x14ac:dyDescent="0.25">
      <c r="A255" s="133">
        <f>A254+1</f>
        <v>2</v>
      </c>
      <c r="B255" s="133"/>
      <c r="C255" s="41" t="s">
        <v>312</v>
      </c>
      <c r="D255" s="41">
        <f t="shared" ref="D255:D256" si="27">49.7*10.764</f>
        <v>534.97080000000005</v>
      </c>
      <c r="E255" s="41">
        <f t="shared" ref="E255:E256" si="28">2.13*1*10.764</f>
        <v>22.927319999999998</v>
      </c>
      <c r="F255" s="41">
        <f>D255+E255</f>
        <v>557.89812000000006</v>
      </c>
      <c r="G255" s="41">
        <v>0</v>
      </c>
      <c r="H255" s="41">
        <f>F255*(($H$195)+1)+(IF(G255&lt;101,G255,IF(G255&lt;201,G255/2,IF(G255&lt;=301,G255/3,G255/4))))</f>
        <v>836.84718000000009</v>
      </c>
      <c r="I255" s="35"/>
      <c r="N255" s="35"/>
    </row>
    <row r="256" spans="1:14" s="36" customFormat="1" x14ac:dyDescent="0.25">
      <c r="A256" s="133">
        <f>A255+1</f>
        <v>3</v>
      </c>
      <c r="B256" s="133"/>
      <c r="C256" s="41" t="s">
        <v>312</v>
      </c>
      <c r="D256" s="41">
        <f t="shared" si="27"/>
        <v>534.97080000000005</v>
      </c>
      <c r="E256" s="41">
        <f t="shared" si="28"/>
        <v>22.927319999999998</v>
      </c>
      <c r="F256" s="41">
        <f>D256+E256</f>
        <v>557.89812000000006</v>
      </c>
      <c r="G256" s="41">
        <v>0</v>
      </c>
      <c r="H256" s="41">
        <f>F256*(($H$195)+1)+(IF(G256&lt;101,G256,IF(G256&lt;201,G256/2,IF(G256&lt;=301,G256/3,G256/4))))</f>
        <v>836.84718000000009</v>
      </c>
      <c r="I256" s="35"/>
      <c r="N256" s="35"/>
    </row>
    <row r="257" spans="1:14" s="36" customFormat="1" x14ac:dyDescent="0.25">
      <c r="A257" s="133">
        <v>4</v>
      </c>
      <c r="B257" s="133"/>
      <c r="C257" s="92" t="s">
        <v>308</v>
      </c>
      <c r="D257" s="142"/>
      <c r="E257" s="142"/>
      <c r="F257" s="142"/>
      <c r="G257" s="142"/>
      <c r="H257" s="93"/>
      <c r="I257" s="35"/>
      <c r="N257" s="35"/>
    </row>
    <row r="258" spans="1:14" s="36" customFormat="1" x14ac:dyDescent="0.25">
      <c r="A258" s="133">
        <v>5</v>
      </c>
      <c r="B258" s="133"/>
      <c r="C258" s="41" t="s">
        <v>312</v>
      </c>
      <c r="D258" s="41">
        <f>41.95*10.764</f>
        <v>451.5498</v>
      </c>
      <c r="E258" s="41">
        <v>0</v>
      </c>
      <c r="F258" s="41">
        <f t="shared" ref="F258:F265" si="29">D258+E258</f>
        <v>451.5498</v>
      </c>
      <c r="G258" s="41">
        <v>0</v>
      </c>
      <c r="H258" s="41">
        <f t="shared" ref="H258:H265" si="30">F258*(($H$195)+1)+(IF(G258&lt;101,G258,IF(G258&lt;201,G258/2,IF(G258&lt;=301,G258/3,G258/4))))</f>
        <v>677.32470000000001</v>
      </c>
      <c r="I258" s="35"/>
      <c r="N258" s="35"/>
    </row>
    <row r="259" spans="1:14" s="36" customFormat="1" x14ac:dyDescent="0.25">
      <c r="A259" s="133">
        <f>A258+1</f>
        <v>6</v>
      </c>
      <c r="B259" s="133"/>
      <c r="C259" s="41" t="s">
        <v>312</v>
      </c>
      <c r="D259" s="41">
        <f t="shared" ref="D259:D265" si="31">41.95*10.764</f>
        <v>451.5498</v>
      </c>
      <c r="E259" s="41">
        <v>0</v>
      </c>
      <c r="F259" s="41">
        <f t="shared" si="29"/>
        <v>451.5498</v>
      </c>
      <c r="G259" s="41">
        <v>0</v>
      </c>
      <c r="H259" s="41">
        <f t="shared" si="30"/>
        <v>677.32470000000001</v>
      </c>
      <c r="I259" s="35"/>
      <c r="N259" s="35"/>
    </row>
    <row r="260" spans="1:14" s="36" customFormat="1" x14ac:dyDescent="0.25">
      <c r="A260" s="133">
        <f t="shared" ref="A260:A265" si="32">A259+1</f>
        <v>7</v>
      </c>
      <c r="B260" s="133"/>
      <c r="C260" s="41" t="s">
        <v>312</v>
      </c>
      <c r="D260" s="41">
        <f t="shared" si="31"/>
        <v>451.5498</v>
      </c>
      <c r="E260" s="41">
        <v>0</v>
      </c>
      <c r="F260" s="41">
        <f t="shared" si="29"/>
        <v>451.5498</v>
      </c>
      <c r="G260" s="41">
        <v>0</v>
      </c>
      <c r="H260" s="41">
        <f t="shared" si="30"/>
        <v>677.32470000000001</v>
      </c>
      <c r="I260" s="35"/>
      <c r="N260" s="35"/>
    </row>
    <row r="261" spans="1:14" s="36" customFormat="1" x14ac:dyDescent="0.25">
      <c r="A261" s="133">
        <f t="shared" si="32"/>
        <v>8</v>
      </c>
      <c r="B261" s="133"/>
      <c r="C261" s="41" t="s">
        <v>312</v>
      </c>
      <c r="D261" s="41">
        <f t="shared" si="31"/>
        <v>451.5498</v>
      </c>
      <c r="E261" s="41">
        <v>0</v>
      </c>
      <c r="F261" s="41">
        <f t="shared" si="29"/>
        <v>451.5498</v>
      </c>
      <c r="G261" s="41">
        <v>0</v>
      </c>
      <c r="H261" s="41">
        <f t="shared" si="30"/>
        <v>677.32470000000001</v>
      </c>
      <c r="I261" s="35"/>
      <c r="N261" s="35"/>
    </row>
    <row r="262" spans="1:14" s="36" customFormat="1" x14ac:dyDescent="0.25">
      <c r="A262" s="133">
        <f t="shared" si="32"/>
        <v>9</v>
      </c>
      <c r="B262" s="133"/>
      <c r="C262" s="41" t="s">
        <v>312</v>
      </c>
      <c r="D262" s="41">
        <f t="shared" si="31"/>
        <v>451.5498</v>
      </c>
      <c r="E262" s="41">
        <v>0</v>
      </c>
      <c r="F262" s="41">
        <f t="shared" si="29"/>
        <v>451.5498</v>
      </c>
      <c r="G262" s="41">
        <v>0</v>
      </c>
      <c r="H262" s="41">
        <f t="shared" si="30"/>
        <v>677.32470000000001</v>
      </c>
      <c r="I262" s="35"/>
      <c r="N262" s="35"/>
    </row>
    <row r="263" spans="1:14" s="36" customFormat="1" x14ac:dyDescent="0.25">
      <c r="A263" s="133">
        <f t="shared" si="32"/>
        <v>10</v>
      </c>
      <c r="B263" s="133"/>
      <c r="C263" s="41" t="s">
        <v>312</v>
      </c>
      <c r="D263" s="41">
        <f t="shared" si="31"/>
        <v>451.5498</v>
      </c>
      <c r="E263" s="41">
        <v>0</v>
      </c>
      <c r="F263" s="41">
        <f t="shared" si="29"/>
        <v>451.5498</v>
      </c>
      <c r="G263" s="41">
        <v>0</v>
      </c>
      <c r="H263" s="41">
        <f t="shared" si="30"/>
        <v>677.32470000000001</v>
      </c>
      <c r="I263" s="35"/>
      <c r="N263" s="35"/>
    </row>
    <row r="264" spans="1:14" s="36" customFormat="1" x14ac:dyDescent="0.25">
      <c r="A264" s="133">
        <f t="shared" si="32"/>
        <v>11</v>
      </c>
      <c r="B264" s="133"/>
      <c r="C264" s="41" t="s">
        <v>312</v>
      </c>
      <c r="D264" s="41">
        <f t="shared" si="31"/>
        <v>451.5498</v>
      </c>
      <c r="E264" s="41">
        <v>0</v>
      </c>
      <c r="F264" s="41">
        <f t="shared" si="29"/>
        <v>451.5498</v>
      </c>
      <c r="G264" s="41">
        <v>0</v>
      </c>
      <c r="H264" s="41">
        <f t="shared" si="30"/>
        <v>677.32470000000001</v>
      </c>
      <c r="I264" s="35"/>
      <c r="N264" s="35"/>
    </row>
    <row r="265" spans="1:14" s="36" customFormat="1" x14ac:dyDescent="0.25">
      <c r="A265" s="133">
        <f t="shared" si="32"/>
        <v>12</v>
      </c>
      <c r="B265" s="133"/>
      <c r="C265" s="41" t="s">
        <v>312</v>
      </c>
      <c r="D265" s="41">
        <f t="shared" si="31"/>
        <v>451.5498</v>
      </c>
      <c r="E265" s="41">
        <v>0</v>
      </c>
      <c r="F265" s="41">
        <f t="shared" si="29"/>
        <v>451.5498</v>
      </c>
      <c r="G265" s="41">
        <v>0</v>
      </c>
      <c r="H265" s="41">
        <f t="shared" si="30"/>
        <v>677.32470000000001</v>
      </c>
      <c r="I265" s="35"/>
      <c r="N265" s="35"/>
    </row>
    <row r="266" spans="1:14" s="36" customFormat="1" x14ac:dyDescent="0.25">
      <c r="A266" s="265" t="s">
        <v>313</v>
      </c>
      <c r="B266" s="265"/>
      <c r="C266" s="265"/>
      <c r="D266" s="265"/>
      <c r="E266" s="265"/>
      <c r="F266" s="265"/>
      <c r="G266" s="265"/>
      <c r="H266" s="265"/>
      <c r="J266" s="35"/>
    </row>
    <row r="267" spans="1:14" s="36" customFormat="1" x14ac:dyDescent="0.25">
      <c r="A267" s="179" t="s">
        <v>304</v>
      </c>
      <c r="B267" s="179"/>
      <c r="C267" s="179"/>
      <c r="D267" s="179"/>
      <c r="E267" s="179"/>
      <c r="F267" s="179"/>
      <c r="G267" s="179"/>
      <c r="H267" s="179"/>
      <c r="J267" s="35"/>
    </row>
    <row r="268" spans="1:14" s="36" customFormat="1" x14ac:dyDescent="0.25">
      <c r="A268" s="179" t="s">
        <v>306</v>
      </c>
      <c r="B268" s="179"/>
      <c r="C268" s="179"/>
      <c r="D268" s="179"/>
      <c r="E268" s="179"/>
      <c r="F268" s="179"/>
      <c r="G268" s="179"/>
      <c r="H268" s="179"/>
      <c r="J268" s="35"/>
    </row>
    <row r="269" spans="1:14" s="36" customFormat="1" ht="15.75" customHeight="1" x14ac:dyDescent="0.25">
      <c r="A269" s="133">
        <v>1</v>
      </c>
      <c r="B269" s="133"/>
      <c r="C269" s="41" t="s">
        <v>305</v>
      </c>
      <c r="D269" s="41">
        <f>34.45*10.764</f>
        <v>370.81979999999999</v>
      </c>
      <c r="E269" s="41">
        <f>1*1.15*10.764</f>
        <v>12.378599999999999</v>
      </c>
      <c r="F269" s="41">
        <f t="shared" ref="F269:F274" si="33">D269+E269</f>
        <v>383.19839999999999</v>
      </c>
      <c r="G269" s="41">
        <v>0</v>
      </c>
      <c r="H269" s="41">
        <f t="shared" ref="H269:H274" si="34">F269*(($H$195)+1)+(IF(G269&lt;101,G269,IF(G269&lt;201,G269/2,IF(G269&lt;=301,G269/3,G269/4))))</f>
        <v>574.79759999999999</v>
      </c>
      <c r="I269" s="35"/>
      <c r="L269" s="243"/>
      <c r="M269" s="243"/>
      <c r="N269" s="35"/>
    </row>
    <row r="270" spans="1:14" s="36" customFormat="1" ht="15.75" customHeight="1" x14ac:dyDescent="0.25">
      <c r="A270" s="133">
        <f>A269+1</f>
        <v>2</v>
      </c>
      <c r="B270" s="133"/>
      <c r="C270" s="41" t="s">
        <v>305</v>
      </c>
      <c r="D270" s="41">
        <f t="shared" ref="D270:D274" si="35">34.45*10.764</f>
        <v>370.81979999999999</v>
      </c>
      <c r="E270" s="41">
        <f t="shared" ref="E270:E274" si="36">1*1.15*10.764</f>
        <v>12.378599999999999</v>
      </c>
      <c r="F270" s="41">
        <f t="shared" si="33"/>
        <v>383.19839999999999</v>
      </c>
      <c r="G270" s="41">
        <v>0</v>
      </c>
      <c r="H270" s="41">
        <f t="shared" si="34"/>
        <v>574.79759999999999</v>
      </c>
      <c r="I270" s="35"/>
      <c r="L270" s="243"/>
      <c r="M270" s="243"/>
      <c r="N270" s="35"/>
    </row>
    <row r="271" spans="1:14" s="36" customFormat="1" ht="15.75" customHeight="1" x14ac:dyDescent="0.25">
      <c r="A271" s="133">
        <f>A270+1</f>
        <v>3</v>
      </c>
      <c r="B271" s="133"/>
      <c r="C271" s="41" t="s">
        <v>305</v>
      </c>
      <c r="D271" s="41">
        <f t="shared" si="35"/>
        <v>370.81979999999999</v>
      </c>
      <c r="E271" s="41">
        <f t="shared" si="36"/>
        <v>12.378599999999999</v>
      </c>
      <c r="F271" s="41">
        <f t="shared" si="33"/>
        <v>383.19839999999999</v>
      </c>
      <c r="G271" s="41">
        <v>0</v>
      </c>
      <c r="H271" s="41">
        <f t="shared" si="34"/>
        <v>574.79759999999999</v>
      </c>
      <c r="I271" s="35"/>
      <c r="L271" s="243"/>
      <c r="M271" s="243"/>
      <c r="N271" s="35"/>
    </row>
    <row r="272" spans="1:14" s="36" customFormat="1" ht="15.75" customHeight="1" x14ac:dyDescent="0.25">
      <c r="A272" s="133">
        <f>A271+1</f>
        <v>4</v>
      </c>
      <c r="B272" s="133"/>
      <c r="C272" s="41" t="s">
        <v>305</v>
      </c>
      <c r="D272" s="41">
        <f t="shared" si="35"/>
        <v>370.81979999999999</v>
      </c>
      <c r="E272" s="41">
        <f t="shared" si="36"/>
        <v>12.378599999999999</v>
      </c>
      <c r="F272" s="41">
        <f t="shared" si="33"/>
        <v>383.19839999999999</v>
      </c>
      <c r="G272" s="41">
        <v>0</v>
      </c>
      <c r="H272" s="41">
        <f t="shared" si="34"/>
        <v>574.79759999999999</v>
      </c>
      <c r="I272" s="35"/>
      <c r="L272" s="243"/>
      <c r="M272" s="243"/>
      <c r="N272" s="35"/>
    </row>
    <row r="273" spans="1:14" s="36" customFormat="1" ht="15.75" customHeight="1" x14ac:dyDescent="0.25">
      <c r="A273" s="133">
        <f>A272+1</f>
        <v>5</v>
      </c>
      <c r="B273" s="133"/>
      <c r="C273" s="41" t="s">
        <v>305</v>
      </c>
      <c r="D273" s="41">
        <f t="shared" si="35"/>
        <v>370.81979999999999</v>
      </c>
      <c r="E273" s="41">
        <f t="shared" si="36"/>
        <v>12.378599999999999</v>
      </c>
      <c r="F273" s="41">
        <f t="shared" si="33"/>
        <v>383.19839999999999</v>
      </c>
      <c r="G273" s="41">
        <v>0</v>
      </c>
      <c r="H273" s="41">
        <f t="shared" si="34"/>
        <v>574.79759999999999</v>
      </c>
      <c r="I273" s="35"/>
      <c r="L273" s="243"/>
      <c r="M273" s="243"/>
      <c r="N273" s="35"/>
    </row>
    <row r="274" spans="1:14" s="36" customFormat="1" ht="15.75" customHeight="1" x14ac:dyDescent="0.25">
      <c r="A274" s="133">
        <f>A273+1</f>
        <v>6</v>
      </c>
      <c r="B274" s="133"/>
      <c r="C274" s="41" t="s">
        <v>305</v>
      </c>
      <c r="D274" s="41">
        <f t="shared" si="35"/>
        <v>370.81979999999999</v>
      </c>
      <c r="E274" s="41">
        <f t="shared" si="36"/>
        <v>12.378599999999999</v>
      </c>
      <c r="F274" s="41">
        <f t="shared" si="33"/>
        <v>383.19839999999999</v>
      </c>
      <c r="G274" s="41">
        <v>0</v>
      </c>
      <c r="H274" s="41">
        <f t="shared" si="34"/>
        <v>574.79759999999999</v>
      </c>
      <c r="I274" s="35"/>
      <c r="L274" s="243"/>
      <c r="M274" s="243"/>
      <c r="N274" s="35"/>
    </row>
    <row r="275" spans="1:14" s="36" customFormat="1" x14ac:dyDescent="0.25">
      <c r="A275" s="179" t="s">
        <v>307</v>
      </c>
      <c r="B275" s="179"/>
      <c r="C275" s="179"/>
      <c r="D275" s="179"/>
      <c r="E275" s="179"/>
      <c r="F275" s="179"/>
      <c r="G275" s="179"/>
      <c r="H275" s="179"/>
      <c r="I275" s="35"/>
      <c r="L275" s="243"/>
      <c r="M275" s="243"/>
    </row>
    <row r="276" spans="1:14" s="36" customFormat="1" x14ac:dyDescent="0.25">
      <c r="A276" s="133">
        <v>1</v>
      </c>
      <c r="B276" s="133"/>
      <c r="C276" s="41" t="s">
        <v>305</v>
      </c>
      <c r="D276" s="41">
        <f>34.45*10.764</f>
        <v>370.81979999999999</v>
      </c>
      <c r="E276" s="41">
        <f>1*1.15*10.764</f>
        <v>12.378599999999999</v>
      </c>
      <c r="F276" s="41">
        <f t="shared" ref="F276:F287" si="37">D276+E276</f>
        <v>383.19839999999999</v>
      </c>
      <c r="G276" s="41">
        <v>0</v>
      </c>
      <c r="H276" s="41">
        <f t="shared" ref="H276:H287" si="38">F276*(($H$195)+1)+(IF(G276&lt;101,G276,IF(G276&lt;201,G276/2,IF(G276&lt;=301,G276/3,G276/4))))</f>
        <v>574.79759999999999</v>
      </c>
      <c r="I276" s="35"/>
      <c r="N276" s="35"/>
    </row>
    <row r="277" spans="1:14" s="36" customFormat="1" x14ac:dyDescent="0.25">
      <c r="A277" s="133">
        <f t="shared" ref="A277:A287" si="39">A276+1</f>
        <v>2</v>
      </c>
      <c r="B277" s="133"/>
      <c r="C277" s="41" t="s">
        <v>305</v>
      </c>
      <c r="D277" s="41">
        <f t="shared" ref="D277:D283" si="40">34.45*10.764</f>
        <v>370.81979999999999</v>
      </c>
      <c r="E277" s="41">
        <f t="shared" ref="E277:E283" si="41">1*1.15*10.764</f>
        <v>12.378599999999999</v>
      </c>
      <c r="F277" s="41">
        <f t="shared" si="37"/>
        <v>383.19839999999999</v>
      </c>
      <c r="G277" s="41">
        <v>0</v>
      </c>
      <c r="H277" s="41">
        <f t="shared" si="38"/>
        <v>574.79759999999999</v>
      </c>
      <c r="I277" s="35"/>
      <c r="N277" s="35"/>
    </row>
    <row r="278" spans="1:14" s="36" customFormat="1" x14ac:dyDescent="0.25">
      <c r="A278" s="133">
        <f t="shared" si="39"/>
        <v>3</v>
      </c>
      <c r="B278" s="133"/>
      <c r="C278" s="41" t="s">
        <v>305</v>
      </c>
      <c r="D278" s="41">
        <f t="shared" si="40"/>
        <v>370.81979999999999</v>
      </c>
      <c r="E278" s="41">
        <f t="shared" si="41"/>
        <v>12.378599999999999</v>
      </c>
      <c r="F278" s="41">
        <f t="shared" si="37"/>
        <v>383.19839999999999</v>
      </c>
      <c r="G278" s="41">
        <v>0</v>
      </c>
      <c r="H278" s="41">
        <f t="shared" si="38"/>
        <v>574.79759999999999</v>
      </c>
      <c r="I278" s="35"/>
      <c r="N278" s="35"/>
    </row>
    <row r="279" spans="1:14" s="36" customFormat="1" x14ac:dyDescent="0.25">
      <c r="A279" s="133">
        <f t="shared" si="39"/>
        <v>4</v>
      </c>
      <c r="B279" s="133"/>
      <c r="C279" s="41" t="s">
        <v>305</v>
      </c>
      <c r="D279" s="41">
        <f t="shared" si="40"/>
        <v>370.81979999999999</v>
      </c>
      <c r="E279" s="41">
        <f t="shared" si="41"/>
        <v>12.378599999999999</v>
      </c>
      <c r="F279" s="41">
        <f t="shared" si="37"/>
        <v>383.19839999999999</v>
      </c>
      <c r="G279" s="41">
        <v>0</v>
      </c>
      <c r="H279" s="41">
        <f t="shared" si="38"/>
        <v>574.79759999999999</v>
      </c>
      <c r="I279" s="35"/>
      <c r="N279" s="35"/>
    </row>
    <row r="280" spans="1:14" s="36" customFormat="1" x14ac:dyDescent="0.25">
      <c r="A280" s="133">
        <f t="shared" si="39"/>
        <v>5</v>
      </c>
      <c r="B280" s="133"/>
      <c r="C280" s="41" t="s">
        <v>305</v>
      </c>
      <c r="D280" s="41">
        <f t="shared" si="40"/>
        <v>370.81979999999999</v>
      </c>
      <c r="E280" s="41">
        <f t="shared" si="41"/>
        <v>12.378599999999999</v>
      </c>
      <c r="F280" s="41">
        <f t="shared" si="37"/>
        <v>383.19839999999999</v>
      </c>
      <c r="G280" s="41">
        <v>0</v>
      </c>
      <c r="H280" s="41">
        <f t="shared" si="38"/>
        <v>574.79759999999999</v>
      </c>
      <c r="I280" s="35"/>
      <c r="N280" s="35"/>
    </row>
    <row r="281" spans="1:14" s="36" customFormat="1" x14ac:dyDescent="0.25">
      <c r="A281" s="133">
        <f t="shared" si="39"/>
        <v>6</v>
      </c>
      <c r="B281" s="133"/>
      <c r="C281" s="41" t="s">
        <v>305</v>
      </c>
      <c r="D281" s="41">
        <f t="shared" si="40"/>
        <v>370.81979999999999</v>
      </c>
      <c r="E281" s="41">
        <f t="shared" si="41"/>
        <v>12.378599999999999</v>
      </c>
      <c r="F281" s="41">
        <f t="shared" si="37"/>
        <v>383.19839999999999</v>
      </c>
      <c r="G281" s="41">
        <v>0</v>
      </c>
      <c r="H281" s="41">
        <f t="shared" si="38"/>
        <v>574.79759999999999</v>
      </c>
      <c r="I281" s="35"/>
      <c r="N281" s="35"/>
    </row>
    <row r="282" spans="1:14" s="36" customFormat="1" x14ac:dyDescent="0.25">
      <c r="A282" s="133">
        <f t="shared" si="39"/>
        <v>7</v>
      </c>
      <c r="B282" s="133"/>
      <c r="C282" s="41" t="s">
        <v>305</v>
      </c>
      <c r="D282" s="41">
        <f t="shared" si="40"/>
        <v>370.81979999999999</v>
      </c>
      <c r="E282" s="41">
        <f t="shared" si="41"/>
        <v>12.378599999999999</v>
      </c>
      <c r="F282" s="41">
        <f t="shared" si="37"/>
        <v>383.19839999999999</v>
      </c>
      <c r="G282" s="41">
        <v>0</v>
      </c>
      <c r="H282" s="41">
        <f t="shared" si="38"/>
        <v>574.79759999999999</v>
      </c>
      <c r="I282" s="35"/>
      <c r="N282" s="35"/>
    </row>
    <row r="283" spans="1:14" s="36" customFormat="1" x14ac:dyDescent="0.25">
      <c r="A283" s="133">
        <f t="shared" si="39"/>
        <v>8</v>
      </c>
      <c r="B283" s="133"/>
      <c r="C283" s="41" t="s">
        <v>305</v>
      </c>
      <c r="D283" s="41">
        <f t="shared" si="40"/>
        <v>370.81979999999999</v>
      </c>
      <c r="E283" s="41">
        <f t="shared" si="41"/>
        <v>12.378599999999999</v>
      </c>
      <c r="F283" s="41">
        <f t="shared" si="37"/>
        <v>383.19839999999999</v>
      </c>
      <c r="G283" s="41">
        <v>0</v>
      </c>
      <c r="H283" s="41">
        <f t="shared" si="38"/>
        <v>574.79759999999999</v>
      </c>
      <c r="I283" s="35"/>
      <c r="N283" s="35"/>
    </row>
    <row r="284" spans="1:14" s="36" customFormat="1" x14ac:dyDescent="0.25">
      <c r="A284" s="133">
        <f t="shared" si="39"/>
        <v>9</v>
      </c>
      <c r="B284" s="133"/>
      <c r="C284" s="41" t="s">
        <v>305</v>
      </c>
      <c r="D284" s="41">
        <f>29.67*10.764</f>
        <v>319.36788000000001</v>
      </c>
      <c r="E284" s="41">
        <v>0</v>
      </c>
      <c r="F284" s="41">
        <f t="shared" si="37"/>
        <v>319.36788000000001</v>
      </c>
      <c r="G284" s="41">
        <v>0</v>
      </c>
      <c r="H284" s="41">
        <f t="shared" si="38"/>
        <v>479.05182000000002</v>
      </c>
      <c r="I284" s="35"/>
      <c r="N284" s="35"/>
    </row>
    <row r="285" spans="1:14" s="36" customFormat="1" x14ac:dyDescent="0.25">
      <c r="A285" s="133">
        <f t="shared" si="39"/>
        <v>10</v>
      </c>
      <c r="B285" s="133"/>
      <c r="C285" s="41" t="s">
        <v>305</v>
      </c>
      <c r="D285" s="41">
        <f>29.67*10.764</f>
        <v>319.36788000000001</v>
      </c>
      <c r="E285" s="41">
        <v>0</v>
      </c>
      <c r="F285" s="41">
        <f t="shared" si="37"/>
        <v>319.36788000000001</v>
      </c>
      <c r="G285" s="41">
        <v>0</v>
      </c>
      <c r="H285" s="41">
        <f t="shared" si="38"/>
        <v>479.05182000000002</v>
      </c>
      <c r="I285" s="35"/>
      <c r="N285" s="35"/>
    </row>
    <row r="286" spans="1:14" s="36" customFormat="1" x14ac:dyDescent="0.25">
      <c r="A286" s="133">
        <f t="shared" si="39"/>
        <v>11</v>
      </c>
      <c r="B286" s="133"/>
      <c r="C286" s="41" t="s">
        <v>305</v>
      </c>
      <c r="D286" s="41">
        <f t="shared" ref="D286:D287" si="42">34.45*10.764</f>
        <v>370.81979999999999</v>
      </c>
      <c r="E286" s="41">
        <f t="shared" ref="E286:E287" si="43">1*1.15*10.764</f>
        <v>12.378599999999999</v>
      </c>
      <c r="F286" s="41">
        <f t="shared" si="37"/>
        <v>383.19839999999999</v>
      </c>
      <c r="G286" s="41">
        <v>0</v>
      </c>
      <c r="H286" s="41">
        <f t="shared" si="38"/>
        <v>574.79759999999999</v>
      </c>
      <c r="I286" s="35"/>
      <c r="N286" s="35"/>
    </row>
    <row r="287" spans="1:14" s="36" customFormat="1" x14ac:dyDescent="0.25">
      <c r="A287" s="133">
        <f t="shared" si="39"/>
        <v>12</v>
      </c>
      <c r="B287" s="133"/>
      <c r="C287" s="41" t="s">
        <v>305</v>
      </c>
      <c r="D287" s="41">
        <f t="shared" si="42"/>
        <v>370.81979999999999</v>
      </c>
      <c r="E287" s="41">
        <f t="shared" si="43"/>
        <v>12.378599999999999</v>
      </c>
      <c r="F287" s="41">
        <f t="shared" si="37"/>
        <v>383.19839999999999</v>
      </c>
      <c r="G287" s="41">
        <v>0</v>
      </c>
      <c r="H287" s="41">
        <f t="shared" si="38"/>
        <v>574.79759999999999</v>
      </c>
      <c r="I287" s="35"/>
      <c r="N287" s="35"/>
    </row>
    <row r="288" spans="1:14" s="36" customFormat="1" x14ac:dyDescent="0.25">
      <c r="A288" s="179" t="s">
        <v>309</v>
      </c>
      <c r="B288" s="179"/>
      <c r="C288" s="179"/>
      <c r="D288" s="179"/>
      <c r="E288" s="179"/>
      <c r="F288" s="179"/>
      <c r="G288" s="179"/>
      <c r="H288" s="179"/>
      <c r="I288" s="35"/>
      <c r="L288" s="243"/>
      <c r="M288" s="243"/>
    </row>
    <row r="289" spans="1:14" s="36" customFormat="1" x14ac:dyDescent="0.25">
      <c r="A289" s="133">
        <v>1</v>
      </c>
      <c r="B289" s="133"/>
      <c r="C289" s="41" t="s">
        <v>305</v>
      </c>
      <c r="D289" s="41">
        <f>34.45*10.764</f>
        <v>370.81979999999999</v>
      </c>
      <c r="E289" s="41">
        <f>1*1.15*10.764</f>
        <v>12.378599999999999</v>
      </c>
      <c r="F289" s="41">
        <f>D289+E289</f>
        <v>383.19839999999999</v>
      </c>
      <c r="G289" s="41">
        <v>0</v>
      </c>
      <c r="H289" s="41">
        <f>F289*(($H$195)+1)+(IF(G289&lt;101,G289,IF(G289&lt;201,G289/2,IF(G289&lt;=301,G289/3,G289/4))))</f>
        <v>574.79759999999999</v>
      </c>
      <c r="I289" s="35"/>
      <c r="N289" s="35"/>
    </row>
    <row r="290" spans="1:14" s="36" customFormat="1" x14ac:dyDescent="0.25">
      <c r="A290" s="133">
        <f t="shared" ref="A290:A300" si="44">A289+1</f>
        <v>2</v>
      </c>
      <c r="B290" s="133"/>
      <c r="C290" s="41" t="s">
        <v>305</v>
      </c>
      <c r="D290" s="41">
        <f t="shared" ref="D290:D296" si="45">34.45*10.764</f>
        <v>370.81979999999999</v>
      </c>
      <c r="E290" s="41">
        <f t="shared" ref="E290:E296" si="46">1*1.15*10.764</f>
        <v>12.378599999999999</v>
      </c>
      <c r="F290" s="41">
        <f>D290+E290</f>
        <v>383.19839999999999</v>
      </c>
      <c r="G290" s="41">
        <v>0</v>
      </c>
      <c r="H290" s="41">
        <f>F290*(($H$195)+1)+(IF(G290&lt;101,G290,IF(G290&lt;201,G290/2,IF(G290&lt;=301,G290/3,G290/4))))</f>
        <v>574.79759999999999</v>
      </c>
      <c r="I290" s="35"/>
      <c r="N290" s="35"/>
    </row>
    <row r="291" spans="1:14" s="36" customFormat="1" x14ac:dyDescent="0.25">
      <c r="A291" s="133">
        <f t="shared" si="44"/>
        <v>3</v>
      </c>
      <c r="B291" s="133"/>
      <c r="C291" s="41" t="s">
        <v>305</v>
      </c>
      <c r="D291" s="41">
        <f t="shared" si="45"/>
        <v>370.81979999999999</v>
      </c>
      <c r="E291" s="41">
        <f t="shared" si="46"/>
        <v>12.378599999999999</v>
      </c>
      <c r="F291" s="41">
        <f>D291+E291</f>
        <v>383.19839999999999</v>
      </c>
      <c r="G291" s="41">
        <v>0</v>
      </c>
      <c r="H291" s="41">
        <f>F291*(($H$195)+1)+(IF(G291&lt;101,G291,IF(G291&lt;201,G291/2,IF(G291&lt;=301,G291/3,G291/4))))</f>
        <v>574.79759999999999</v>
      </c>
      <c r="I291" s="35"/>
      <c r="N291" s="35"/>
    </row>
    <row r="292" spans="1:14" s="36" customFormat="1" x14ac:dyDescent="0.25">
      <c r="A292" s="133">
        <f t="shared" si="44"/>
        <v>4</v>
      </c>
      <c r="B292" s="133"/>
      <c r="C292" s="41" t="s">
        <v>305</v>
      </c>
      <c r="D292" s="41">
        <f t="shared" si="45"/>
        <v>370.81979999999999</v>
      </c>
      <c r="E292" s="41">
        <f t="shared" si="46"/>
        <v>12.378599999999999</v>
      </c>
      <c r="F292" s="41">
        <f>D292+E292</f>
        <v>383.19839999999999</v>
      </c>
      <c r="G292" s="41">
        <v>0</v>
      </c>
      <c r="H292" s="41">
        <f>F292*(($H$195)+1)+(IF(G292&lt;101,G292,IF(G292&lt;201,G292/2,IF(G292&lt;=301,G292/3,G292/4))))</f>
        <v>574.79759999999999</v>
      </c>
      <c r="I292" s="35"/>
      <c r="N292" s="35"/>
    </row>
    <row r="293" spans="1:14" s="36" customFormat="1" x14ac:dyDescent="0.25">
      <c r="A293" s="133">
        <f t="shared" si="44"/>
        <v>5</v>
      </c>
      <c r="B293" s="133"/>
      <c r="C293" s="41" t="s">
        <v>305</v>
      </c>
      <c r="D293" s="41">
        <f t="shared" si="45"/>
        <v>370.81979999999999</v>
      </c>
      <c r="E293" s="41">
        <f t="shared" si="46"/>
        <v>12.378599999999999</v>
      </c>
      <c r="F293" s="41">
        <f>D293+E293</f>
        <v>383.19839999999999</v>
      </c>
      <c r="G293" s="41">
        <v>0</v>
      </c>
      <c r="H293" s="41">
        <f>F293*(($H$195)+1)+(IF(G293&lt;101,G293,IF(G293&lt;201,G293/2,IF(G293&lt;=301,G293/3,G293/4))))</f>
        <v>574.79759999999999</v>
      </c>
      <c r="I293" s="35"/>
      <c r="N293" s="35"/>
    </row>
    <row r="294" spans="1:14" s="36" customFormat="1" x14ac:dyDescent="0.25">
      <c r="A294" s="133">
        <f t="shared" si="44"/>
        <v>6</v>
      </c>
      <c r="B294" s="133"/>
      <c r="C294" s="92" t="s">
        <v>308</v>
      </c>
      <c r="D294" s="142"/>
      <c r="E294" s="142"/>
      <c r="F294" s="142"/>
      <c r="G294" s="142"/>
      <c r="H294" s="93"/>
      <c r="I294" s="35"/>
      <c r="N294" s="35"/>
    </row>
    <row r="295" spans="1:14" s="36" customFormat="1" x14ac:dyDescent="0.25">
      <c r="A295" s="133">
        <f t="shared" si="44"/>
        <v>7</v>
      </c>
      <c r="B295" s="133"/>
      <c r="C295" s="41" t="s">
        <v>305</v>
      </c>
      <c r="D295" s="41">
        <f t="shared" si="45"/>
        <v>370.81979999999999</v>
      </c>
      <c r="E295" s="41">
        <f t="shared" si="46"/>
        <v>12.378599999999999</v>
      </c>
      <c r="F295" s="41">
        <f t="shared" ref="F295:F300" si="47">D295+E295</f>
        <v>383.19839999999999</v>
      </c>
      <c r="G295" s="41">
        <v>0</v>
      </c>
      <c r="H295" s="41">
        <f t="shared" ref="H295:H300" si="48">F295*(($H$195)+1)+(IF(G295&lt;101,G295,IF(G295&lt;201,G295/2,IF(G295&lt;=301,G295/3,G295/4))))</f>
        <v>574.79759999999999</v>
      </c>
      <c r="I295" s="35"/>
      <c r="N295" s="35"/>
    </row>
    <row r="296" spans="1:14" s="36" customFormat="1" x14ac:dyDescent="0.25">
      <c r="A296" s="133">
        <f t="shared" si="44"/>
        <v>8</v>
      </c>
      <c r="B296" s="133"/>
      <c r="C296" s="41" t="s">
        <v>305</v>
      </c>
      <c r="D296" s="41">
        <f t="shared" si="45"/>
        <v>370.81979999999999</v>
      </c>
      <c r="E296" s="41">
        <f t="shared" si="46"/>
        <v>12.378599999999999</v>
      </c>
      <c r="F296" s="41">
        <f t="shared" si="47"/>
        <v>383.19839999999999</v>
      </c>
      <c r="G296" s="41">
        <v>0</v>
      </c>
      <c r="H296" s="41">
        <f t="shared" si="48"/>
        <v>574.79759999999999</v>
      </c>
      <c r="I296" s="35"/>
      <c r="N296" s="35"/>
    </row>
    <row r="297" spans="1:14" s="36" customFormat="1" x14ac:dyDescent="0.25">
      <c r="A297" s="133">
        <f t="shared" si="44"/>
        <v>9</v>
      </c>
      <c r="B297" s="133"/>
      <c r="C297" s="41" t="s">
        <v>305</v>
      </c>
      <c r="D297" s="41">
        <f>29.67*10.764</f>
        <v>319.36788000000001</v>
      </c>
      <c r="E297" s="41">
        <v>0</v>
      </c>
      <c r="F297" s="41">
        <f t="shared" si="47"/>
        <v>319.36788000000001</v>
      </c>
      <c r="G297" s="41">
        <v>0</v>
      </c>
      <c r="H297" s="41">
        <f t="shared" si="48"/>
        <v>479.05182000000002</v>
      </c>
      <c r="I297" s="35"/>
      <c r="N297" s="35"/>
    </row>
    <row r="298" spans="1:14" s="36" customFormat="1" x14ac:dyDescent="0.25">
      <c r="A298" s="133">
        <f t="shared" si="44"/>
        <v>10</v>
      </c>
      <c r="B298" s="133"/>
      <c r="C298" s="41" t="s">
        <v>305</v>
      </c>
      <c r="D298" s="41">
        <f>29.67*10.764</f>
        <v>319.36788000000001</v>
      </c>
      <c r="E298" s="41">
        <v>0</v>
      </c>
      <c r="F298" s="41">
        <f t="shared" si="47"/>
        <v>319.36788000000001</v>
      </c>
      <c r="G298" s="41">
        <v>0</v>
      </c>
      <c r="H298" s="41">
        <f t="shared" si="48"/>
        <v>479.05182000000002</v>
      </c>
      <c r="I298" s="35"/>
      <c r="N298" s="35"/>
    </row>
    <row r="299" spans="1:14" s="36" customFormat="1" x14ac:dyDescent="0.25">
      <c r="A299" s="133">
        <f t="shared" si="44"/>
        <v>11</v>
      </c>
      <c r="B299" s="133"/>
      <c r="C299" s="41" t="s">
        <v>305</v>
      </c>
      <c r="D299" s="41">
        <f t="shared" ref="D299:D300" si="49">34.45*10.764</f>
        <v>370.81979999999999</v>
      </c>
      <c r="E299" s="41">
        <f t="shared" ref="E299:E300" si="50">1*1.15*10.764</f>
        <v>12.378599999999999</v>
      </c>
      <c r="F299" s="41">
        <f t="shared" si="47"/>
        <v>383.19839999999999</v>
      </c>
      <c r="G299" s="41">
        <v>0</v>
      </c>
      <c r="H299" s="41">
        <f t="shared" si="48"/>
        <v>574.79759999999999</v>
      </c>
      <c r="I299" s="35"/>
      <c r="N299" s="35"/>
    </row>
    <row r="300" spans="1:14" s="36" customFormat="1" x14ac:dyDescent="0.25">
      <c r="A300" s="133">
        <f t="shared" si="44"/>
        <v>12</v>
      </c>
      <c r="B300" s="133"/>
      <c r="C300" s="41" t="s">
        <v>305</v>
      </c>
      <c r="D300" s="41">
        <f t="shared" si="49"/>
        <v>370.81979999999999</v>
      </c>
      <c r="E300" s="41">
        <f t="shared" si="50"/>
        <v>12.378599999999999</v>
      </c>
      <c r="F300" s="41">
        <f t="shared" si="47"/>
        <v>383.19839999999999</v>
      </c>
      <c r="G300" s="41">
        <v>0</v>
      </c>
      <c r="H300" s="41">
        <f t="shared" si="48"/>
        <v>574.79759999999999</v>
      </c>
      <c r="I300" s="35"/>
      <c r="N300" s="35"/>
    </row>
    <row r="301" spans="1:14" s="36" customFormat="1" x14ac:dyDescent="0.25">
      <c r="A301" s="266" t="s">
        <v>315</v>
      </c>
      <c r="B301" s="267"/>
      <c r="C301" s="267"/>
      <c r="D301" s="267"/>
      <c r="E301" s="267"/>
      <c r="F301" s="267"/>
      <c r="G301" s="267"/>
      <c r="H301" s="268"/>
      <c r="J301" s="35"/>
    </row>
    <row r="302" spans="1:14" s="36" customFormat="1" x14ac:dyDescent="0.25">
      <c r="A302" s="166" t="s">
        <v>314</v>
      </c>
      <c r="B302" s="167"/>
      <c r="C302" s="167"/>
      <c r="D302" s="167"/>
      <c r="E302" s="167"/>
      <c r="F302" s="167"/>
      <c r="G302" s="167"/>
      <c r="H302" s="168"/>
      <c r="J302" s="35"/>
    </row>
    <row r="303" spans="1:14" s="36" customFormat="1" x14ac:dyDescent="0.25">
      <c r="A303" s="146" t="s">
        <v>304</v>
      </c>
      <c r="B303" s="147"/>
      <c r="C303" s="147"/>
      <c r="D303" s="147"/>
      <c r="E303" s="147"/>
      <c r="F303" s="147"/>
      <c r="G303" s="147"/>
      <c r="H303" s="148"/>
      <c r="J303" s="35"/>
    </row>
    <row r="304" spans="1:14" s="36" customFormat="1" x14ac:dyDescent="0.25">
      <c r="A304" s="146" t="s">
        <v>306</v>
      </c>
      <c r="B304" s="147"/>
      <c r="C304" s="147"/>
      <c r="D304" s="147"/>
      <c r="E304" s="147"/>
      <c r="F304" s="147"/>
      <c r="G304" s="147"/>
      <c r="H304" s="148"/>
      <c r="J304" s="35"/>
    </row>
    <row r="305" spans="1:14" s="36" customFormat="1" ht="15.75" customHeight="1" x14ac:dyDescent="0.25">
      <c r="A305" s="92">
        <v>1</v>
      </c>
      <c r="B305" s="93"/>
      <c r="C305" s="41" t="s">
        <v>312</v>
      </c>
      <c r="D305" s="41">
        <f>49.7*10.764</f>
        <v>534.97080000000005</v>
      </c>
      <c r="E305" s="41">
        <f>2.13*1*10.764</f>
        <v>22.927319999999998</v>
      </c>
      <c r="F305" s="41">
        <f>D305+E305</f>
        <v>557.89812000000006</v>
      </c>
      <c r="G305" s="41">
        <v>0</v>
      </c>
      <c r="H305" s="41">
        <f>F305*(($H$195)+1)+(IF(G305&lt;101,G305,IF(G305&lt;201,G305/2,IF(G305&lt;=301,G305/3,G305/4))))</f>
        <v>836.84718000000009</v>
      </c>
      <c r="I305" s="35"/>
      <c r="L305" s="243"/>
      <c r="M305" s="243"/>
      <c r="N305" s="35"/>
    </row>
    <row r="306" spans="1:14" s="36" customFormat="1" ht="15.75" customHeight="1" x14ac:dyDescent="0.25">
      <c r="A306" s="92">
        <f>A305+1</f>
        <v>2</v>
      </c>
      <c r="B306" s="93"/>
      <c r="C306" s="41" t="s">
        <v>312</v>
      </c>
      <c r="D306" s="41">
        <f t="shared" ref="D306:D308" si="51">49.7*10.764</f>
        <v>534.97080000000005</v>
      </c>
      <c r="E306" s="41">
        <f t="shared" ref="E306:E308" si="52">2.13*1*10.764</f>
        <v>22.927319999999998</v>
      </c>
      <c r="F306" s="41">
        <f>D306+E306</f>
        <v>557.89812000000006</v>
      </c>
      <c r="G306" s="41">
        <v>0</v>
      </c>
      <c r="H306" s="41">
        <f>F306*(($H$195)+1)+(IF(G306&lt;101,G306,IF(G306&lt;201,G306/2,IF(G306&lt;=301,G306/3,G306/4))))</f>
        <v>836.84718000000009</v>
      </c>
      <c r="I306" s="35"/>
      <c r="L306" s="243"/>
      <c r="M306" s="243"/>
      <c r="N306" s="35"/>
    </row>
    <row r="307" spans="1:14" s="36" customFormat="1" ht="15.75" customHeight="1" x14ac:dyDescent="0.25">
      <c r="A307" s="92">
        <f>A306+1</f>
        <v>3</v>
      </c>
      <c r="B307" s="93"/>
      <c r="C307" s="41" t="s">
        <v>312</v>
      </c>
      <c r="D307" s="41">
        <f t="shared" si="51"/>
        <v>534.97080000000005</v>
      </c>
      <c r="E307" s="41">
        <f t="shared" si="52"/>
        <v>22.927319999999998</v>
      </c>
      <c r="F307" s="41">
        <f>D307+E307</f>
        <v>557.89812000000006</v>
      </c>
      <c r="G307" s="41">
        <v>0</v>
      </c>
      <c r="H307" s="41">
        <f>F307*(($H$195)+1)+(IF(G307&lt;101,G307,IF(G307&lt;201,G307/2,IF(G307&lt;=301,G307/3,G307/4))))</f>
        <v>836.84718000000009</v>
      </c>
      <c r="I307" s="35"/>
      <c r="L307" s="243"/>
      <c r="M307" s="243"/>
      <c r="N307" s="35"/>
    </row>
    <row r="308" spans="1:14" s="36" customFormat="1" ht="15.75" customHeight="1" x14ac:dyDescent="0.25">
      <c r="A308" s="92">
        <f>A307+1</f>
        <v>4</v>
      </c>
      <c r="B308" s="93"/>
      <c r="C308" s="41" t="s">
        <v>312</v>
      </c>
      <c r="D308" s="41">
        <f t="shared" si="51"/>
        <v>534.97080000000005</v>
      </c>
      <c r="E308" s="41">
        <f t="shared" si="52"/>
        <v>22.927319999999998</v>
      </c>
      <c r="F308" s="41">
        <f>D308+E308</f>
        <v>557.89812000000006</v>
      </c>
      <c r="G308" s="41">
        <v>0</v>
      </c>
      <c r="H308" s="41">
        <f>F308*(($H$195)+1)+(IF(G308&lt;101,G308,IF(G308&lt;201,G308/2,IF(G308&lt;=301,G308/3,G308/4))))</f>
        <v>836.84718000000009</v>
      </c>
      <c r="I308" s="35"/>
      <c r="L308" s="243"/>
      <c r="M308" s="243"/>
      <c r="N308" s="35"/>
    </row>
    <row r="309" spans="1:14" s="36" customFormat="1" x14ac:dyDescent="0.25">
      <c r="A309" s="179" t="s">
        <v>307</v>
      </c>
      <c r="B309" s="179"/>
      <c r="C309" s="179"/>
      <c r="D309" s="179"/>
      <c r="E309" s="179"/>
      <c r="F309" s="179"/>
      <c r="G309" s="179"/>
      <c r="H309" s="179"/>
      <c r="I309" s="35"/>
      <c r="L309" s="243"/>
      <c r="M309" s="243"/>
    </row>
    <row r="310" spans="1:14" s="36" customFormat="1" x14ac:dyDescent="0.25">
      <c r="A310" s="133">
        <v>1</v>
      </c>
      <c r="B310" s="133"/>
      <c r="C310" s="41" t="s">
        <v>312</v>
      </c>
      <c r="D310" s="41">
        <f>49.7*10.764</f>
        <v>534.97080000000005</v>
      </c>
      <c r="E310" s="41">
        <f>2.13*1*10.764</f>
        <v>22.927319999999998</v>
      </c>
      <c r="F310" s="41">
        <f t="shared" ref="F310:F321" si="53">D310+E310</f>
        <v>557.89812000000006</v>
      </c>
      <c r="G310" s="41">
        <v>0</v>
      </c>
      <c r="H310" s="41">
        <f t="shared" ref="H310:H321" si="54">F310*(($H$195)+1)+(IF(G310&lt;101,G310,IF(G310&lt;201,G310/2,IF(G310&lt;=301,G310/3,G310/4))))</f>
        <v>836.84718000000009</v>
      </c>
      <c r="I310" s="35"/>
      <c r="N310" s="35"/>
    </row>
    <row r="311" spans="1:14" s="36" customFormat="1" x14ac:dyDescent="0.25">
      <c r="A311" s="133">
        <f t="shared" ref="A311:A321" si="55">A310+1</f>
        <v>2</v>
      </c>
      <c r="B311" s="133"/>
      <c r="C311" s="41" t="s">
        <v>312</v>
      </c>
      <c r="D311" s="41">
        <f t="shared" ref="D311:D313" si="56">49.7*10.764</f>
        <v>534.97080000000005</v>
      </c>
      <c r="E311" s="41">
        <f t="shared" ref="E311:E313" si="57">2.13*1*10.764</f>
        <v>22.927319999999998</v>
      </c>
      <c r="F311" s="41">
        <f t="shared" si="53"/>
        <v>557.89812000000006</v>
      </c>
      <c r="G311" s="41">
        <v>0</v>
      </c>
      <c r="H311" s="41">
        <f t="shared" si="54"/>
        <v>836.84718000000009</v>
      </c>
      <c r="I311" s="35"/>
      <c r="N311" s="35"/>
    </row>
    <row r="312" spans="1:14" s="36" customFormat="1" x14ac:dyDescent="0.25">
      <c r="A312" s="133">
        <f t="shared" si="55"/>
        <v>3</v>
      </c>
      <c r="B312" s="133"/>
      <c r="C312" s="41" t="s">
        <v>312</v>
      </c>
      <c r="D312" s="41">
        <f t="shared" si="56"/>
        <v>534.97080000000005</v>
      </c>
      <c r="E312" s="41">
        <f t="shared" si="57"/>
        <v>22.927319999999998</v>
      </c>
      <c r="F312" s="41">
        <f t="shared" si="53"/>
        <v>557.89812000000006</v>
      </c>
      <c r="G312" s="41">
        <v>0</v>
      </c>
      <c r="H312" s="41">
        <f t="shared" si="54"/>
        <v>836.84718000000009</v>
      </c>
      <c r="I312" s="35"/>
      <c r="N312" s="35"/>
    </row>
    <row r="313" spans="1:14" s="36" customFormat="1" x14ac:dyDescent="0.25">
      <c r="A313" s="133">
        <f t="shared" si="55"/>
        <v>4</v>
      </c>
      <c r="B313" s="133"/>
      <c r="C313" s="41" t="s">
        <v>312</v>
      </c>
      <c r="D313" s="41">
        <f t="shared" si="56"/>
        <v>534.97080000000005</v>
      </c>
      <c r="E313" s="41">
        <f t="shared" si="57"/>
        <v>22.927319999999998</v>
      </c>
      <c r="F313" s="41">
        <f t="shared" si="53"/>
        <v>557.89812000000006</v>
      </c>
      <c r="G313" s="41">
        <v>0</v>
      </c>
      <c r="H313" s="41">
        <f t="shared" si="54"/>
        <v>836.84718000000009</v>
      </c>
      <c r="I313" s="35"/>
      <c r="N313" s="35"/>
    </row>
    <row r="314" spans="1:14" s="36" customFormat="1" x14ac:dyDescent="0.25">
      <c r="A314" s="133">
        <f t="shared" si="55"/>
        <v>5</v>
      </c>
      <c r="B314" s="133"/>
      <c r="C314" s="41" t="s">
        <v>312</v>
      </c>
      <c r="D314" s="41">
        <f>41.95*10.764</f>
        <v>451.5498</v>
      </c>
      <c r="E314" s="41">
        <v>0</v>
      </c>
      <c r="F314" s="41">
        <f t="shared" si="53"/>
        <v>451.5498</v>
      </c>
      <c r="G314" s="41">
        <v>0</v>
      </c>
      <c r="H314" s="41">
        <f t="shared" si="54"/>
        <v>677.32470000000001</v>
      </c>
      <c r="I314" s="35"/>
      <c r="N314" s="35"/>
    </row>
    <row r="315" spans="1:14" s="36" customFormat="1" x14ac:dyDescent="0.25">
      <c r="A315" s="133">
        <f t="shared" si="55"/>
        <v>6</v>
      </c>
      <c r="B315" s="133"/>
      <c r="C315" s="41" t="s">
        <v>312</v>
      </c>
      <c r="D315" s="41">
        <f t="shared" ref="D315:D321" si="58">41.95*10.764</f>
        <v>451.5498</v>
      </c>
      <c r="E315" s="41">
        <v>0</v>
      </c>
      <c r="F315" s="41">
        <f t="shared" si="53"/>
        <v>451.5498</v>
      </c>
      <c r="G315" s="41">
        <v>0</v>
      </c>
      <c r="H315" s="41">
        <f t="shared" si="54"/>
        <v>677.32470000000001</v>
      </c>
      <c r="I315" s="35"/>
      <c r="N315" s="35"/>
    </row>
    <row r="316" spans="1:14" s="36" customFormat="1" x14ac:dyDescent="0.25">
      <c r="A316" s="133">
        <f t="shared" si="55"/>
        <v>7</v>
      </c>
      <c r="B316" s="133"/>
      <c r="C316" s="41" t="s">
        <v>312</v>
      </c>
      <c r="D316" s="41">
        <f t="shared" si="58"/>
        <v>451.5498</v>
      </c>
      <c r="E316" s="41">
        <v>0</v>
      </c>
      <c r="F316" s="41">
        <f t="shared" si="53"/>
        <v>451.5498</v>
      </c>
      <c r="G316" s="41">
        <v>0</v>
      </c>
      <c r="H316" s="41">
        <f t="shared" si="54"/>
        <v>677.32470000000001</v>
      </c>
      <c r="I316" s="35"/>
      <c r="N316" s="35"/>
    </row>
    <row r="317" spans="1:14" s="36" customFormat="1" x14ac:dyDescent="0.25">
      <c r="A317" s="133">
        <f t="shared" si="55"/>
        <v>8</v>
      </c>
      <c r="B317" s="133"/>
      <c r="C317" s="41" t="s">
        <v>312</v>
      </c>
      <c r="D317" s="41">
        <f t="shared" si="58"/>
        <v>451.5498</v>
      </c>
      <c r="E317" s="41">
        <v>0</v>
      </c>
      <c r="F317" s="41">
        <f t="shared" si="53"/>
        <v>451.5498</v>
      </c>
      <c r="G317" s="41">
        <v>0</v>
      </c>
      <c r="H317" s="41">
        <f t="shared" si="54"/>
        <v>677.32470000000001</v>
      </c>
      <c r="I317" s="35"/>
      <c r="N317" s="35"/>
    </row>
    <row r="318" spans="1:14" s="36" customFormat="1" x14ac:dyDescent="0.25">
      <c r="A318" s="133">
        <f t="shared" si="55"/>
        <v>9</v>
      </c>
      <c r="B318" s="133"/>
      <c r="C318" s="41" t="s">
        <v>312</v>
      </c>
      <c r="D318" s="41">
        <f t="shared" si="58"/>
        <v>451.5498</v>
      </c>
      <c r="E318" s="41">
        <v>0</v>
      </c>
      <c r="F318" s="41">
        <f t="shared" si="53"/>
        <v>451.5498</v>
      </c>
      <c r="G318" s="41">
        <v>0</v>
      </c>
      <c r="H318" s="41">
        <f t="shared" si="54"/>
        <v>677.32470000000001</v>
      </c>
      <c r="I318" s="35"/>
      <c r="N318" s="35"/>
    </row>
    <row r="319" spans="1:14" s="36" customFormat="1" x14ac:dyDescent="0.25">
      <c r="A319" s="133">
        <f t="shared" si="55"/>
        <v>10</v>
      </c>
      <c r="B319" s="133"/>
      <c r="C319" s="41" t="s">
        <v>312</v>
      </c>
      <c r="D319" s="41">
        <f t="shared" si="58"/>
        <v>451.5498</v>
      </c>
      <c r="E319" s="41">
        <v>0</v>
      </c>
      <c r="F319" s="41">
        <f t="shared" si="53"/>
        <v>451.5498</v>
      </c>
      <c r="G319" s="41">
        <v>0</v>
      </c>
      <c r="H319" s="41">
        <f t="shared" si="54"/>
        <v>677.32470000000001</v>
      </c>
      <c r="I319" s="35"/>
      <c r="N319" s="35"/>
    </row>
    <row r="320" spans="1:14" s="36" customFormat="1" x14ac:dyDescent="0.25">
      <c r="A320" s="133">
        <f t="shared" si="55"/>
        <v>11</v>
      </c>
      <c r="B320" s="133"/>
      <c r="C320" s="41" t="s">
        <v>312</v>
      </c>
      <c r="D320" s="41">
        <f t="shared" si="58"/>
        <v>451.5498</v>
      </c>
      <c r="E320" s="41">
        <v>0</v>
      </c>
      <c r="F320" s="41">
        <f t="shared" si="53"/>
        <v>451.5498</v>
      </c>
      <c r="G320" s="41">
        <v>0</v>
      </c>
      <c r="H320" s="41">
        <f t="shared" si="54"/>
        <v>677.32470000000001</v>
      </c>
      <c r="I320" s="35"/>
      <c r="N320" s="35"/>
    </row>
    <row r="321" spans="1:14" s="36" customFormat="1" x14ac:dyDescent="0.25">
      <c r="A321" s="133">
        <f t="shared" si="55"/>
        <v>12</v>
      </c>
      <c r="B321" s="133"/>
      <c r="C321" s="41" t="s">
        <v>312</v>
      </c>
      <c r="D321" s="41">
        <f t="shared" si="58"/>
        <v>451.5498</v>
      </c>
      <c r="E321" s="41">
        <v>0</v>
      </c>
      <c r="F321" s="41">
        <f t="shared" si="53"/>
        <v>451.5498</v>
      </c>
      <c r="G321" s="41">
        <v>0</v>
      </c>
      <c r="H321" s="41">
        <f t="shared" si="54"/>
        <v>677.32470000000001</v>
      </c>
      <c r="I321" s="35"/>
      <c r="N321" s="35"/>
    </row>
    <row r="322" spans="1:14" s="36" customFormat="1" x14ac:dyDescent="0.25">
      <c r="A322" s="179" t="s">
        <v>309</v>
      </c>
      <c r="B322" s="179"/>
      <c r="C322" s="179"/>
      <c r="D322" s="179"/>
      <c r="E322" s="179"/>
      <c r="F322" s="179"/>
      <c r="G322" s="179"/>
      <c r="H322" s="179"/>
      <c r="I322" s="35"/>
      <c r="L322" s="243"/>
      <c r="M322" s="243"/>
    </row>
    <row r="323" spans="1:14" s="36" customFormat="1" x14ac:dyDescent="0.25">
      <c r="A323" s="133">
        <v>1</v>
      </c>
      <c r="B323" s="133"/>
      <c r="C323" s="41" t="s">
        <v>312</v>
      </c>
      <c r="D323" s="41">
        <f>49.7*10.764</f>
        <v>534.97080000000005</v>
      </c>
      <c r="E323" s="41">
        <f>2.13*1*10.764</f>
        <v>22.927319999999998</v>
      </c>
      <c r="F323" s="41">
        <f>D323+E323</f>
        <v>557.89812000000006</v>
      </c>
      <c r="G323" s="41">
        <v>0</v>
      </c>
      <c r="H323" s="41">
        <f>F323*(($H$195)+1)+(IF(G323&lt;101,G323,IF(G323&lt;201,G323/2,IF(G323&lt;=301,G323/3,G323/4))))</f>
        <v>836.84718000000009</v>
      </c>
      <c r="I323" s="35"/>
      <c r="N323" s="35"/>
    </row>
    <row r="324" spans="1:14" s="36" customFormat="1" x14ac:dyDescent="0.25">
      <c r="A324" s="133">
        <f>A323+1</f>
        <v>2</v>
      </c>
      <c r="B324" s="133"/>
      <c r="C324" s="41" t="s">
        <v>312</v>
      </c>
      <c r="D324" s="41">
        <f t="shared" ref="D324:D325" si="59">49.7*10.764</f>
        <v>534.97080000000005</v>
      </c>
      <c r="E324" s="41">
        <f t="shared" ref="E324:E325" si="60">2.13*1*10.764</f>
        <v>22.927319999999998</v>
      </c>
      <c r="F324" s="41">
        <f>D324+E324</f>
        <v>557.89812000000006</v>
      </c>
      <c r="G324" s="41">
        <v>0</v>
      </c>
      <c r="H324" s="41">
        <f>F324*(($H$195)+1)+(IF(G324&lt;101,G324,IF(G324&lt;201,G324/2,IF(G324&lt;=301,G324/3,G324/4))))</f>
        <v>836.84718000000009</v>
      </c>
      <c r="I324" s="35"/>
      <c r="N324" s="35"/>
    </row>
    <row r="325" spans="1:14" s="36" customFormat="1" x14ac:dyDescent="0.25">
      <c r="A325" s="133">
        <f>A324+1</f>
        <v>3</v>
      </c>
      <c r="B325" s="133"/>
      <c r="C325" s="41" t="s">
        <v>312</v>
      </c>
      <c r="D325" s="41">
        <f t="shared" si="59"/>
        <v>534.97080000000005</v>
      </c>
      <c r="E325" s="41">
        <f t="shared" si="60"/>
        <v>22.927319999999998</v>
      </c>
      <c r="F325" s="41">
        <f>D325+E325</f>
        <v>557.89812000000006</v>
      </c>
      <c r="G325" s="41">
        <v>0</v>
      </c>
      <c r="H325" s="41">
        <f>F325*(($H$195)+1)+(IF(G325&lt;101,G325,IF(G325&lt;201,G325/2,IF(G325&lt;=301,G325/3,G325/4))))</f>
        <v>836.84718000000009</v>
      </c>
      <c r="I325" s="35"/>
      <c r="N325" s="35"/>
    </row>
    <row r="326" spans="1:14" s="36" customFormat="1" x14ac:dyDescent="0.25">
      <c r="A326" s="133">
        <v>4</v>
      </c>
      <c r="B326" s="133"/>
      <c r="C326" s="92" t="s">
        <v>308</v>
      </c>
      <c r="D326" s="142"/>
      <c r="E326" s="142"/>
      <c r="F326" s="142"/>
      <c r="G326" s="142"/>
      <c r="H326" s="93"/>
      <c r="I326" s="35"/>
      <c r="N326" s="35"/>
    </row>
    <row r="327" spans="1:14" s="36" customFormat="1" x14ac:dyDescent="0.25">
      <c r="A327" s="133">
        <v>5</v>
      </c>
      <c r="B327" s="133"/>
      <c r="C327" s="41" t="s">
        <v>312</v>
      </c>
      <c r="D327" s="41">
        <f>41.95*10.764</f>
        <v>451.5498</v>
      </c>
      <c r="E327" s="41">
        <v>0</v>
      </c>
      <c r="F327" s="41">
        <f t="shared" ref="F327:F334" si="61">D327+E327</f>
        <v>451.5498</v>
      </c>
      <c r="G327" s="41">
        <v>0</v>
      </c>
      <c r="H327" s="41">
        <f t="shared" ref="H327:H334" si="62">F327*(($H$195)+1)+(IF(G327&lt;101,G327,IF(G327&lt;201,G327/2,IF(G327&lt;=301,G327/3,G327/4))))</f>
        <v>677.32470000000001</v>
      </c>
      <c r="I327" s="35"/>
      <c r="N327" s="35"/>
    </row>
    <row r="328" spans="1:14" s="36" customFormat="1" x14ac:dyDescent="0.25">
      <c r="A328" s="133">
        <f>A327+1</f>
        <v>6</v>
      </c>
      <c r="B328" s="133"/>
      <c r="C328" s="41" t="s">
        <v>312</v>
      </c>
      <c r="D328" s="41">
        <f t="shared" ref="D328:D334" si="63">41.95*10.764</f>
        <v>451.5498</v>
      </c>
      <c r="E328" s="41">
        <v>0</v>
      </c>
      <c r="F328" s="41">
        <f t="shared" si="61"/>
        <v>451.5498</v>
      </c>
      <c r="G328" s="41">
        <v>0</v>
      </c>
      <c r="H328" s="41">
        <f t="shared" si="62"/>
        <v>677.32470000000001</v>
      </c>
      <c r="I328" s="35"/>
      <c r="N328" s="35"/>
    </row>
    <row r="329" spans="1:14" s="36" customFormat="1" x14ac:dyDescent="0.25">
      <c r="A329" s="133">
        <f t="shared" ref="A329:A334" si="64">A328+1</f>
        <v>7</v>
      </c>
      <c r="B329" s="133"/>
      <c r="C329" s="41" t="s">
        <v>312</v>
      </c>
      <c r="D329" s="41">
        <f t="shared" si="63"/>
        <v>451.5498</v>
      </c>
      <c r="E329" s="41">
        <v>0</v>
      </c>
      <c r="F329" s="41">
        <f t="shared" si="61"/>
        <v>451.5498</v>
      </c>
      <c r="G329" s="41">
        <v>0</v>
      </c>
      <c r="H329" s="41">
        <f t="shared" si="62"/>
        <v>677.32470000000001</v>
      </c>
      <c r="I329" s="35"/>
      <c r="N329" s="35"/>
    </row>
    <row r="330" spans="1:14" s="36" customFormat="1" x14ac:dyDescent="0.25">
      <c r="A330" s="133">
        <f t="shared" si="64"/>
        <v>8</v>
      </c>
      <c r="B330" s="133"/>
      <c r="C330" s="41" t="s">
        <v>312</v>
      </c>
      <c r="D330" s="41">
        <f t="shared" si="63"/>
        <v>451.5498</v>
      </c>
      <c r="E330" s="41">
        <v>0</v>
      </c>
      <c r="F330" s="41">
        <f t="shared" si="61"/>
        <v>451.5498</v>
      </c>
      <c r="G330" s="41">
        <v>0</v>
      </c>
      <c r="H330" s="41">
        <f t="shared" si="62"/>
        <v>677.32470000000001</v>
      </c>
      <c r="I330" s="35"/>
      <c r="N330" s="35"/>
    </row>
    <row r="331" spans="1:14" s="36" customFormat="1" x14ac:dyDescent="0.25">
      <c r="A331" s="133">
        <f t="shared" si="64"/>
        <v>9</v>
      </c>
      <c r="B331" s="133"/>
      <c r="C331" s="41" t="s">
        <v>312</v>
      </c>
      <c r="D331" s="41">
        <f t="shared" si="63"/>
        <v>451.5498</v>
      </c>
      <c r="E331" s="41">
        <v>0</v>
      </c>
      <c r="F331" s="41">
        <f t="shared" si="61"/>
        <v>451.5498</v>
      </c>
      <c r="G331" s="41">
        <v>0</v>
      </c>
      <c r="H331" s="41">
        <f t="shared" si="62"/>
        <v>677.32470000000001</v>
      </c>
      <c r="I331" s="35"/>
      <c r="N331" s="35"/>
    </row>
    <row r="332" spans="1:14" s="36" customFormat="1" x14ac:dyDescent="0.25">
      <c r="A332" s="133">
        <f t="shared" si="64"/>
        <v>10</v>
      </c>
      <c r="B332" s="133"/>
      <c r="C332" s="41" t="s">
        <v>312</v>
      </c>
      <c r="D332" s="41">
        <f t="shared" si="63"/>
        <v>451.5498</v>
      </c>
      <c r="E332" s="41">
        <v>0</v>
      </c>
      <c r="F332" s="41">
        <f t="shared" si="61"/>
        <v>451.5498</v>
      </c>
      <c r="G332" s="41">
        <v>0</v>
      </c>
      <c r="H332" s="41">
        <f t="shared" si="62"/>
        <v>677.32470000000001</v>
      </c>
      <c r="I332" s="35"/>
      <c r="N332" s="35"/>
    </row>
    <row r="333" spans="1:14" s="36" customFormat="1" x14ac:dyDescent="0.25">
      <c r="A333" s="133">
        <f t="shared" si="64"/>
        <v>11</v>
      </c>
      <c r="B333" s="133"/>
      <c r="C333" s="41" t="s">
        <v>312</v>
      </c>
      <c r="D333" s="41">
        <f t="shared" si="63"/>
        <v>451.5498</v>
      </c>
      <c r="E333" s="41">
        <v>0</v>
      </c>
      <c r="F333" s="41">
        <f t="shared" si="61"/>
        <v>451.5498</v>
      </c>
      <c r="G333" s="41">
        <v>0</v>
      </c>
      <c r="H333" s="41">
        <f t="shared" si="62"/>
        <v>677.32470000000001</v>
      </c>
      <c r="I333" s="35"/>
      <c r="N333" s="35"/>
    </row>
    <row r="334" spans="1:14" s="36" customFormat="1" x14ac:dyDescent="0.25">
      <c r="A334" s="133">
        <f t="shared" si="64"/>
        <v>12</v>
      </c>
      <c r="B334" s="133"/>
      <c r="C334" s="41" t="s">
        <v>312</v>
      </c>
      <c r="D334" s="41">
        <f t="shared" si="63"/>
        <v>451.5498</v>
      </c>
      <c r="E334" s="41">
        <v>0</v>
      </c>
      <c r="F334" s="41">
        <f t="shared" si="61"/>
        <v>451.5498</v>
      </c>
      <c r="G334" s="41">
        <v>0</v>
      </c>
      <c r="H334" s="41">
        <f t="shared" si="62"/>
        <v>677.32470000000001</v>
      </c>
      <c r="I334" s="35"/>
      <c r="N334" s="35"/>
    </row>
    <row r="335" spans="1:14" s="36" customFormat="1" x14ac:dyDescent="0.25">
      <c r="A335" s="266" t="s">
        <v>316</v>
      </c>
      <c r="B335" s="267"/>
      <c r="C335" s="267"/>
      <c r="D335" s="267"/>
      <c r="E335" s="267"/>
      <c r="F335" s="267"/>
      <c r="G335" s="267"/>
      <c r="H335" s="268"/>
      <c r="J335" s="35"/>
    </row>
    <row r="336" spans="1:14" s="36" customFormat="1" x14ac:dyDescent="0.25">
      <c r="A336" s="166" t="s">
        <v>317</v>
      </c>
      <c r="B336" s="167"/>
      <c r="C336" s="167"/>
      <c r="D336" s="167"/>
      <c r="E336" s="167"/>
      <c r="F336" s="167"/>
      <c r="G336" s="167"/>
      <c r="H336" s="168"/>
      <c r="J336" s="35"/>
    </row>
    <row r="337" spans="1:14" s="36" customFormat="1" x14ac:dyDescent="0.25">
      <c r="A337" s="146" t="s">
        <v>304</v>
      </c>
      <c r="B337" s="147"/>
      <c r="C337" s="147"/>
      <c r="D337" s="147"/>
      <c r="E337" s="147"/>
      <c r="F337" s="147"/>
      <c r="G337" s="147"/>
      <c r="H337" s="148"/>
      <c r="J337" s="35"/>
    </row>
    <row r="338" spans="1:14" s="36" customFormat="1" x14ac:dyDescent="0.25">
      <c r="A338" s="146" t="s">
        <v>306</v>
      </c>
      <c r="B338" s="147"/>
      <c r="C338" s="147"/>
      <c r="D338" s="147"/>
      <c r="E338" s="147"/>
      <c r="F338" s="147"/>
      <c r="G338" s="147"/>
      <c r="H338" s="148"/>
      <c r="J338" s="35"/>
    </row>
    <row r="339" spans="1:14" s="36" customFormat="1" ht="15.75" customHeight="1" x14ac:dyDescent="0.25">
      <c r="A339" s="92">
        <v>1</v>
      </c>
      <c r="B339" s="93"/>
      <c r="C339" s="41" t="s">
        <v>305</v>
      </c>
      <c r="D339" s="41">
        <f>34.45*10.764</f>
        <v>370.81979999999999</v>
      </c>
      <c r="E339" s="41">
        <f>1*1.15*10.764</f>
        <v>12.378599999999999</v>
      </c>
      <c r="F339" s="41">
        <f t="shared" ref="F339:F344" si="65">D339+E339</f>
        <v>383.19839999999999</v>
      </c>
      <c r="G339" s="41">
        <v>0</v>
      </c>
      <c r="H339" s="41">
        <f t="shared" ref="H339:H344" si="66">F339*(($H$195)+1)+(IF(G339&lt;101,G339,IF(G339&lt;201,G339/2,IF(G339&lt;=301,G339/3,G339/4))))</f>
        <v>574.79759999999999</v>
      </c>
      <c r="I339" s="35"/>
      <c r="J339" s="36">
        <f>2.75*4.35+2*2.45+2.75*3.45+1.5*1+1.65*1.05+0.9*2.2+1.12*1.79</f>
        <v>33.567299999999996</v>
      </c>
      <c r="L339" s="243"/>
      <c r="M339" s="243"/>
      <c r="N339" s="35"/>
    </row>
    <row r="340" spans="1:14" s="36" customFormat="1" ht="15.75" customHeight="1" x14ac:dyDescent="0.25">
      <c r="A340" s="92">
        <f>A339+1</f>
        <v>2</v>
      </c>
      <c r="B340" s="93"/>
      <c r="C340" s="41" t="s">
        <v>305</v>
      </c>
      <c r="D340" s="41">
        <f t="shared" ref="D340:D344" si="67">34.45*10.764</f>
        <v>370.81979999999999</v>
      </c>
      <c r="E340" s="41">
        <f t="shared" ref="E340:E344" si="68">1*1.15*10.764</f>
        <v>12.378599999999999</v>
      </c>
      <c r="F340" s="41">
        <f t="shared" si="65"/>
        <v>383.19839999999999</v>
      </c>
      <c r="G340" s="41">
        <v>0</v>
      </c>
      <c r="H340" s="41">
        <f t="shared" si="66"/>
        <v>574.79759999999999</v>
      </c>
      <c r="I340" s="35"/>
      <c r="L340" s="243"/>
      <c r="M340" s="243"/>
      <c r="N340" s="35"/>
    </row>
    <row r="341" spans="1:14" s="36" customFormat="1" ht="15.75" customHeight="1" x14ac:dyDescent="0.25">
      <c r="A341" s="92">
        <f>A340+1</f>
        <v>3</v>
      </c>
      <c r="B341" s="93"/>
      <c r="C341" s="41" t="s">
        <v>305</v>
      </c>
      <c r="D341" s="41">
        <f t="shared" si="67"/>
        <v>370.81979999999999</v>
      </c>
      <c r="E341" s="41">
        <f t="shared" si="68"/>
        <v>12.378599999999999</v>
      </c>
      <c r="F341" s="41">
        <f t="shared" si="65"/>
        <v>383.19839999999999</v>
      </c>
      <c r="G341" s="41">
        <v>0</v>
      </c>
      <c r="H341" s="41">
        <f t="shared" si="66"/>
        <v>574.79759999999999</v>
      </c>
      <c r="I341" s="35"/>
      <c r="L341" s="243"/>
      <c r="M341" s="243"/>
      <c r="N341" s="35"/>
    </row>
    <row r="342" spans="1:14" s="36" customFormat="1" ht="15.75" customHeight="1" x14ac:dyDescent="0.25">
      <c r="A342" s="92">
        <f>A341+1</f>
        <v>4</v>
      </c>
      <c r="B342" s="93"/>
      <c r="C342" s="41" t="s">
        <v>305</v>
      </c>
      <c r="D342" s="41">
        <f t="shared" si="67"/>
        <v>370.81979999999999</v>
      </c>
      <c r="E342" s="41">
        <f t="shared" si="68"/>
        <v>12.378599999999999</v>
      </c>
      <c r="F342" s="41">
        <f t="shared" si="65"/>
        <v>383.19839999999999</v>
      </c>
      <c r="G342" s="41">
        <v>0</v>
      </c>
      <c r="H342" s="41">
        <f t="shared" si="66"/>
        <v>574.79759999999999</v>
      </c>
      <c r="I342" s="35"/>
      <c r="L342" s="243"/>
      <c r="M342" s="243"/>
      <c r="N342" s="35"/>
    </row>
    <row r="343" spans="1:14" s="36" customFormat="1" ht="15.75" customHeight="1" x14ac:dyDescent="0.25">
      <c r="A343" s="92">
        <f>A342+1</f>
        <v>5</v>
      </c>
      <c r="B343" s="93"/>
      <c r="C343" s="41" t="s">
        <v>305</v>
      </c>
      <c r="D343" s="41">
        <f t="shared" si="67"/>
        <v>370.81979999999999</v>
      </c>
      <c r="E343" s="41">
        <f t="shared" si="68"/>
        <v>12.378599999999999</v>
      </c>
      <c r="F343" s="41">
        <f t="shared" si="65"/>
        <v>383.19839999999999</v>
      </c>
      <c r="G343" s="41">
        <v>0</v>
      </c>
      <c r="H343" s="41">
        <f t="shared" si="66"/>
        <v>574.79759999999999</v>
      </c>
      <c r="I343" s="35"/>
      <c r="L343" s="243"/>
      <c r="M343" s="243"/>
      <c r="N343" s="35"/>
    </row>
    <row r="344" spans="1:14" s="36" customFormat="1" ht="15.75" customHeight="1" x14ac:dyDescent="0.25">
      <c r="A344" s="92">
        <f>A343+1</f>
        <v>6</v>
      </c>
      <c r="B344" s="93"/>
      <c r="C344" s="41" t="s">
        <v>305</v>
      </c>
      <c r="D344" s="41">
        <f t="shared" si="67"/>
        <v>370.81979999999999</v>
      </c>
      <c r="E344" s="41">
        <f t="shared" si="68"/>
        <v>12.378599999999999</v>
      </c>
      <c r="F344" s="41">
        <f t="shared" si="65"/>
        <v>383.19839999999999</v>
      </c>
      <c r="G344" s="41">
        <v>0</v>
      </c>
      <c r="H344" s="41">
        <f t="shared" si="66"/>
        <v>574.79759999999999</v>
      </c>
      <c r="I344" s="35"/>
      <c r="L344" s="243"/>
      <c r="M344" s="243"/>
      <c r="N344" s="35"/>
    </row>
    <row r="345" spans="1:14" s="36" customFormat="1" x14ac:dyDescent="0.25">
      <c r="A345" s="179" t="s">
        <v>307</v>
      </c>
      <c r="B345" s="179"/>
      <c r="C345" s="179"/>
      <c r="D345" s="179"/>
      <c r="E345" s="179"/>
      <c r="F345" s="179"/>
      <c r="G345" s="179"/>
      <c r="H345" s="179"/>
      <c r="I345" s="35"/>
      <c r="L345" s="243"/>
      <c r="M345" s="243"/>
    </row>
    <row r="346" spans="1:14" s="36" customFormat="1" x14ac:dyDescent="0.25">
      <c r="A346" s="133">
        <v>1</v>
      </c>
      <c r="B346" s="133"/>
      <c r="C346" s="41" t="s">
        <v>305</v>
      </c>
      <c r="D346" s="41">
        <f>34.45*10.764</f>
        <v>370.81979999999999</v>
      </c>
      <c r="E346" s="41">
        <f>1*1.15*10.764</f>
        <v>12.378599999999999</v>
      </c>
      <c r="F346" s="41">
        <f t="shared" ref="F346:F357" si="69">D346+E346</f>
        <v>383.19839999999999</v>
      </c>
      <c r="G346" s="41">
        <v>0</v>
      </c>
      <c r="H346" s="41">
        <f t="shared" ref="H346:H357" si="70">F346*(($H$195)+1)+(IF(G346&lt;101,G346,IF(G346&lt;201,G346/2,IF(G346&lt;=301,G346/3,G346/4))))</f>
        <v>574.79759999999999</v>
      </c>
      <c r="I346" s="35"/>
      <c r="N346" s="35"/>
    </row>
    <row r="347" spans="1:14" s="36" customFormat="1" x14ac:dyDescent="0.25">
      <c r="A347" s="133">
        <f t="shared" ref="A347:A357" si="71">A346+1</f>
        <v>2</v>
      </c>
      <c r="B347" s="133"/>
      <c r="C347" s="41" t="s">
        <v>305</v>
      </c>
      <c r="D347" s="41">
        <f t="shared" ref="D347:D353" si="72">34.45*10.764</f>
        <v>370.81979999999999</v>
      </c>
      <c r="E347" s="41">
        <f t="shared" ref="E347:E353" si="73">1*1.15*10.764</f>
        <v>12.378599999999999</v>
      </c>
      <c r="F347" s="41">
        <f t="shared" si="69"/>
        <v>383.19839999999999</v>
      </c>
      <c r="G347" s="41">
        <v>0</v>
      </c>
      <c r="H347" s="41">
        <f t="shared" si="70"/>
        <v>574.79759999999999</v>
      </c>
      <c r="I347" s="35"/>
      <c r="N347" s="35"/>
    </row>
    <row r="348" spans="1:14" s="36" customFormat="1" x14ac:dyDescent="0.25">
      <c r="A348" s="133">
        <f t="shared" si="71"/>
        <v>3</v>
      </c>
      <c r="B348" s="133"/>
      <c r="C348" s="41" t="s">
        <v>305</v>
      </c>
      <c r="D348" s="41">
        <f t="shared" si="72"/>
        <v>370.81979999999999</v>
      </c>
      <c r="E348" s="41">
        <f t="shared" si="73"/>
        <v>12.378599999999999</v>
      </c>
      <c r="F348" s="41">
        <f t="shared" si="69"/>
        <v>383.19839999999999</v>
      </c>
      <c r="G348" s="41">
        <v>0</v>
      </c>
      <c r="H348" s="41">
        <f t="shared" si="70"/>
        <v>574.79759999999999</v>
      </c>
      <c r="I348" s="35"/>
      <c r="N348" s="35"/>
    </row>
    <row r="349" spans="1:14" s="36" customFormat="1" x14ac:dyDescent="0.25">
      <c r="A349" s="133">
        <f t="shared" si="71"/>
        <v>4</v>
      </c>
      <c r="B349" s="133"/>
      <c r="C349" s="41" t="s">
        <v>305</v>
      </c>
      <c r="D349" s="41">
        <f t="shared" si="72"/>
        <v>370.81979999999999</v>
      </c>
      <c r="E349" s="41">
        <f t="shared" si="73"/>
        <v>12.378599999999999</v>
      </c>
      <c r="F349" s="41">
        <f t="shared" si="69"/>
        <v>383.19839999999999</v>
      </c>
      <c r="G349" s="41">
        <v>0</v>
      </c>
      <c r="H349" s="41">
        <f t="shared" si="70"/>
        <v>574.79759999999999</v>
      </c>
      <c r="I349" s="35"/>
      <c r="N349" s="35"/>
    </row>
    <row r="350" spans="1:14" s="36" customFormat="1" x14ac:dyDescent="0.25">
      <c r="A350" s="133">
        <f t="shared" si="71"/>
        <v>5</v>
      </c>
      <c r="B350" s="133"/>
      <c r="C350" s="41" t="s">
        <v>305</v>
      </c>
      <c r="D350" s="41">
        <f t="shared" si="72"/>
        <v>370.81979999999999</v>
      </c>
      <c r="E350" s="41">
        <f t="shared" si="73"/>
        <v>12.378599999999999</v>
      </c>
      <c r="F350" s="41">
        <f t="shared" si="69"/>
        <v>383.19839999999999</v>
      </c>
      <c r="G350" s="41">
        <v>0</v>
      </c>
      <c r="H350" s="41">
        <f t="shared" si="70"/>
        <v>574.79759999999999</v>
      </c>
      <c r="I350" s="35"/>
      <c r="N350" s="35"/>
    </row>
    <row r="351" spans="1:14" s="36" customFormat="1" x14ac:dyDescent="0.25">
      <c r="A351" s="133">
        <f t="shared" si="71"/>
        <v>6</v>
      </c>
      <c r="B351" s="133"/>
      <c r="C351" s="41" t="s">
        <v>305</v>
      </c>
      <c r="D351" s="41">
        <f t="shared" si="72"/>
        <v>370.81979999999999</v>
      </c>
      <c r="E351" s="41">
        <f t="shared" si="73"/>
        <v>12.378599999999999</v>
      </c>
      <c r="F351" s="41">
        <f t="shared" si="69"/>
        <v>383.19839999999999</v>
      </c>
      <c r="G351" s="41">
        <v>0</v>
      </c>
      <c r="H351" s="41">
        <f t="shared" si="70"/>
        <v>574.79759999999999</v>
      </c>
      <c r="I351" s="35"/>
      <c r="N351" s="35"/>
    </row>
    <row r="352" spans="1:14" s="36" customFormat="1" x14ac:dyDescent="0.25">
      <c r="A352" s="133">
        <f t="shared" si="71"/>
        <v>7</v>
      </c>
      <c r="B352" s="133"/>
      <c r="C352" s="41" t="s">
        <v>305</v>
      </c>
      <c r="D352" s="41">
        <f t="shared" si="72"/>
        <v>370.81979999999999</v>
      </c>
      <c r="E352" s="41">
        <f t="shared" si="73"/>
        <v>12.378599999999999</v>
      </c>
      <c r="F352" s="41">
        <f t="shared" si="69"/>
        <v>383.19839999999999</v>
      </c>
      <c r="G352" s="41">
        <v>0</v>
      </c>
      <c r="H352" s="41">
        <f t="shared" si="70"/>
        <v>574.79759999999999</v>
      </c>
      <c r="I352" s="35"/>
      <c r="N352" s="35"/>
    </row>
    <row r="353" spans="1:14" s="36" customFormat="1" x14ac:dyDescent="0.25">
      <c r="A353" s="133">
        <f t="shared" si="71"/>
        <v>8</v>
      </c>
      <c r="B353" s="133"/>
      <c r="C353" s="41" t="s">
        <v>305</v>
      </c>
      <c r="D353" s="41">
        <f t="shared" si="72"/>
        <v>370.81979999999999</v>
      </c>
      <c r="E353" s="41">
        <f t="shared" si="73"/>
        <v>12.378599999999999</v>
      </c>
      <c r="F353" s="41">
        <f t="shared" si="69"/>
        <v>383.19839999999999</v>
      </c>
      <c r="G353" s="41">
        <v>0</v>
      </c>
      <c r="H353" s="41">
        <f t="shared" si="70"/>
        <v>574.79759999999999</v>
      </c>
      <c r="I353" s="35"/>
      <c r="N353" s="35"/>
    </row>
    <row r="354" spans="1:14" s="36" customFormat="1" x14ac:dyDescent="0.25">
      <c r="A354" s="133">
        <f t="shared" si="71"/>
        <v>9</v>
      </c>
      <c r="B354" s="133"/>
      <c r="C354" s="41" t="s">
        <v>305</v>
      </c>
      <c r="D354" s="41">
        <f>29.67*10.764</f>
        <v>319.36788000000001</v>
      </c>
      <c r="E354" s="41">
        <v>0</v>
      </c>
      <c r="F354" s="41">
        <f t="shared" si="69"/>
        <v>319.36788000000001</v>
      </c>
      <c r="G354" s="41">
        <v>0</v>
      </c>
      <c r="H354" s="41">
        <f t="shared" si="70"/>
        <v>479.05182000000002</v>
      </c>
      <c r="I354" s="35"/>
      <c r="J354" s="36">
        <f>3441000/H354</f>
        <v>7182.9389981234181</v>
      </c>
      <c r="N354" s="35"/>
    </row>
    <row r="355" spans="1:14" s="36" customFormat="1" x14ac:dyDescent="0.25">
      <c r="A355" s="133">
        <f t="shared" si="71"/>
        <v>10</v>
      </c>
      <c r="B355" s="133"/>
      <c r="C355" s="41" t="s">
        <v>305</v>
      </c>
      <c r="D355" s="41">
        <f>29.67*10.764</f>
        <v>319.36788000000001</v>
      </c>
      <c r="E355" s="41">
        <v>0</v>
      </c>
      <c r="F355" s="41">
        <f t="shared" si="69"/>
        <v>319.36788000000001</v>
      </c>
      <c r="G355" s="41">
        <v>0</v>
      </c>
      <c r="H355" s="41">
        <f t="shared" si="70"/>
        <v>479.05182000000002</v>
      </c>
      <c r="I355" s="35"/>
      <c r="N355" s="35"/>
    </row>
    <row r="356" spans="1:14" s="36" customFormat="1" x14ac:dyDescent="0.25">
      <c r="A356" s="133">
        <f t="shared" si="71"/>
        <v>11</v>
      </c>
      <c r="B356" s="133"/>
      <c r="C356" s="41" t="s">
        <v>305</v>
      </c>
      <c r="D356" s="41">
        <f t="shared" ref="D356:D357" si="74">34.45*10.764</f>
        <v>370.81979999999999</v>
      </c>
      <c r="E356" s="41">
        <f t="shared" ref="E356:E357" si="75">1*1.15*10.764</f>
        <v>12.378599999999999</v>
      </c>
      <c r="F356" s="41">
        <f t="shared" si="69"/>
        <v>383.19839999999999</v>
      </c>
      <c r="G356" s="41">
        <v>0</v>
      </c>
      <c r="H356" s="41">
        <f t="shared" si="70"/>
        <v>574.79759999999999</v>
      </c>
      <c r="I356" s="35"/>
      <c r="J356" s="36">
        <f>319900000/H352</f>
        <v>556543.72947973339</v>
      </c>
      <c r="N356" s="35"/>
    </row>
    <row r="357" spans="1:14" s="36" customFormat="1" x14ac:dyDescent="0.25">
      <c r="A357" s="133">
        <f t="shared" si="71"/>
        <v>12</v>
      </c>
      <c r="B357" s="133"/>
      <c r="C357" s="41" t="s">
        <v>305</v>
      </c>
      <c r="D357" s="41">
        <f t="shared" si="74"/>
        <v>370.81979999999999</v>
      </c>
      <c r="E357" s="41">
        <f t="shared" si="75"/>
        <v>12.378599999999999</v>
      </c>
      <c r="F357" s="41">
        <f t="shared" si="69"/>
        <v>383.19839999999999</v>
      </c>
      <c r="G357" s="41">
        <v>0</v>
      </c>
      <c r="H357" s="41">
        <f t="shared" si="70"/>
        <v>574.79759999999999</v>
      </c>
      <c r="I357" s="35"/>
      <c r="N357" s="35"/>
    </row>
    <row r="358" spans="1:14" s="36" customFormat="1" x14ac:dyDescent="0.25">
      <c r="A358" s="179" t="s">
        <v>309</v>
      </c>
      <c r="B358" s="179"/>
      <c r="C358" s="179"/>
      <c r="D358" s="179"/>
      <c r="E358" s="179"/>
      <c r="F358" s="179"/>
      <c r="G358" s="179"/>
      <c r="H358" s="179"/>
      <c r="I358" s="35"/>
      <c r="L358" s="243"/>
      <c r="M358" s="243"/>
    </row>
    <row r="359" spans="1:14" s="36" customFormat="1" x14ac:dyDescent="0.25">
      <c r="A359" s="133">
        <v>1</v>
      </c>
      <c r="B359" s="133"/>
      <c r="C359" s="41" t="s">
        <v>305</v>
      </c>
      <c r="D359" s="41">
        <f>34.45*10.764</f>
        <v>370.81979999999999</v>
      </c>
      <c r="E359" s="41">
        <f>1*1.15*10.764</f>
        <v>12.378599999999999</v>
      </c>
      <c r="F359" s="41">
        <f>D359+E359</f>
        <v>383.19839999999999</v>
      </c>
      <c r="G359" s="41">
        <v>0</v>
      </c>
      <c r="H359" s="41">
        <f>F359*(($H$195)+1)+(IF(G359&lt;101,G359,IF(G359&lt;201,G359/2,IF(G359&lt;=301,G359/3,G359/4))))</f>
        <v>574.79759999999999</v>
      </c>
      <c r="I359" s="35"/>
      <c r="N359" s="35"/>
    </row>
    <row r="360" spans="1:14" s="36" customFormat="1" x14ac:dyDescent="0.25">
      <c r="A360" s="133">
        <f t="shared" ref="A360:A370" si="76">A359+1</f>
        <v>2</v>
      </c>
      <c r="B360" s="133"/>
      <c r="C360" s="41" t="s">
        <v>305</v>
      </c>
      <c r="D360" s="41">
        <f t="shared" ref="D360:D366" si="77">34.45*10.764</f>
        <v>370.81979999999999</v>
      </c>
      <c r="E360" s="41">
        <f t="shared" ref="E360:E366" si="78">1*1.15*10.764</f>
        <v>12.378599999999999</v>
      </c>
      <c r="F360" s="41">
        <f>D360+E360</f>
        <v>383.19839999999999</v>
      </c>
      <c r="G360" s="41">
        <v>0</v>
      </c>
      <c r="H360" s="41">
        <f>F360*(($H$195)+1)+(IF(G360&lt;101,G360,IF(G360&lt;201,G360/2,IF(G360&lt;=301,G360/3,G360/4))))</f>
        <v>574.79759999999999</v>
      </c>
      <c r="I360" s="35"/>
      <c r="N360" s="35"/>
    </row>
    <row r="361" spans="1:14" s="36" customFormat="1" x14ac:dyDescent="0.25">
      <c r="A361" s="133">
        <f t="shared" si="76"/>
        <v>3</v>
      </c>
      <c r="B361" s="133"/>
      <c r="C361" s="41" t="s">
        <v>305</v>
      </c>
      <c r="D361" s="41">
        <f t="shared" si="77"/>
        <v>370.81979999999999</v>
      </c>
      <c r="E361" s="41">
        <f t="shared" si="78"/>
        <v>12.378599999999999</v>
      </c>
      <c r="F361" s="41">
        <f>D361+E361</f>
        <v>383.19839999999999</v>
      </c>
      <c r="G361" s="41">
        <v>0</v>
      </c>
      <c r="H361" s="41">
        <f>F361*(($H$195)+1)+(IF(G361&lt;101,G361,IF(G361&lt;201,G361/2,IF(G361&lt;=301,G361/3,G361/4))))</f>
        <v>574.79759999999999</v>
      </c>
      <c r="I361" s="35"/>
      <c r="N361" s="35"/>
    </row>
    <row r="362" spans="1:14" s="36" customFormat="1" x14ac:dyDescent="0.25">
      <c r="A362" s="133">
        <f t="shared" si="76"/>
        <v>4</v>
      </c>
      <c r="B362" s="133"/>
      <c r="C362" s="41" t="s">
        <v>305</v>
      </c>
      <c r="D362" s="41">
        <f t="shared" si="77"/>
        <v>370.81979999999999</v>
      </c>
      <c r="E362" s="41">
        <f t="shared" si="78"/>
        <v>12.378599999999999</v>
      </c>
      <c r="F362" s="41">
        <f>D362+E362</f>
        <v>383.19839999999999</v>
      </c>
      <c r="G362" s="41">
        <v>0</v>
      </c>
      <c r="H362" s="41">
        <f>F362*(($H$195)+1)+(IF(G362&lt;101,G362,IF(G362&lt;201,G362/2,IF(G362&lt;=301,G362/3,G362/4))))</f>
        <v>574.79759999999999</v>
      </c>
      <c r="I362" s="35"/>
      <c r="N362" s="35"/>
    </row>
    <row r="363" spans="1:14" s="36" customFormat="1" x14ac:dyDescent="0.25">
      <c r="A363" s="133">
        <f t="shared" si="76"/>
        <v>5</v>
      </c>
      <c r="B363" s="133"/>
      <c r="C363" s="41" t="s">
        <v>305</v>
      </c>
      <c r="D363" s="41">
        <f t="shared" si="77"/>
        <v>370.81979999999999</v>
      </c>
      <c r="E363" s="41">
        <f t="shared" si="78"/>
        <v>12.378599999999999</v>
      </c>
      <c r="F363" s="41">
        <f>D363+E363</f>
        <v>383.19839999999999</v>
      </c>
      <c r="G363" s="41">
        <v>0</v>
      </c>
      <c r="H363" s="41">
        <f>F363*(($H$195)+1)+(IF(G363&lt;101,G363,IF(G363&lt;201,G363/2,IF(G363&lt;=301,G363/3,G363/4))))</f>
        <v>574.79759999999999</v>
      </c>
      <c r="I363" s="35"/>
      <c r="N363" s="35"/>
    </row>
    <row r="364" spans="1:14" s="36" customFormat="1" x14ac:dyDescent="0.25">
      <c r="A364" s="133">
        <f t="shared" si="76"/>
        <v>6</v>
      </c>
      <c r="B364" s="133"/>
      <c r="C364" s="92" t="s">
        <v>308</v>
      </c>
      <c r="D364" s="142"/>
      <c r="E364" s="142"/>
      <c r="F364" s="142"/>
      <c r="G364" s="142"/>
      <c r="H364" s="93"/>
      <c r="I364" s="35"/>
      <c r="N364" s="35"/>
    </row>
    <row r="365" spans="1:14" s="36" customFormat="1" x14ac:dyDescent="0.25">
      <c r="A365" s="133">
        <f t="shared" si="76"/>
        <v>7</v>
      </c>
      <c r="B365" s="133"/>
      <c r="C365" s="41" t="s">
        <v>305</v>
      </c>
      <c r="D365" s="41">
        <f t="shared" si="77"/>
        <v>370.81979999999999</v>
      </c>
      <c r="E365" s="41">
        <f t="shared" si="78"/>
        <v>12.378599999999999</v>
      </c>
      <c r="F365" s="41">
        <f t="shared" ref="F365:F370" si="79">D365+E365</f>
        <v>383.19839999999999</v>
      </c>
      <c r="G365" s="41">
        <v>0</v>
      </c>
      <c r="H365" s="41">
        <f t="shared" ref="H365:H370" si="80">F365*(($H$195)+1)+(IF(G365&lt;101,G365,IF(G365&lt;201,G365/2,IF(G365&lt;=301,G365/3,G365/4))))</f>
        <v>574.79759999999999</v>
      </c>
      <c r="I365" s="35"/>
      <c r="N365" s="35"/>
    </row>
    <row r="366" spans="1:14" s="36" customFormat="1" x14ac:dyDescent="0.25">
      <c r="A366" s="133">
        <f t="shared" si="76"/>
        <v>8</v>
      </c>
      <c r="B366" s="133"/>
      <c r="C366" s="41" t="s">
        <v>305</v>
      </c>
      <c r="D366" s="41">
        <f t="shared" si="77"/>
        <v>370.81979999999999</v>
      </c>
      <c r="E366" s="41">
        <f t="shared" si="78"/>
        <v>12.378599999999999</v>
      </c>
      <c r="F366" s="41">
        <f t="shared" si="79"/>
        <v>383.19839999999999</v>
      </c>
      <c r="G366" s="41">
        <v>0</v>
      </c>
      <c r="H366" s="41">
        <f t="shared" si="80"/>
        <v>574.79759999999999</v>
      </c>
      <c r="I366" s="35"/>
      <c r="N366" s="35"/>
    </row>
    <row r="367" spans="1:14" s="36" customFormat="1" x14ac:dyDescent="0.25">
      <c r="A367" s="133">
        <f t="shared" si="76"/>
        <v>9</v>
      </c>
      <c r="B367" s="133"/>
      <c r="C367" s="41" t="s">
        <v>305</v>
      </c>
      <c r="D367" s="41">
        <f>29.67*10.764</f>
        <v>319.36788000000001</v>
      </c>
      <c r="E367" s="41">
        <v>0</v>
      </c>
      <c r="F367" s="41">
        <f t="shared" si="79"/>
        <v>319.36788000000001</v>
      </c>
      <c r="G367" s="41">
        <v>0</v>
      </c>
      <c r="H367" s="41">
        <f t="shared" si="80"/>
        <v>479.05182000000002</v>
      </c>
      <c r="I367" s="35"/>
      <c r="N367" s="35"/>
    </row>
    <row r="368" spans="1:14" s="36" customFormat="1" x14ac:dyDescent="0.25">
      <c r="A368" s="133">
        <f t="shared" si="76"/>
        <v>10</v>
      </c>
      <c r="B368" s="133"/>
      <c r="C368" s="41" t="s">
        <v>305</v>
      </c>
      <c r="D368" s="41">
        <f>29.67*10.764</f>
        <v>319.36788000000001</v>
      </c>
      <c r="E368" s="41">
        <v>0</v>
      </c>
      <c r="F368" s="41">
        <f t="shared" si="79"/>
        <v>319.36788000000001</v>
      </c>
      <c r="G368" s="41">
        <v>0</v>
      </c>
      <c r="H368" s="41">
        <f t="shared" si="80"/>
        <v>479.05182000000002</v>
      </c>
      <c r="I368" s="35"/>
      <c r="N368" s="35"/>
    </row>
    <row r="369" spans="1:14" s="36" customFormat="1" x14ac:dyDescent="0.25">
      <c r="A369" s="133">
        <f t="shared" si="76"/>
        <v>11</v>
      </c>
      <c r="B369" s="133"/>
      <c r="C369" s="41" t="s">
        <v>305</v>
      </c>
      <c r="D369" s="41">
        <f t="shared" ref="D369:D370" si="81">34.45*10.764</f>
        <v>370.81979999999999</v>
      </c>
      <c r="E369" s="41">
        <f t="shared" ref="E369:E370" si="82">1*1.15*10.764</f>
        <v>12.378599999999999</v>
      </c>
      <c r="F369" s="41">
        <f t="shared" si="79"/>
        <v>383.19839999999999</v>
      </c>
      <c r="G369" s="41">
        <v>0</v>
      </c>
      <c r="H369" s="41">
        <f t="shared" si="80"/>
        <v>574.79759999999999</v>
      </c>
      <c r="I369" s="35"/>
      <c r="N369" s="35"/>
    </row>
    <row r="370" spans="1:14" s="36" customFormat="1" x14ac:dyDescent="0.25">
      <c r="A370" s="133">
        <f t="shared" si="76"/>
        <v>12</v>
      </c>
      <c r="B370" s="133"/>
      <c r="C370" s="41" t="s">
        <v>305</v>
      </c>
      <c r="D370" s="41">
        <f t="shared" si="81"/>
        <v>370.81979999999999</v>
      </c>
      <c r="E370" s="41">
        <f t="shared" si="82"/>
        <v>12.378599999999999</v>
      </c>
      <c r="F370" s="41">
        <f t="shared" si="79"/>
        <v>383.19839999999999</v>
      </c>
      <c r="G370" s="41">
        <v>0</v>
      </c>
      <c r="H370" s="41">
        <f t="shared" si="80"/>
        <v>574.79759999999999</v>
      </c>
      <c r="I370" s="35"/>
      <c r="N370" s="35"/>
    </row>
    <row r="371" spans="1:14" s="36" customFormat="1" x14ac:dyDescent="0.25">
      <c r="A371" s="269" t="s">
        <v>351</v>
      </c>
      <c r="B371" s="270"/>
      <c r="C371" s="270"/>
      <c r="D371" s="270"/>
      <c r="E371" s="270"/>
      <c r="F371" s="270"/>
      <c r="G371" s="270"/>
      <c r="H371" s="271"/>
      <c r="J371" s="35"/>
    </row>
    <row r="372" spans="1:14" s="36" customFormat="1" x14ac:dyDescent="0.25">
      <c r="A372" s="272" t="s">
        <v>304</v>
      </c>
      <c r="B372" s="273"/>
      <c r="C372" s="273"/>
      <c r="D372" s="273"/>
      <c r="E372" s="273"/>
      <c r="F372" s="273"/>
      <c r="G372" s="273"/>
      <c r="H372" s="274"/>
      <c r="J372" s="35"/>
    </row>
    <row r="373" spans="1:14" s="36" customFormat="1" x14ac:dyDescent="0.25">
      <c r="A373" s="146" t="s">
        <v>306</v>
      </c>
      <c r="B373" s="147"/>
      <c r="C373" s="147"/>
      <c r="D373" s="147"/>
      <c r="E373" s="147"/>
      <c r="F373" s="147"/>
      <c r="G373" s="147"/>
      <c r="H373" s="148"/>
      <c r="J373" s="35"/>
    </row>
    <row r="374" spans="1:14" s="36" customFormat="1" ht="15.75" customHeight="1" x14ac:dyDescent="0.25">
      <c r="A374" s="92">
        <v>1</v>
      </c>
      <c r="B374" s="93"/>
      <c r="C374" s="41" t="s">
        <v>312</v>
      </c>
      <c r="D374" s="41">
        <f>49.7*10.764</f>
        <v>534.97080000000005</v>
      </c>
      <c r="E374" s="41">
        <f>2.13*1*10.764</f>
        <v>22.927319999999998</v>
      </c>
      <c r="F374" s="41">
        <f>D374+E374</f>
        <v>557.89812000000006</v>
      </c>
      <c r="G374" s="41">
        <v>0</v>
      </c>
      <c r="H374" s="41">
        <f>F374*(($H$195)+1)+(IF(G374&lt;101,G374,IF(G374&lt;201,G374/2,IF(G374&lt;=301,G374/3,G374/4))))</f>
        <v>836.84718000000009</v>
      </c>
      <c r="I374" s="35"/>
      <c r="J374" s="36">
        <f>2.75*4.35+2*2.45+2.75*3.45+1.5*1+1.65*1.05+0.9*2.2+1.12*1.79</f>
        <v>33.567299999999996</v>
      </c>
      <c r="L374" s="243"/>
      <c r="M374" s="243"/>
      <c r="N374" s="35"/>
    </row>
    <row r="375" spans="1:14" s="36" customFormat="1" ht="15.75" customHeight="1" x14ac:dyDescent="0.25">
      <c r="A375" s="92">
        <f>A374+1</f>
        <v>2</v>
      </c>
      <c r="B375" s="93"/>
      <c r="C375" s="41" t="s">
        <v>312</v>
      </c>
      <c r="D375" s="41">
        <f t="shared" ref="D375:D377" si="83">49.7*10.764</f>
        <v>534.97080000000005</v>
      </c>
      <c r="E375" s="41">
        <f t="shared" ref="E375:E377" si="84">2.13*1*10.764</f>
        <v>22.927319999999998</v>
      </c>
      <c r="F375" s="41">
        <f>D375+E375</f>
        <v>557.89812000000006</v>
      </c>
      <c r="G375" s="41">
        <v>0</v>
      </c>
      <c r="H375" s="41">
        <f>F375*(($H$195)+1)+(IF(G375&lt;101,G375,IF(G375&lt;201,G375/2,IF(G375&lt;=301,G375/3,G375/4))))</f>
        <v>836.84718000000009</v>
      </c>
      <c r="I375" s="35"/>
      <c r="L375" s="243"/>
      <c r="M375" s="243"/>
      <c r="N375" s="35"/>
    </row>
    <row r="376" spans="1:14" s="36" customFormat="1" ht="15.75" customHeight="1" x14ac:dyDescent="0.25">
      <c r="A376" s="92">
        <f>A375+1</f>
        <v>3</v>
      </c>
      <c r="B376" s="93"/>
      <c r="C376" s="41" t="s">
        <v>312</v>
      </c>
      <c r="D376" s="41">
        <f t="shared" si="83"/>
        <v>534.97080000000005</v>
      </c>
      <c r="E376" s="41">
        <f t="shared" si="84"/>
        <v>22.927319999999998</v>
      </c>
      <c r="F376" s="41">
        <f>D376+E376</f>
        <v>557.89812000000006</v>
      </c>
      <c r="G376" s="41">
        <v>0</v>
      </c>
      <c r="H376" s="41">
        <f>F376*(($H$195)+1)+(IF(G376&lt;101,G376,IF(G376&lt;201,G376/2,IF(G376&lt;=301,G376/3,G376/4))))</f>
        <v>836.84718000000009</v>
      </c>
      <c r="I376" s="35"/>
      <c r="L376" s="243"/>
      <c r="M376" s="243"/>
      <c r="N376" s="35"/>
    </row>
    <row r="377" spans="1:14" s="36" customFormat="1" ht="15.75" customHeight="1" x14ac:dyDescent="0.25">
      <c r="A377" s="92">
        <f>A376+1</f>
        <v>4</v>
      </c>
      <c r="B377" s="93"/>
      <c r="C377" s="41" t="s">
        <v>312</v>
      </c>
      <c r="D377" s="41">
        <f t="shared" si="83"/>
        <v>534.97080000000005</v>
      </c>
      <c r="E377" s="41">
        <f t="shared" si="84"/>
        <v>22.927319999999998</v>
      </c>
      <c r="F377" s="41">
        <f>D377+E377</f>
        <v>557.89812000000006</v>
      </c>
      <c r="G377" s="41">
        <v>0</v>
      </c>
      <c r="H377" s="41">
        <f>F377*(($H$195)+1)+(IF(G377&lt;101,G377,IF(G377&lt;201,G377/2,IF(G377&lt;=301,G377/3,G377/4))))</f>
        <v>836.84718000000009</v>
      </c>
      <c r="I377" s="35"/>
      <c r="L377" s="243"/>
      <c r="M377" s="243"/>
      <c r="N377" s="35"/>
    </row>
    <row r="378" spans="1:14" s="36" customFormat="1" x14ac:dyDescent="0.25">
      <c r="A378" s="179" t="s">
        <v>318</v>
      </c>
      <c r="B378" s="179"/>
      <c r="C378" s="179"/>
      <c r="D378" s="179"/>
      <c r="E378" s="179"/>
      <c r="F378" s="179"/>
      <c r="G378" s="179"/>
      <c r="H378" s="179"/>
      <c r="I378" s="35"/>
      <c r="L378" s="243"/>
      <c r="M378" s="243"/>
    </row>
    <row r="379" spans="1:14" s="36" customFormat="1" x14ac:dyDescent="0.25">
      <c r="A379" s="133">
        <v>1</v>
      </c>
      <c r="B379" s="133"/>
      <c r="C379" s="41" t="s">
        <v>312</v>
      </c>
      <c r="D379" s="41">
        <f>49.7*10.764</f>
        <v>534.97080000000005</v>
      </c>
      <c r="E379" s="41">
        <f>2.13*1*10.764</f>
        <v>22.927319999999998</v>
      </c>
      <c r="F379" s="41">
        <f t="shared" ref="F379:F390" si="85">D379+E379</f>
        <v>557.89812000000006</v>
      </c>
      <c r="G379" s="41">
        <v>0</v>
      </c>
      <c r="H379" s="41">
        <f t="shared" ref="H379:H390" si="86">F379*(($H$195)+1)+(IF(G379&lt;101,G379,IF(G379&lt;201,G379/2,IF(G379&lt;=301,G379/3,G379/4))))</f>
        <v>836.84718000000009</v>
      </c>
      <c r="I379" s="35"/>
      <c r="N379" s="35"/>
    </row>
    <row r="380" spans="1:14" s="36" customFormat="1" x14ac:dyDescent="0.25">
      <c r="A380" s="133">
        <f t="shared" ref="A380:A390" si="87">A379+1</f>
        <v>2</v>
      </c>
      <c r="B380" s="133"/>
      <c r="C380" s="41" t="s">
        <v>312</v>
      </c>
      <c r="D380" s="41">
        <f t="shared" ref="D380:D382" si="88">49.7*10.764</f>
        <v>534.97080000000005</v>
      </c>
      <c r="E380" s="41">
        <f t="shared" ref="E380:E382" si="89">2.13*1*10.764</f>
        <v>22.927319999999998</v>
      </c>
      <c r="F380" s="41">
        <f t="shared" si="85"/>
        <v>557.89812000000006</v>
      </c>
      <c r="G380" s="41">
        <v>0</v>
      </c>
      <c r="H380" s="41">
        <f t="shared" si="86"/>
        <v>836.84718000000009</v>
      </c>
      <c r="I380" s="35"/>
      <c r="N380" s="35"/>
    </row>
    <row r="381" spans="1:14" s="36" customFormat="1" x14ac:dyDescent="0.25">
      <c r="A381" s="133">
        <f t="shared" si="87"/>
        <v>3</v>
      </c>
      <c r="B381" s="133"/>
      <c r="C381" s="41" t="s">
        <v>312</v>
      </c>
      <c r="D381" s="41">
        <f t="shared" si="88"/>
        <v>534.97080000000005</v>
      </c>
      <c r="E381" s="41">
        <f t="shared" si="89"/>
        <v>22.927319999999998</v>
      </c>
      <c r="F381" s="41">
        <f t="shared" si="85"/>
        <v>557.89812000000006</v>
      </c>
      <c r="G381" s="41">
        <v>0</v>
      </c>
      <c r="H381" s="41">
        <f t="shared" si="86"/>
        <v>836.84718000000009</v>
      </c>
      <c r="I381" s="35"/>
      <c r="N381" s="35"/>
    </row>
    <row r="382" spans="1:14" s="36" customFormat="1" x14ac:dyDescent="0.25">
      <c r="A382" s="133">
        <f t="shared" si="87"/>
        <v>4</v>
      </c>
      <c r="B382" s="133"/>
      <c r="C382" s="41" t="s">
        <v>312</v>
      </c>
      <c r="D382" s="41">
        <f t="shared" si="88"/>
        <v>534.97080000000005</v>
      </c>
      <c r="E382" s="41">
        <f t="shared" si="89"/>
        <v>22.927319999999998</v>
      </c>
      <c r="F382" s="41">
        <f t="shared" si="85"/>
        <v>557.89812000000006</v>
      </c>
      <c r="G382" s="41">
        <v>0</v>
      </c>
      <c r="H382" s="41">
        <f t="shared" si="86"/>
        <v>836.84718000000009</v>
      </c>
      <c r="I382" s="35"/>
      <c r="N382" s="35"/>
    </row>
    <row r="383" spans="1:14" s="36" customFormat="1" x14ac:dyDescent="0.25">
      <c r="A383" s="133">
        <f t="shared" si="87"/>
        <v>5</v>
      </c>
      <c r="B383" s="133"/>
      <c r="C383" s="41" t="s">
        <v>312</v>
      </c>
      <c r="D383" s="41">
        <f>41.95*10.764</f>
        <v>451.5498</v>
      </c>
      <c r="E383" s="41">
        <v>0</v>
      </c>
      <c r="F383" s="41">
        <f t="shared" si="85"/>
        <v>451.5498</v>
      </c>
      <c r="G383" s="41">
        <v>0</v>
      </c>
      <c r="H383" s="41">
        <f t="shared" si="86"/>
        <v>677.32470000000001</v>
      </c>
      <c r="I383" s="35"/>
      <c r="N383" s="35"/>
    </row>
    <row r="384" spans="1:14" s="36" customFormat="1" x14ac:dyDescent="0.25">
      <c r="A384" s="133">
        <f t="shared" si="87"/>
        <v>6</v>
      </c>
      <c r="B384" s="133"/>
      <c r="C384" s="41" t="s">
        <v>312</v>
      </c>
      <c r="D384" s="41">
        <f t="shared" ref="D384:D390" si="90">41.95*10.764</f>
        <v>451.5498</v>
      </c>
      <c r="E384" s="41">
        <v>0</v>
      </c>
      <c r="F384" s="41">
        <f t="shared" si="85"/>
        <v>451.5498</v>
      </c>
      <c r="G384" s="41">
        <v>0</v>
      </c>
      <c r="H384" s="41">
        <f t="shared" si="86"/>
        <v>677.32470000000001</v>
      </c>
      <c r="I384" s="35"/>
      <c r="N384" s="35"/>
    </row>
    <row r="385" spans="1:14" s="36" customFormat="1" x14ac:dyDescent="0.25">
      <c r="A385" s="133">
        <f t="shared" si="87"/>
        <v>7</v>
      </c>
      <c r="B385" s="133"/>
      <c r="C385" s="41" t="s">
        <v>312</v>
      </c>
      <c r="D385" s="41">
        <f t="shared" si="90"/>
        <v>451.5498</v>
      </c>
      <c r="E385" s="41">
        <v>0</v>
      </c>
      <c r="F385" s="41">
        <f t="shared" si="85"/>
        <v>451.5498</v>
      </c>
      <c r="G385" s="41">
        <v>0</v>
      </c>
      <c r="H385" s="41">
        <f t="shared" si="86"/>
        <v>677.32470000000001</v>
      </c>
      <c r="I385" s="35"/>
      <c r="N385" s="35"/>
    </row>
    <row r="386" spans="1:14" s="36" customFormat="1" x14ac:dyDescent="0.25">
      <c r="A386" s="133">
        <f t="shared" si="87"/>
        <v>8</v>
      </c>
      <c r="B386" s="133"/>
      <c r="C386" s="41" t="s">
        <v>312</v>
      </c>
      <c r="D386" s="41">
        <f t="shared" si="90"/>
        <v>451.5498</v>
      </c>
      <c r="E386" s="41">
        <v>0</v>
      </c>
      <c r="F386" s="41">
        <f t="shared" si="85"/>
        <v>451.5498</v>
      </c>
      <c r="G386" s="41">
        <v>0</v>
      </c>
      <c r="H386" s="41">
        <f t="shared" si="86"/>
        <v>677.32470000000001</v>
      </c>
      <c r="I386" s="35"/>
      <c r="N386" s="35"/>
    </row>
    <row r="387" spans="1:14" s="36" customFormat="1" x14ac:dyDescent="0.25">
      <c r="A387" s="133">
        <f t="shared" si="87"/>
        <v>9</v>
      </c>
      <c r="B387" s="133"/>
      <c r="C387" s="41" t="s">
        <v>312</v>
      </c>
      <c r="D387" s="41">
        <f t="shared" si="90"/>
        <v>451.5498</v>
      </c>
      <c r="E387" s="41">
        <v>0</v>
      </c>
      <c r="F387" s="41">
        <f t="shared" si="85"/>
        <v>451.5498</v>
      </c>
      <c r="G387" s="41">
        <v>0</v>
      </c>
      <c r="H387" s="41">
        <f t="shared" si="86"/>
        <v>677.32470000000001</v>
      </c>
      <c r="I387" s="35"/>
      <c r="N387" s="35"/>
    </row>
    <row r="388" spans="1:14" s="36" customFormat="1" x14ac:dyDescent="0.25">
      <c r="A388" s="133">
        <f t="shared" si="87"/>
        <v>10</v>
      </c>
      <c r="B388" s="133"/>
      <c r="C388" s="41" t="s">
        <v>312</v>
      </c>
      <c r="D388" s="41">
        <f t="shared" si="90"/>
        <v>451.5498</v>
      </c>
      <c r="E388" s="41">
        <v>0</v>
      </c>
      <c r="F388" s="41">
        <f t="shared" si="85"/>
        <v>451.5498</v>
      </c>
      <c r="G388" s="41">
        <v>0</v>
      </c>
      <c r="H388" s="41">
        <f t="shared" si="86"/>
        <v>677.32470000000001</v>
      </c>
      <c r="I388" s="35"/>
      <c r="N388" s="35"/>
    </row>
    <row r="389" spans="1:14" s="36" customFormat="1" x14ac:dyDescent="0.25">
      <c r="A389" s="133">
        <f t="shared" si="87"/>
        <v>11</v>
      </c>
      <c r="B389" s="133"/>
      <c r="C389" s="41" t="s">
        <v>312</v>
      </c>
      <c r="D389" s="41">
        <f t="shared" si="90"/>
        <v>451.5498</v>
      </c>
      <c r="E389" s="41">
        <v>0</v>
      </c>
      <c r="F389" s="41">
        <f t="shared" si="85"/>
        <v>451.5498</v>
      </c>
      <c r="G389" s="41">
        <v>0</v>
      </c>
      <c r="H389" s="41">
        <f t="shared" si="86"/>
        <v>677.32470000000001</v>
      </c>
      <c r="I389" s="35"/>
      <c r="N389" s="35"/>
    </row>
    <row r="390" spans="1:14" s="36" customFormat="1" x14ac:dyDescent="0.25">
      <c r="A390" s="133">
        <f t="shared" si="87"/>
        <v>12</v>
      </c>
      <c r="B390" s="133"/>
      <c r="C390" s="41" t="s">
        <v>312</v>
      </c>
      <c r="D390" s="41">
        <f t="shared" si="90"/>
        <v>451.5498</v>
      </c>
      <c r="E390" s="41">
        <v>0</v>
      </c>
      <c r="F390" s="41">
        <f t="shared" si="85"/>
        <v>451.5498</v>
      </c>
      <c r="G390" s="41">
        <v>0</v>
      </c>
      <c r="H390" s="41">
        <f t="shared" si="86"/>
        <v>677.32470000000001</v>
      </c>
      <c r="I390" s="35"/>
      <c r="N390" s="35"/>
    </row>
    <row r="391" spans="1:14" s="36" customFormat="1" x14ac:dyDescent="0.25">
      <c r="A391" s="179" t="s">
        <v>352</v>
      </c>
      <c r="B391" s="179"/>
      <c r="C391" s="179"/>
      <c r="D391" s="179"/>
      <c r="E391" s="179"/>
      <c r="F391" s="179"/>
      <c r="G391" s="179"/>
      <c r="H391" s="179"/>
      <c r="I391" s="35"/>
      <c r="L391" s="243"/>
      <c r="M391" s="243"/>
    </row>
    <row r="392" spans="1:14" s="36" customFormat="1" x14ac:dyDescent="0.25">
      <c r="A392" s="133">
        <v>1</v>
      </c>
      <c r="B392" s="133"/>
      <c r="C392" s="41" t="s">
        <v>312</v>
      </c>
      <c r="D392" s="41">
        <f>49.7*10.764</f>
        <v>534.97080000000005</v>
      </c>
      <c r="E392" s="41">
        <f>2.13*1*10.764</f>
        <v>22.927319999999998</v>
      </c>
      <c r="F392" s="41">
        <f>D392+E392</f>
        <v>557.89812000000006</v>
      </c>
      <c r="G392" s="41">
        <v>0</v>
      </c>
      <c r="H392" s="41">
        <f>F392*(($H$195)+1)+(IF(G392&lt;101,G392,IF(G392&lt;201,G392/2,IF(G392&lt;=301,G392/3,G392/4))))</f>
        <v>836.84718000000009</v>
      </c>
      <c r="I392" s="35"/>
      <c r="N392" s="35"/>
    </row>
    <row r="393" spans="1:14" s="36" customFormat="1" x14ac:dyDescent="0.25">
      <c r="A393" s="133">
        <f>A392+1</f>
        <v>2</v>
      </c>
      <c r="B393" s="133"/>
      <c r="C393" s="41" t="s">
        <v>312</v>
      </c>
      <c r="D393" s="41">
        <f t="shared" ref="D393:D394" si="91">49.7*10.764</f>
        <v>534.97080000000005</v>
      </c>
      <c r="E393" s="41">
        <f t="shared" ref="E393:E394" si="92">2.13*1*10.764</f>
        <v>22.927319999999998</v>
      </c>
      <c r="F393" s="41">
        <f>D393+E393</f>
        <v>557.89812000000006</v>
      </c>
      <c r="G393" s="41">
        <v>0</v>
      </c>
      <c r="H393" s="41">
        <f>F393*(($H$195)+1)+(IF(G393&lt;101,G393,IF(G393&lt;201,G393/2,IF(G393&lt;=301,G393/3,G393/4))))</f>
        <v>836.84718000000009</v>
      </c>
      <c r="I393" s="35"/>
      <c r="N393" s="35"/>
    </row>
    <row r="394" spans="1:14" s="36" customFormat="1" x14ac:dyDescent="0.25">
      <c r="A394" s="133">
        <f>A393+1</f>
        <v>3</v>
      </c>
      <c r="B394" s="133"/>
      <c r="C394" s="41" t="s">
        <v>312</v>
      </c>
      <c r="D394" s="41">
        <f t="shared" si="91"/>
        <v>534.97080000000005</v>
      </c>
      <c r="E394" s="41">
        <f t="shared" si="92"/>
        <v>22.927319999999998</v>
      </c>
      <c r="F394" s="41">
        <f>D394+E394</f>
        <v>557.89812000000006</v>
      </c>
      <c r="G394" s="41">
        <v>0</v>
      </c>
      <c r="H394" s="41">
        <f>F394*(($H$195)+1)+(IF(G394&lt;101,G394,IF(G394&lt;201,G394/2,IF(G394&lt;=301,G394/3,G394/4))))</f>
        <v>836.84718000000009</v>
      </c>
      <c r="I394" s="35"/>
      <c r="N394" s="35"/>
    </row>
    <row r="395" spans="1:14" s="36" customFormat="1" x14ac:dyDescent="0.25">
      <c r="A395" s="133">
        <v>4</v>
      </c>
      <c r="B395" s="133"/>
      <c r="C395" s="92" t="s">
        <v>308</v>
      </c>
      <c r="D395" s="142"/>
      <c r="E395" s="142"/>
      <c r="F395" s="142"/>
      <c r="G395" s="142"/>
      <c r="H395" s="93"/>
      <c r="I395" s="35"/>
      <c r="N395" s="35"/>
    </row>
    <row r="396" spans="1:14" s="36" customFormat="1" x14ac:dyDescent="0.25">
      <c r="A396" s="133">
        <v>5</v>
      </c>
      <c r="B396" s="133"/>
      <c r="C396" s="41" t="s">
        <v>312</v>
      </c>
      <c r="D396" s="41">
        <f>41.95*10.764</f>
        <v>451.5498</v>
      </c>
      <c r="E396" s="41">
        <v>0</v>
      </c>
      <c r="F396" s="41">
        <f t="shared" ref="F396:F403" si="93">D396+E396</f>
        <v>451.5498</v>
      </c>
      <c r="G396" s="41">
        <v>0</v>
      </c>
      <c r="H396" s="41">
        <f t="shared" ref="H396:H403" si="94">F396*(($H$195)+1)+(IF(G396&lt;101,G396,IF(G396&lt;201,G396/2,IF(G396&lt;=301,G396/3,G396/4))))</f>
        <v>677.32470000000001</v>
      </c>
      <c r="I396" s="35"/>
      <c r="N396" s="35"/>
    </row>
    <row r="397" spans="1:14" s="36" customFormat="1" x14ac:dyDescent="0.25">
      <c r="A397" s="133">
        <f>A396+1</f>
        <v>6</v>
      </c>
      <c r="B397" s="133"/>
      <c r="C397" s="41" t="s">
        <v>312</v>
      </c>
      <c r="D397" s="41">
        <f t="shared" ref="D397:D403" si="95">41.95*10.764</f>
        <v>451.5498</v>
      </c>
      <c r="E397" s="41">
        <v>0</v>
      </c>
      <c r="F397" s="41">
        <f t="shared" si="93"/>
        <v>451.5498</v>
      </c>
      <c r="G397" s="41">
        <v>0</v>
      </c>
      <c r="H397" s="41">
        <f t="shared" si="94"/>
        <v>677.32470000000001</v>
      </c>
      <c r="I397" s="35"/>
      <c r="N397" s="35"/>
    </row>
    <row r="398" spans="1:14" s="36" customFormat="1" x14ac:dyDescent="0.25">
      <c r="A398" s="133">
        <f t="shared" ref="A398:A403" si="96">A397+1</f>
        <v>7</v>
      </c>
      <c r="B398" s="133"/>
      <c r="C398" s="41" t="s">
        <v>312</v>
      </c>
      <c r="D398" s="41">
        <f t="shared" si="95"/>
        <v>451.5498</v>
      </c>
      <c r="E398" s="41">
        <v>0</v>
      </c>
      <c r="F398" s="41">
        <f t="shared" si="93"/>
        <v>451.5498</v>
      </c>
      <c r="G398" s="41">
        <v>0</v>
      </c>
      <c r="H398" s="41">
        <f t="shared" si="94"/>
        <v>677.32470000000001</v>
      </c>
      <c r="I398" s="35"/>
      <c r="N398" s="35"/>
    </row>
    <row r="399" spans="1:14" s="36" customFormat="1" x14ac:dyDescent="0.25">
      <c r="A399" s="133">
        <f t="shared" si="96"/>
        <v>8</v>
      </c>
      <c r="B399" s="133"/>
      <c r="C399" s="41" t="s">
        <v>312</v>
      </c>
      <c r="D399" s="41">
        <f t="shared" si="95"/>
        <v>451.5498</v>
      </c>
      <c r="E399" s="41">
        <v>0</v>
      </c>
      <c r="F399" s="41">
        <f t="shared" si="93"/>
        <v>451.5498</v>
      </c>
      <c r="G399" s="41">
        <v>0</v>
      </c>
      <c r="H399" s="41">
        <f t="shared" si="94"/>
        <v>677.32470000000001</v>
      </c>
      <c r="I399" s="35"/>
      <c r="N399" s="35"/>
    </row>
    <row r="400" spans="1:14" s="36" customFormat="1" x14ac:dyDescent="0.25">
      <c r="A400" s="133">
        <f t="shared" si="96"/>
        <v>9</v>
      </c>
      <c r="B400" s="133"/>
      <c r="C400" s="41" t="s">
        <v>312</v>
      </c>
      <c r="D400" s="41">
        <f t="shared" si="95"/>
        <v>451.5498</v>
      </c>
      <c r="E400" s="41">
        <v>0</v>
      </c>
      <c r="F400" s="41">
        <f t="shared" si="93"/>
        <v>451.5498</v>
      </c>
      <c r="G400" s="41">
        <v>0</v>
      </c>
      <c r="H400" s="41">
        <f t="shared" si="94"/>
        <v>677.32470000000001</v>
      </c>
      <c r="I400" s="35"/>
      <c r="N400" s="35"/>
    </row>
    <row r="401" spans="1:14" s="36" customFormat="1" x14ac:dyDescent="0.25">
      <c r="A401" s="133">
        <f t="shared" si="96"/>
        <v>10</v>
      </c>
      <c r="B401" s="133"/>
      <c r="C401" s="41" t="s">
        <v>312</v>
      </c>
      <c r="D401" s="41">
        <f t="shared" si="95"/>
        <v>451.5498</v>
      </c>
      <c r="E401" s="41">
        <v>0</v>
      </c>
      <c r="F401" s="41">
        <f t="shared" si="93"/>
        <v>451.5498</v>
      </c>
      <c r="G401" s="41">
        <v>0</v>
      </c>
      <c r="H401" s="41">
        <f t="shared" si="94"/>
        <v>677.32470000000001</v>
      </c>
      <c r="I401" s="35"/>
      <c r="N401" s="35"/>
    </row>
    <row r="402" spans="1:14" s="36" customFormat="1" x14ac:dyDescent="0.25">
      <c r="A402" s="133">
        <f t="shared" si="96"/>
        <v>11</v>
      </c>
      <c r="B402" s="133"/>
      <c r="C402" s="41" t="s">
        <v>312</v>
      </c>
      <c r="D402" s="41">
        <f t="shared" si="95"/>
        <v>451.5498</v>
      </c>
      <c r="E402" s="41">
        <v>0</v>
      </c>
      <c r="F402" s="41">
        <f t="shared" si="93"/>
        <v>451.5498</v>
      </c>
      <c r="G402" s="41">
        <v>0</v>
      </c>
      <c r="H402" s="41">
        <f t="shared" si="94"/>
        <v>677.32470000000001</v>
      </c>
      <c r="I402" s="35"/>
      <c r="N402" s="35"/>
    </row>
    <row r="403" spans="1:14" s="36" customFormat="1" x14ac:dyDescent="0.25">
      <c r="A403" s="133">
        <f t="shared" si="96"/>
        <v>12</v>
      </c>
      <c r="B403" s="133"/>
      <c r="C403" s="41" t="s">
        <v>312</v>
      </c>
      <c r="D403" s="41">
        <f t="shared" si="95"/>
        <v>451.5498</v>
      </c>
      <c r="E403" s="41">
        <v>0</v>
      </c>
      <c r="F403" s="41">
        <f t="shared" si="93"/>
        <v>451.5498</v>
      </c>
      <c r="G403" s="41">
        <v>0</v>
      </c>
      <c r="H403" s="41">
        <f t="shared" si="94"/>
        <v>677.32470000000001</v>
      </c>
      <c r="I403" s="35"/>
      <c r="N403" s="35"/>
    </row>
    <row r="404" spans="1:14" s="34" customFormat="1" x14ac:dyDescent="0.25">
      <c r="A404" s="160" t="s">
        <v>64</v>
      </c>
      <c r="B404" s="161"/>
      <c r="C404" s="161"/>
      <c r="D404" s="161"/>
      <c r="E404" s="161"/>
      <c r="F404" s="161"/>
      <c r="G404" s="161"/>
      <c r="H404" s="162"/>
    </row>
    <row r="405" spans="1:14" s="34" customFormat="1" ht="15.75" customHeight="1" x14ac:dyDescent="0.25">
      <c r="A405" s="56" t="s">
        <v>150</v>
      </c>
      <c r="B405" s="279" t="s">
        <v>345</v>
      </c>
      <c r="C405" s="280"/>
      <c r="D405" s="280"/>
      <c r="E405" s="280"/>
      <c r="F405" s="280"/>
      <c r="G405" s="280"/>
      <c r="H405" s="281"/>
      <c r="J405" s="62" t="s">
        <v>334</v>
      </c>
      <c r="K405" s="63">
        <v>45516</v>
      </c>
    </row>
    <row r="406" spans="1:14" s="34" customFormat="1" ht="15.75" hidden="1" customHeight="1" x14ac:dyDescent="0.25">
      <c r="A406" s="56" t="s">
        <v>150</v>
      </c>
      <c r="B406" s="85" t="s">
        <v>329</v>
      </c>
      <c r="C406" s="85"/>
      <c r="D406" s="85"/>
      <c r="E406" s="85" t="s">
        <v>330</v>
      </c>
      <c r="F406" s="85"/>
      <c r="G406" s="85"/>
      <c r="H406" s="85"/>
    </row>
    <row r="407" spans="1:14" s="34" customFormat="1" ht="32.65" hidden="1" customHeight="1" x14ac:dyDescent="0.25">
      <c r="A407" s="56" t="s">
        <v>150</v>
      </c>
      <c r="B407" s="85" t="s">
        <v>331</v>
      </c>
      <c r="C407" s="85"/>
      <c r="D407" s="85"/>
      <c r="E407" s="85" t="s">
        <v>332</v>
      </c>
      <c r="F407" s="85"/>
      <c r="G407" s="85"/>
      <c r="H407" s="85"/>
    </row>
    <row r="408" spans="1:14" s="34" customFormat="1" ht="15.75" customHeight="1" x14ac:dyDescent="0.25">
      <c r="A408" s="56" t="s">
        <v>150</v>
      </c>
      <c r="B408" s="157" t="str">
        <f>(IF(H194="Saleable area Loading :","We have considered Saleable area of Flats as per our Calculation.","We considered Saleable area of Flat as per Builder area Sheet."))</f>
        <v>We have considered Saleable area of Flats as per our Calculation.</v>
      </c>
      <c r="C408" s="158"/>
      <c r="D408" s="158"/>
      <c r="E408" s="158"/>
      <c r="F408" s="158"/>
      <c r="G408" s="158"/>
      <c r="H408" s="159"/>
    </row>
    <row r="409" spans="1:14" s="34" customFormat="1" ht="15.75" hidden="1" customHeight="1" x14ac:dyDescent="0.25">
      <c r="A409" s="56" t="s">
        <v>150</v>
      </c>
      <c r="B409" s="149" t="str">
        <f>(IF(H186="Saleable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09" s="150"/>
      <c r="D409" s="150"/>
      <c r="E409" s="150"/>
      <c r="F409" s="150"/>
      <c r="G409" s="150"/>
      <c r="H409" s="151"/>
    </row>
    <row r="410" spans="1:14" s="34" customFormat="1" ht="15.75" customHeight="1" x14ac:dyDescent="0.25">
      <c r="A410" s="56" t="s">
        <v>150</v>
      </c>
      <c r="B410" s="154" t="s">
        <v>120</v>
      </c>
      <c r="C410" s="155"/>
      <c r="D410" s="155"/>
      <c r="E410" s="155"/>
      <c r="F410" s="155"/>
      <c r="G410" s="155"/>
      <c r="H410" s="156"/>
    </row>
    <row r="411" spans="1:14" s="34" customFormat="1" x14ac:dyDescent="0.25">
      <c r="A411" s="56" t="s">
        <v>150</v>
      </c>
      <c r="B411" s="154" t="s">
        <v>323</v>
      </c>
      <c r="C411" s="155"/>
      <c r="D411" s="155"/>
      <c r="E411" s="155"/>
      <c r="F411" s="155"/>
      <c r="G411" s="155"/>
      <c r="H411" s="156"/>
    </row>
    <row r="412" spans="1:14" s="34" customFormat="1" ht="15.75" customHeight="1" x14ac:dyDescent="0.25">
      <c r="A412" s="56" t="s">
        <v>150</v>
      </c>
      <c r="B412" s="154" t="s">
        <v>149</v>
      </c>
      <c r="C412" s="155"/>
      <c r="D412" s="155"/>
      <c r="E412" s="155"/>
      <c r="F412" s="155"/>
      <c r="G412" s="155"/>
      <c r="H412" s="156"/>
    </row>
    <row r="413" spans="1:14" s="34" customFormat="1" ht="15.75" customHeight="1" x14ac:dyDescent="0.25">
      <c r="A413" s="56" t="s">
        <v>150</v>
      </c>
      <c r="B413" s="154" t="s">
        <v>121</v>
      </c>
      <c r="C413" s="155"/>
      <c r="D413" s="155"/>
      <c r="E413" s="155"/>
      <c r="F413" s="155"/>
      <c r="G413" s="155"/>
      <c r="H413" s="156"/>
    </row>
    <row r="414" spans="1:14" s="34" customFormat="1" ht="34.5" customHeight="1" x14ac:dyDescent="0.25">
      <c r="A414" s="56" t="s">
        <v>150</v>
      </c>
      <c r="B414" s="154" t="s">
        <v>151</v>
      </c>
      <c r="C414" s="155"/>
      <c r="D414" s="155"/>
      <c r="E414" s="155"/>
      <c r="F414" s="155"/>
      <c r="G414" s="155"/>
      <c r="H414" s="156"/>
    </row>
    <row r="415" spans="1:14" s="34" customFormat="1" ht="15.75" customHeight="1" x14ac:dyDescent="0.25">
      <c r="A415" s="56" t="s">
        <v>150</v>
      </c>
      <c r="B415" s="154" t="s">
        <v>122</v>
      </c>
      <c r="C415" s="155"/>
      <c r="D415" s="155"/>
      <c r="E415" s="155"/>
      <c r="F415" s="155"/>
      <c r="G415" s="155"/>
      <c r="H415" s="156"/>
    </row>
    <row r="416" spans="1:14" s="34" customFormat="1" ht="31.5" customHeight="1" x14ac:dyDescent="0.25">
      <c r="A416" s="56" t="s">
        <v>150</v>
      </c>
      <c r="B416" s="154" t="s">
        <v>337</v>
      </c>
      <c r="C416" s="155"/>
      <c r="D416" s="155"/>
      <c r="E416" s="155"/>
      <c r="F416" s="155"/>
      <c r="G416" s="155"/>
      <c r="H416" s="156"/>
    </row>
    <row r="417" spans="1:8" s="34" customFormat="1" ht="32.25" hidden="1" customHeight="1" x14ac:dyDescent="0.25">
      <c r="A417" s="56" t="s">
        <v>150</v>
      </c>
      <c r="B417" s="149" t="s">
        <v>174</v>
      </c>
      <c r="C417" s="150"/>
      <c r="D417" s="150"/>
      <c r="E417" s="150"/>
      <c r="F417" s="150"/>
      <c r="G417" s="150"/>
      <c r="H417" s="151"/>
    </row>
    <row r="418" spans="1:8" s="34" customFormat="1" ht="15.75" hidden="1" customHeight="1" x14ac:dyDescent="0.25">
      <c r="A418" s="56" t="s">
        <v>150</v>
      </c>
      <c r="B418" s="149" t="s">
        <v>230</v>
      </c>
      <c r="C418" s="150"/>
      <c r="D418" s="150"/>
      <c r="E418" s="150"/>
      <c r="F418" s="150"/>
      <c r="G418" s="150"/>
      <c r="H418" s="151"/>
    </row>
    <row r="419" spans="1:8" x14ac:dyDescent="0.25">
      <c r="A419" s="183" t="s">
        <v>57</v>
      </c>
      <c r="B419" s="184"/>
      <c r="C419" s="184"/>
      <c r="D419" s="184"/>
      <c r="E419" s="184"/>
      <c r="F419" s="184"/>
      <c r="G419" s="184"/>
      <c r="H419" s="185"/>
    </row>
    <row r="420" spans="1:8" x14ac:dyDescent="0.25">
      <c r="A420" s="180" t="s">
        <v>58</v>
      </c>
      <c r="B420" s="181"/>
      <c r="C420" s="181"/>
      <c r="D420" s="181"/>
      <c r="E420" s="181"/>
      <c r="F420" s="181"/>
      <c r="G420" s="181"/>
      <c r="H420" s="182"/>
    </row>
    <row r="421" spans="1:8" ht="15.75" customHeight="1" x14ac:dyDescent="0.25">
      <c r="A421" s="130" t="s">
        <v>59</v>
      </c>
      <c r="B421" s="131"/>
      <c r="C421" s="131"/>
      <c r="D421" s="131"/>
      <c r="E421" s="131"/>
      <c r="F421" s="131"/>
      <c r="G421" s="131"/>
      <c r="H421" s="132"/>
    </row>
    <row r="422" spans="1:8" x14ac:dyDescent="0.25">
      <c r="A422" s="180" t="s">
        <v>60</v>
      </c>
      <c r="B422" s="181"/>
      <c r="C422" s="181"/>
      <c r="D422" s="181"/>
      <c r="E422" s="181"/>
      <c r="F422" s="181"/>
      <c r="G422" s="181"/>
      <c r="H422" s="182"/>
    </row>
    <row r="423" spans="1:8" x14ac:dyDescent="0.25">
      <c r="A423" s="180" t="s">
        <v>61</v>
      </c>
      <c r="B423" s="181"/>
      <c r="C423" s="181"/>
      <c r="D423" s="181"/>
      <c r="E423" s="181"/>
      <c r="F423" s="181"/>
      <c r="G423" s="181"/>
      <c r="H423" s="182"/>
    </row>
    <row r="424" spans="1:8" x14ac:dyDescent="0.25">
      <c r="A424" s="91" t="s">
        <v>123</v>
      </c>
      <c r="B424" s="91"/>
      <c r="C424" s="91"/>
      <c r="D424" s="91"/>
      <c r="E424" s="91"/>
      <c r="F424" s="91"/>
      <c r="G424" s="91"/>
      <c r="H424" s="91"/>
    </row>
    <row r="425" spans="1:8" ht="34.15" customHeight="1" x14ac:dyDescent="0.25">
      <c r="A425" s="98" t="s">
        <v>124</v>
      </c>
      <c r="B425" s="98"/>
      <c r="C425" s="98"/>
      <c r="D425" s="98"/>
      <c r="E425" s="98"/>
      <c r="F425" s="98"/>
      <c r="G425" s="98"/>
      <c r="H425" s="98"/>
    </row>
    <row r="426" spans="1:8" x14ac:dyDescent="0.25">
      <c r="A426" s="177" t="s">
        <v>73</v>
      </c>
      <c r="B426" s="177"/>
      <c r="C426" s="177" t="s">
        <v>322</v>
      </c>
      <c r="D426" s="177"/>
      <c r="E426" s="177" t="s">
        <v>103</v>
      </c>
      <c r="F426" s="177"/>
      <c r="G426" s="177" t="s">
        <v>342</v>
      </c>
      <c r="H426" s="177"/>
    </row>
    <row r="427" spans="1:8" x14ac:dyDescent="0.25">
      <c r="A427" s="176" t="s">
        <v>75</v>
      </c>
      <c r="B427" s="176"/>
      <c r="C427" s="176"/>
      <c r="D427" s="176"/>
      <c r="E427" s="176"/>
      <c r="F427" s="176"/>
      <c r="G427" s="176"/>
      <c r="H427" s="176"/>
    </row>
    <row r="428" spans="1:8" x14ac:dyDescent="0.25">
      <c r="A428" s="176"/>
      <c r="B428" s="176"/>
      <c r="C428" s="176"/>
      <c r="D428" s="176"/>
      <c r="E428" s="176"/>
      <c r="F428" s="176"/>
      <c r="G428" s="176"/>
      <c r="H428" s="176"/>
    </row>
    <row r="429" spans="1:8" x14ac:dyDescent="0.25">
      <c r="A429" s="176"/>
      <c r="B429" s="176"/>
      <c r="C429" s="176"/>
      <c r="D429" s="176"/>
      <c r="E429" s="176"/>
      <c r="F429" s="176"/>
      <c r="G429" s="176"/>
      <c r="H429" s="176"/>
    </row>
    <row r="430" spans="1:8" x14ac:dyDescent="0.25">
      <c r="A430" s="176"/>
      <c r="B430" s="176"/>
      <c r="C430" s="176"/>
      <c r="D430" s="176"/>
      <c r="E430" s="176"/>
      <c r="F430" s="176"/>
      <c r="G430" s="176"/>
      <c r="H430" s="176"/>
    </row>
    <row r="431" spans="1:8" x14ac:dyDescent="0.25">
      <c r="A431" s="37" t="s">
        <v>62</v>
      </c>
      <c r="B431" s="38"/>
      <c r="C431" s="38"/>
      <c r="D431" s="37" t="str">
        <f>E9</f>
        <v>Dosti Greater Thane - Sector 3A - Cluster 1B - Phase 1, 2 &amp; 3</v>
      </c>
      <c r="F431" s="38"/>
      <c r="G431" s="38"/>
      <c r="H431" s="38"/>
    </row>
    <row r="432" spans="1:8" x14ac:dyDescent="0.25">
      <c r="A432" s="38"/>
      <c r="B432" s="38"/>
      <c r="C432" s="38"/>
      <c r="D432" s="38"/>
      <c r="E432" s="38"/>
      <c r="F432" s="38"/>
      <c r="G432" s="38"/>
      <c r="H432" s="38"/>
    </row>
    <row r="433" spans="1:8" x14ac:dyDescent="0.25">
      <c r="A433" s="38"/>
      <c r="B433" s="38"/>
      <c r="C433" s="38"/>
      <c r="D433" s="38"/>
      <c r="E433" s="38"/>
      <c r="F433" s="38"/>
      <c r="G433" s="38"/>
      <c r="H433" s="38"/>
    </row>
    <row r="434" spans="1:8" ht="15" customHeight="1" x14ac:dyDescent="0.25"/>
    <row r="470" spans="1:1" x14ac:dyDescent="0.25">
      <c r="A470" s="40" t="s">
        <v>160</v>
      </c>
    </row>
    <row r="507" spans="1:1" x14ac:dyDescent="0.25">
      <c r="A507" s="40" t="s">
        <v>63</v>
      </c>
    </row>
  </sheetData>
  <mergeCells count="648">
    <mergeCell ref="B405:H405"/>
    <mergeCell ref="C131:H131"/>
    <mergeCell ref="A132:B132"/>
    <mergeCell ref="E132:F132"/>
    <mergeCell ref="G132:H132"/>
    <mergeCell ref="A133:B133"/>
    <mergeCell ref="E133:F142"/>
    <mergeCell ref="G133:H142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331:B331"/>
    <mergeCell ref="A332:B332"/>
    <mergeCell ref="A333:B333"/>
    <mergeCell ref="A334:B334"/>
    <mergeCell ref="I158:O158"/>
    <mergeCell ref="B415:H415"/>
    <mergeCell ref="C179:D179"/>
    <mergeCell ref="E179:F179"/>
    <mergeCell ref="G179:H179"/>
    <mergeCell ref="C180:D180"/>
    <mergeCell ref="E180:F180"/>
    <mergeCell ref="G180:H180"/>
    <mergeCell ref="A181:A182"/>
    <mergeCell ref="C181:D181"/>
    <mergeCell ref="E181:F181"/>
    <mergeCell ref="G181:H181"/>
    <mergeCell ref="C182:D182"/>
    <mergeCell ref="E182:F182"/>
    <mergeCell ref="G182:H182"/>
    <mergeCell ref="C177:D177"/>
    <mergeCell ref="E177:F177"/>
    <mergeCell ref="G177:H177"/>
    <mergeCell ref="C178:D178"/>
    <mergeCell ref="E178:F178"/>
    <mergeCell ref="G178:H178"/>
    <mergeCell ref="A396:B396"/>
    <mergeCell ref="A397:B397"/>
    <mergeCell ref="A398:B398"/>
    <mergeCell ref="A399:B399"/>
    <mergeCell ref="A400:B400"/>
    <mergeCell ref="A401:B401"/>
    <mergeCell ref="A337:H337"/>
    <mergeCell ref="A338:H338"/>
    <mergeCell ref="A323:B323"/>
    <mergeCell ref="A324:B324"/>
    <mergeCell ref="A325:B325"/>
    <mergeCell ref="A326:B326"/>
    <mergeCell ref="C326:H326"/>
    <mergeCell ref="A327:B327"/>
    <mergeCell ref="A328:B328"/>
    <mergeCell ref="A329:B329"/>
    <mergeCell ref="A330:B330"/>
    <mergeCell ref="A335:H335"/>
    <mergeCell ref="A336:H336"/>
    <mergeCell ref="A402:B402"/>
    <mergeCell ref="A403:B403"/>
    <mergeCell ref="A177:A179"/>
    <mergeCell ref="A389:B389"/>
    <mergeCell ref="A390:B390"/>
    <mergeCell ref="A391:H391"/>
    <mergeCell ref="A375:B375"/>
    <mergeCell ref="A359:B359"/>
    <mergeCell ref="A360:B360"/>
    <mergeCell ref="A361:B361"/>
    <mergeCell ref="A362:B362"/>
    <mergeCell ref="A363:B363"/>
    <mergeCell ref="A364:B364"/>
    <mergeCell ref="C364:H364"/>
    <mergeCell ref="A365:B365"/>
    <mergeCell ref="A366:B366"/>
    <mergeCell ref="A351:B351"/>
    <mergeCell ref="A352:B352"/>
    <mergeCell ref="A353:B353"/>
    <mergeCell ref="A354:B354"/>
    <mergeCell ref="A355:B355"/>
    <mergeCell ref="A321:B321"/>
    <mergeCell ref="A322:H322"/>
    <mergeCell ref="A302:H302"/>
    <mergeCell ref="L391:M391"/>
    <mergeCell ref="A392:B392"/>
    <mergeCell ref="A393:B393"/>
    <mergeCell ref="A394:B394"/>
    <mergeCell ref="A395:B395"/>
    <mergeCell ref="C395:H395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L375:M375"/>
    <mergeCell ref="A376:B376"/>
    <mergeCell ref="L376:M376"/>
    <mergeCell ref="A377:B377"/>
    <mergeCell ref="L377:M377"/>
    <mergeCell ref="A378:H378"/>
    <mergeCell ref="L378:M378"/>
    <mergeCell ref="A379:B379"/>
    <mergeCell ref="A367:B367"/>
    <mergeCell ref="A368:B368"/>
    <mergeCell ref="A369:B369"/>
    <mergeCell ref="A370:B370"/>
    <mergeCell ref="A371:H371"/>
    <mergeCell ref="A372:H372"/>
    <mergeCell ref="A373:H373"/>
    <mergeCell ref="A374:B374"/>
    <mergeCell ref="L374:M374"/>
    <mergeCell ref="L358:M358"/>
    <mergeCell ref="A344:B344"/>
    <mergeCell ref="L344:M344"/>
    <mergeCell ref="A345:H345"/>
    <mergeCell ref="L345:M345"/>
    <mergeCell ref="A346:B346"/>
    <mergeCell ref="A347:B347"/>
    <mergeCell ref="A348:B348"/>
    <mergeCell ref="A349:B349"/>
    <mergeCell ref="A350:B350"/>
    <mergeCell ref="A356:B356"/>
    <mergeCell ref="A357:B357"/>
    <mergeCell ref="A358:H358"/>
    <mergeCell ref="L339:M339"/>
    <mergeCell ref="A340:B340"/>
    <mergeCell ref="L340:M340"/>
    <mergeCell ref="A341:B341"/>
    <mergeCell ref="L341:M341"/>
    <mergeCell ref="A342:B342"/>
    <mergeCell ref="L342:M342"/>
    <mergeCell ref="A343:B343"/>
    <mergeCell ref="L343:M343"/>
    <mergeCell ref="A339:B339"/>
    <mergeCell ref="A290:B290"/>
    <mergeCell ref="A291:B291"/>
    <mergeCell ref="A292:B292"/>
    <mergeCell ref="A293:B293"/>
    <mergeCell ref="A284:B284"/>
    <mergeCell ref="L322:M322"/>
    <mergeCell ref="A308:B308"/>
    <mergeCell ref="L308:M308"/>
    <mergeCell ref="A309:H309"/>
    <mergeCell ref="L309:M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L273:M273"/>
    <mergeCell ref="L274:M274"/>
    <mergeCell ref="A275:H275"/>
    <mergeCell ref="L275:M275"/>
    <mergeCell ref="A278:B278"/>
    <mergeCell ref="A283:B283"/>
    <mergeCell ref="A307:B307"/>
    <mergeCell ref="L307:M307"/>
    <mergeCell ref="A297:B297"/>
    <mergeCell ref="A298:B298"/>
    <mergeCell ref="A299:B299"/>
    <mergeCell ref="A300:B300"/>
    <mergeCell ref="A301:H301"/>
    <mergeCell ref="A303:H303"/>
    <mergeCell ref="A304:H304"/>
    <mergeCell ref="A305:B305"/>
    <mergeCell ref="L305:M305"/>
    <mergeCell ref="A306:B306"/>
    <mergeCell ref="L306:M306"/>
    <mergeCell ref="A294:B294"/>
    <mergeCell ref="C294:H294"/>
    <mergeCell ref="A295:B295"/>
    <mergeCell ref="A296:B296"/>
    <mergeCell ref="A289:B289"/>
    <mergeCell ref="A285:B285"/>
    <mergeCell ref="A286:B286"/>
    <mergeCell ref="A287:B287"/>
    <mergeCell ref="A288:H288"/>
    <mergeCell ref="L288:M288"/>
    <mergeCell ref="A280:B280"/>
    <mergeCell ref="A281:B281"/>
    <mergeCell ref="A282:B282"/>
    <mergeCell ref="A266:H266"/>
    <mergeCell ref="A269:B269"/>
    <mergeCell ref="A270:B270"/>
    <mergeCell ref="A271:B271"/>
    <mergeCell ref="A273:B273"/>
    <mergeCell ref="A274:B274"/>
    <mergeCell ref="A267:H267"/>
    <mergeCell ref="A268:H268"/>
    <mergeCell ref="A276:B276"/>
    <mergeCell ref="A277:B277"/>
    <mergeCell ref="A279:B279"/>
    <mergeCell ref="L269:M269"/>
    <mergeCell ref="L270:M270"/>
    <mergeCell ref="L271:M271"/>
    <mergeCell ref="A272:B272"/>
    <mergeCell ref="L272:M272"/>
    <mergeCell ref="A250:B250"/>
    <mergeCell ref="A251:B251"/>
    <mergeCell ref="A252:B252"/>
    <mergeCell ref="A253:H253"/>
    <mergeCell ref="A259:B259"/>
    <mergeCell ref="A257:B257"/>
    <mergeCell ref="C257:H257"/>
    <mergeCell ref="A260:B260"/>
    <mergeCell ref="A261:B261"/>
    <mergeCell ref="A262:B262"/>
    <mergeCell ref="A263:B263"/>
    <mergeCell ref="A264:B264"/>
    <mergeCell ref="A265:B265"/>
    <mergeCell ref="L253:M253"/>
    <mergeCell ref="A254:B254"/>
    <mergeCell ref="A255:B255"/>
    <mergeCell ref="A256:B256"/>
    <mergeCell ref="A258:B258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40:H240"/>
    <mergeCell ref="L240:M240"/>
    <mergeCell ref="A232:B232"/>
    <mergeCell ref="C226:H226"/>
    <mergeCell ref="A233:H233"/>
    <mergeCell ref="A234:H234"/>
    <mergeCell ref="A235:H235"/>
    <mergeCell ref="A236:B236"/>
    <mergeCell ref="L236:M236"/>
    <mergeCell ref="A237:B237"/>
    <mergeCell ref="L237:M237"/>
    <mergeCell ref="A226:B226"/>
    <mergeCell ref="A227:B227"/>
    <mergeCell ref="A228:B228"/>
    <mergeCell ref="A229:B229"/>
    <mergeCell ref="A230:B230"/>
    <mergeCell ref="A231:B231"/>
    <mergeCell ref="A238:B238"/>
    <mergeCell ref="L238:M238"/>
    <mergeCell ref="A239:B239"/>
    <mergeCell ref="L239:M239"/>
    <mergeCell ref="A218:B218"/>
    <mergeCell ref="A219:B219"/>
    <mergeCell ref="A220:H220"/>
    <mergeCell ref="L220:M220"/>
    <mergeCell ref="A221:B221"/>
    <mergeCell ref="A222:B222"/>
    <mergeCell ref="A223:B223"/>
    <mergeCell ref="A224:B224"/>
    <mergeCell ref="A225:B225"/>
    <mergeCell ref="L205:M205"/>
    <mergeCell ref="A206:B206"/>
    <mergeCell ref="L206:M206"/>
    <mergeCell ref="A213:B213"/>
    <mergeCell ref="A214:B214"/>
    <mergeCell ref="L207:M207"/>
    <mergeCell ref="L204:M204"/>
    <mergeCell ref="L201:M201"/>
    <mergeCell ref="L202:M202"/>
    <mergeCell ref="L203:M203"/>
    <mergeCell ref="A167:E167"/>
    <mergeCell ref="G183:H183"/>
    <mergeCell ref="C173:D173"/>
    <mergeCell ref="E173:F173"/>
    <mergeCell ref="G173:H173"/>
    <mergeCell ref="A174:B174"/>
    <mergeCell ref="C174:D174"/>
    <mergeCell ref="E174:F174"/>
    <mergeCell ref="G174:H174"/>
    <mergeCell ref="C183:D183"/>
    <mergeCell ref="E183:F183"/>
    <mergeCell ref="A53:B53"/>
    <mergeCell ref="C53:H53"/>
    <mergeCell ref="B412:H412"/>
    <mergeCell ref="A148:B148"/>
    <mergeCell ref="A149:B149"/>
    <mergeCell ref="G105:H114"/>
    <mergeCell ref="A106:B106"/>
    <mergeCell ref="A107:B107"/>
    <mergeCell ref="A108:B108"/>
    <mergeCell ref="F159:H159"/>
    <mergeCell ref="A159:E159"/>
    <mergeCell ref="D186:D187"/>
    <mergeCell ref="A161:E161"/>
    <mergeCell ref="A152:B152"/>
    <mergeCell ref="A154:B154"/>
    <mergeCell ref="A155:B155"/>
    <mergeCell ref="A160:E160"/>
    <mergeCell ref="A157:E157"/>
    <mergeCell ref="F161:H161"/>
    <mergeCell ref="G146:H146"/>
    <mergeCell ref="A145:B145"/>
    <mergeCell ref="F194:F195"/>
    <mergeCell ref="G186:G187"/>
    <mergeCell ref="A212:B212"/>
    <mergeCell ref="A44:B44"/>
    <mergeCell ref="C44:H44"/>
    <mergeCell ref="F186:F187"/>
    <mergeCell ref="C172:D172"/>
    <mergeCell ref="E172:F172"/>
    <mergeCell ref="B186:B187"/>
    <mergeCell ref="A186:A187"/>
    <mergeCell ref="C194:C195"/>
    <mergeCell ref="G194:G195"/>
    <mergeCell ref="A90:B90"/>
    <mergeCell ref="A93:B93"/>
    <mergeCell ref="A95:B95"/>
    <mergeCell ref="A68:C68"/>
    <mergeCell ref="D68:H68"/>
    <mergeCell ref="C89:H89"/>
    <mergeCell ref="A92:B92"/>
    <mergeCell ref="A94:B94"/>
    <mergeCell ref="E90:F90"/>
    <mergeCell ref="A69:C69"/>
    <mergeCell ref="D69:H69"/>
    <mergeCell ref="A72:C72"/>
    <mergeCell ref="D72:H72"/>
    <mergeCell ref="A70:C70"/>
    <mergeCell ref="D71:H71"/>
    <mergeCell ref="A43:B43"/>
    <mergeCell ref="C43:H43"/>
    <mergeCell ref="A50:D50"/>
    <mergeCell ref="L192:M192"/>
    <mergeCell ref="L191:M191"/>
    <mergeCell ref="L190:M190"/>
    <mergeCell ref="L189:M189"/>
    <mergeCell ref="A98:B98"/>
    <mergeCell ref="A158:E158"/>
    <mergeCell ref="A143:B143"/>
    <mergeCell ref="C143:H143"/>
    <mergeCell ref="A188:H188"/>
    <mergeCell ref="E186:E187"/>
    <mergeCell ref="A105:B105"/>
    <mergeCell ref="A51:D51"/>
    <mergeCell ref="A52:H52"/>
    <mergeCell ref="D62:H62"/>
    <mergeCell ref="A62:C62"/>
    <mergeCell ref="G55:H55"/>
    <mergeCell ref="A56:B57"/>
    <mergeCell ref="A97:B97"/>
    <mergeCell ref="A89:B89"/>
    <mergeCell ref="A87:B87"/>
    <mergeCell ref="C87:H87"/>
    <mergeCell ref="A42:H42"/>
    <mergeCell ref="A41:B41"/>
    <mergeCell ref="C41:E41"/>
    <mergeCell ref="G147:H156"/>
    <mergeCell ref="A46:D46"/>
    <mergeCell ref="E46:H46"/>
    <mergeCell ref="A45:H45"/>
    <mergeCell ref="A66:C66"/>
    <mergeCell ref="A67:C67"/>
    <mergeCell ref="D66:H66"/>
    <mergeCell ref="E91:F100"/>
    <mergeCell ref="G91:H100"/>
    <mergeCell ref="A99:B99"/>
    <mergeCell ref="A100:B100"/>
    <mergeCell ref="D67:H67"/>
    <mergeCell ref="A48:D48"/>
    <mergeCell ref="E48:H48"/>
    <mergeCell ref="E49:H49"/>
    <mergeCell ref="E50:H50"/>
    <mergeCell ref="A104:B104"/>
    <mergeCell ref="E51:H51"/>
    <mergeCell ref="A103:B103"/>
    <mergeCell ref="C103:H103"/>
    <mergeCell ref="A49:D49"/>
    <mergeCell ref="F41:H41"/>
    <mergeCell ref="E31:H31"/>
    <mergeCell ref="A33:D33"/>
    <mergeCell ref="E33:H33"/>
    <mergeCell ref="A30:D30"/>
    <mergeCell ref="E30:H30"/>
    <mergeCell ref="A34:D34"/>
    <mergeCell ref="E34:H34"/>
    <mergeCell ref="A31:D31"/>
    <mergeCell ref="A40:B40"/>
    <mergeCell ref="C40:E40"/>
    <mergeCell ref="A35:D35"/>
    <mergeCell ref="E35:H35"/>
    <mergeCell ref="A36:D36"/>
    <mergeCell ref="E36:H36"/>
    <mergeCell ref="A32:D32"/>
    <mergeCell ref="E32:H32"/>
    <mergeCell ref="C37:E37"/>
    <mergeCell ref="F40:H40"/>
    <mergeCell ref="F37:H37"/>
    <mergeCell ref="A38:B38"/>
    <mergeCell ref="A37:B37"/>
    <mergeCell ref="C38:E38"/>
    <mergeCell ref="A39:B39"/>
    <mergeCell ref="C39:E39"/>
    <mergeCell ref="A29:D29"/>
    <mergeCell ref="E29:H29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F38:H38"/>
    <mergeCell ref="F39:H39"/>
    <mergeCell ref="E16:H16"/>
    <mergeCell ref="A11:D11"/>
    <mergeCell ref="E11:H11"/>
    <mergeCell ref="A27:D28"/>
    <mergeCell ref="E27:H28"/>
    <mergeCell ref="A20:B20"/>
    <mergeCell ref="C20:H20"/>
    <mergeCell ref="C21:H21"/>
    <mergeCell ref="A22:B22"/>
    <mergeCell ref="C22:H22"/>
    <mergeCell ref="A15:D15"/>
    <mergeCell ref="E15:H15"/>
    <mergeCell ref="A21:B21"/>
    <mergeCell ref="A16:D16"/>
    <mergeCell ref="A12:D14"/>
    <mergeCell ref="F12:H12"/>
    <mergeCell ref="F13:H13"/>
    <mergeCell ref="F14:H14"/>
    <mergeCell ref="A17:D19"/>
    <mergeCell ref="E17:F17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A427:H430"/>
    <mergeCell ref="A426:B426"/>
    <mergeCell ref="E426:F426"/>
    <mergeCell ref="C426:D426"/>
    <mergeCell ref="G426:H426"/>
    <mergeCell ref="A170:H170"/>
    <mergeCell ref="A168:E168"/>
    <mergeCell ref="F168:H168"/>
    <mergeCell ref="A169:E169"/>
    <mergeCell ref="F169:H169"/>
    <mergeCell ref="A207:H207"/>
    <mergeCell ref="A172:B172"/>
    <mergeCell ref="A422:H422"/>
    <mergeCell ref="A175:H175"/>
    <mergeCell ref="A425:H425"/>
    <mergeCell ref="A423:H423"/>
    <mergeCell ref="A419:H419"/>
    <mergeCell ref="G176:H176"/>
    <mergeCell ref="C186:C187"/>
    <mergeCell ref="B194:B195"/>
    <mergeCell ref="A420:H420"/>
    <mergeCell ref="B418:H418"/>
    <mergeCell ref="B414:H414"/>
    <mergeCell ref="A211:B211"/>
    <mergeCell ref="E104:F104"/>
    <mergeCell ref="G104:H104"/>
    <mergeCell ref="A163:E163"/>
    <mergeCell ref="F163:H163"/>
    <mergeCell ref="A165:E165"/>
    <mergeCell ref="F160:H160"/>
    <mergeCell ref="A164:E164"/>
    <mergeCell ref="A150:B150"/>
    <mergeCell ref="A151:B151"/>
    <mergeCell ref="E105:F114"/>
    <mergeCell ref="A112:B112"/>
    <mergeCell ref="A113:B113"/>
    <mergeCell ref="E146:F146"/>
    <mergeCell ref="E147:F156"/>
    <mergeCell ref="F157:H157"/>
    <mergeCell ref="A162:E162"/>
    <mergeCell ref="A114:B114"/>
    <mergeCell ref="A147:B147"/>
    <mergeCell ref="C145:H145"/>
    <mergeCell ref="A146:B146"/>
    <mergeCell ref="F162:H162"/>
    <mergeCell ref="A129:B129"/>
    <mergeCell ref="C129:H129"/>
    <mergeCell ref="A131:B131"/>
    <mergeCell ref="B416:H416"/>
    <mergeCell ref="B413:H413"/>
    <mergeCell ref="B409:H409"/>
    <mergeCell ref="B408:H408"/>
    <mergeCell ref="B410:H410"/>
    <mergeCell ref="B411:H411"/>
    <mergeCell ref="A404:H404"/>
    <mergeCell ref="A192:B192"/>
    <mergeCell ref="A191:B191"/>
    <mergeCell ref="A197:H197"/>
    <mergeCell ref="A198:H198"/>
    <mergeCell ref="A199:H199"/>
    <mergeCell ref="A205:B205"/>
    <mergeCell ref="A215:B215"/>
    <mergeCell ref="A216:B216"/>
    <mergeCell ref="A209:B209"/>
    <mergeCell ref="A210:B210"/>
    <mergeCell ref="A202:B202"/>
    <mergeCell ref="A203:B203"/>
    <mergeCell ref="A204:B204"/>
    <mergeCell ref="A201:B201"/>
    <mergeCell ref="A217:B217"/>
    <mergeCell ref="B406:D406"/>
    <mergeCell ref="E406:H406"/>
    <mergeCell ref="A424:H424"/>
    <mergeCell ref="A421:H421"/>
    <mergeCell ref="A208:B208"/>
    <mergeCell ref="A176:B176"/>
    <mergeCell ref="D194:D195"/>
    <mergeCell ref="E194:E195"/>
    <mergeCell ref="A109:B109"/>
    <mergeCell ref="A110:B110"/>
    <mergeCell ref="A111:B111"/>
    <mergeCell ref="A153:B153"/>
    <mergeCell ref="F158:H158"/>
    <mergeCell ref="G172:H172"/>
    <mergeCell ref="A156:B156"/>
    <mergeCell ref="F164:H164"/>
    <mergeCell ref="C171:D171"/>
    <mergeCell ref="A196:H196"/>
    <mergeCell ref="A193:H193"/>
    <mergeCell ref="E176:F176"/>
    <mergeCell ref="A184:H184"/>
    <mergeCell ref="A194:A195"/>
    <mergeCell ref="A200:H200"/>
    <mergeCell ref="A189:B189"/>
    <mergeCell ref="B417:H417"/>
    <mergeCell ref="A183:B183"/>
    <mergeCell ref="D64:H64"/>
    <mergeCell ref="C55:E55"/>
    <mergeCell ref="A91:B91"/>
    <mergeCell ref="G90:H90"/>
    <mergeCell ref="A73:B73"/>
    <mergeCell ref="C73:H73"/>
    <mergeCell ref="A75:B75"/>
    <mergeCell ref="C75:H75"/>
    <mergeCell ref="A76:B76"/>
    <mergeCell ref="E76:F76"/>
    <mergeCell ref="G76:H76"/>
    <mergeCell ref="A77:B77"/>
    <mergeCell ref="E77:F86"/>
    <mergeCell ref="G77:H86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B407:D407"/>
    <mergeCell ref="E407:H407"/>
    <mergeCell ref="I17:P17"/>
    <mergeCell ref="F167:H167"/>
    <mergeCell ref="F165:H165"/>
    <mergeCell ref="A185:H185"/>
    <mergeCell ref="G171:H171"/>
    <mergeCell ref="A166:E166"/>
    <mergeCell ref="A190:B190"/>
    <mergeCell ref="A58:B58"/>
    <mergeCell ref="C58:E58"/>
    <mergeCell ref="D60:H60"/>
    <mergeCell ref="F166:H166"/>
    <mergeCell ref="E171:F171"/>
    <mergeCell ref="A171:B171"/>
    <mergeCell ref="A173:B173"/>
    <mergeCell ref="C176:D176"/>
    <mergeCell ref="D70:H70"/>
    <mergeCell ref="A71:C71"/>
    <mergeCell ref="E47:H47"/>
    <mergeCell ref="A47:D47"/>
    <mergeCell ref="A101:B101"/>
    <mergeCell ref="C101:H101"/>
    <mergeCell ref="A96:B96"/>
    <mergeCell ref="A118:B118"/>
    <mergeCell ref="E118:F118"/>
    <mergeCell ref="G118:H118"/>
    <mergeCell ref="A119:B119"/>
    <mergeCell ref="E119:F128"/>
    <mergeCell ref="G119:H128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G17:H17"/>
    <mergeCell ref="E18:F18"/>
    <mergeCell ref="E19:F19"/>
    <mergeCell ref="G18:H18"/>
    <mergeCell ref="G19:H19"/>
    <mergeCell ref="A115:B115"/>
    <mergeCell ref="C115:H115"/>
    <mergeCell ref="A117:B117"/>
    <mergeCell ref="C117:H117"/>
    <mergeCell ref="A54:B54"/>
    <mergeCell ref="C54:E54"/>
    <mergeCell ref="G54:H54"/>
    <mergeCell ref="G56:H56"/>
    <mergeCell ref="A55:B55"/>
    <mergeCell ref="A59:H59"/>
    <mergeCell ref="A60:C60"/>
    <mergeCell ref="A61:C61"/>
    <mergeCell ref="D61:H61"/>
    <mergeCell ref="G58:H58"/>
    <mergeCell ref="C57:H57"/>
    <mergeCell ref="D65:H65"/>
    <mergeCell ref="C56:E56"/>
    <mergeCell ref="A63:C65"/>
    <mergeCell ref="D63:H63"/>
  </mergeCells>
  <dataValidations disablePrompts="1" count="15">
    <dataValidation type="list" allowBlank="1" showInputMessage="1" showErrorMessage="1" sqref="E5:H5">
      <formula1>OFFSET($L$3,1,MATCH($E4,$L$3:$P$3,0)-1,10,1)</formula1>
    </dataValidation>
    <dataValidation type="list" allowBlank="1" showInputMessage="1" showErrorMessage="1" sqref="A21:B21">
      <formula1>"CTS No,Survey No,Plot No,Gut No,FP No,"</formula1>
    </dataValidation>
    <dataValidation type="list" allowBlank="1" showInputMessage="1" showErrorMessage="1" sqref="G24:H24">
      <formula1>$S$13:$W$13</formula1>
    </dataValidation>
    <dataValidation type="list" allowBlank="1" showInputMessage="1" showErrorMessage="1" sqref="E186:E187">
      <formula1>"Attached Loft area,Attached Otla area,Attached Mezzanine area"</formula1>
    </dataValidation>
    <dataValidation type="list" allowBlank="1" showInputMessage="1" showErrorMessage="1" sqref="G426:H426">
      <formula1>"Gaurav Panchal,Kunal Kadam,Pranita Mhatre,Shruti Fule,Pooja Kawale,Mansee Mohite,Anjali Kamble, Hitakshi Mhatre, Sachin Sawant"</formula1>
    </dataValidation>
    <dataValidation type="list" allowBlank="1" showInputMessage="1" showErrorMessage="1" sqref="F157:H157">
      <formula1>"On Saleable Area,On Builtup Area,On Carpet Area,On Plot Area"</formula1>
    </dataValidation>
    <dataValidation type="list" allowBlank="1" showInputMessage="1" showErrorMessage="1" sqref="F168:H168">
      <formula1>"100000,150000,200000,250000,300000,350000,400000,500000,600000,700000,800000,900000,1000000,1200000,1400000,1500000"</formula1>
    </dataValidation>
    <dataValidation type="list" allowBlank="1" showInputMessage="1" showErrorMessage="1" sqref="B186:B187">
      <formula1>"Shop No. (Sale Plan),Sale / Rehab,Sale / Mhada"</formula1>
    </dataValidation>
    <dataValidation type="list" allowBlank="1" showInputMessage="1" showErrorMessage="1" sqref="B194:B195">
      <formula1>"Flat No. (Sale Plan),Sale / Rehab,Sale / Mhada"</formula1>
    </dataValidation>
    <dataValidation type="list" allowBlank="1" showInputMessage="1" showErrorMessage="1" sqref="Y13:Y15">
      <formula1>$D$5:$H$5</formula1>
    </dataValidation>
    <dataValidation type="list" allowBlank="1" showInputMessage="1" showErrorMessage="1" sqref="E194:E195">
      <formula1>"Fungible area,Balcony Area,Chajja Area,Cornice Area,AP Area,WS Area"</formula1>
    </dataValidation>
    <dataValidation type="list" allowBlank="1" showInputMessage="1" showErrorMessage="1" sqref="H187 H195">
      <formula1>".45,.50,.55,.60"</formula1>
    </dataValidation>
    <dataValidation type="list" allowBlank="1" showInputMessage="1" showErrorMessage="1" sqref="E4:H4">
      <formula1>$L$3:$P$3</formula1>
    </dataValidation>
    <dataValidation type="list" allowBlank="1" showInputMessage="1" showErrorMessage="1" sqref="C53:H53">
      <formula1>OFFSET($S$53,1,MATCH($G24,$S$53:$W$53,0)-1,15,1)</formula1>
    </dataValidation>
    <dataValidation type="list" allowBlank="1" showInputMessage="1" showErrorMessage="1" sqref="C25:D25">
      <formula1>OFFSET($S$13,1,MATCH($G24,$S$13:$W$13,0)-1,15,1)</formula1>
    </dataValidation>
  </dataValidations>
  <hyperlinks>
    <hyperlink ref="C44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8" manualBreakCount="8">
    <brk id="58" max="7" man="1"/>
    <brk id="86" max="7" man="1"/>
    <brk id="114" max="7" man="1"/>
    <brk id="174" max="7" man="1"/>
    <brk id="403" max="7" man="1"/>
    <brk id="430" max="16383" man="1"/>
    <brk id="469" max="16383" man="1"/>
    <brk id="50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82" t="s">
        <v>104</v>
      </c>
      <c r="C3" s="282"/>
      <c r="D3" s="282"/>
      <c r="E3" s="282"/>
      <c r="F3" s="282"/>
      <c r="G3" s="282"/>
      <c r="H3" s="282"/>
    </row>
    <row r="4" spans="1:9" x14ac:dyDescent="0.25">
      <c r="A4" s="2"/>
      <c r="B4" s="3" t="s">
        <v>105</v>
      </c>
      <c r="C4" s="3" t="s">
        <v>106</v>
      </c>
      <c r="D4" s="3" t="s">
        <v>65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5" x14ac:dyDescent="0.25"/>
  <cols>
    <col min="4" max="4" width="13.7109375" bestFit="1" customWidth="1"/>
    <col min="5" max="5" width="10.42578125" bestFit="1" customWidth="1"/>
    <col min="6" max="6" width="12.42578125" bestFit="1" customWidth="1"/>
    <col min="7" max="7" width="18.28515625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1"/>
      <c r="C4" s="51" t="s">
        <v>10</v>
      </c>
      <c r="D4" s="52" t="s">
        <v>175</v>
      </c>
      <c r="E4" s="52" t="s">
        <v>185</v>
      </c>
      <c r="F4" s="52" t="s">
        <v>169</v>
      </c>
      <c r="G4" s="52" t="s">
        <v>190</v>
      </c>
      <c r="H4" s="52" t="s">
        <v>208</v>
      </c>
      <c r="J4" t="s">
        <v>190</v>
      </c>
      <c r="K4" t="s">
        <v>206</v>
      </c>
    </row>
    <row r="5" spans="2:11" x14ac:dyDescent="0.25">
      <c r="B5" s="51"/>
      <c r="C5" s="51"/>
      <c r="D5" s="52" t="s">
        <v>176</v>
      </c>
      <c r="E5" s="52" t="s">
        <v>183</v>
      </c>
      <c r="F5" s="52" t="s">
        <v>205</v>
      </c>
      <c r="G5" s="52" t="s">
        <v>191</v>
      </c>
      <c r="H5" s="52" t="s">
        <v>209</v>
      </c>
    </row>
    <row r="6" spans="2:11" x14ac:dyDescent="0.25">
      <c r="B6" s="51"/>
      <c r="C6" s="51"/>
      <c r="D6" s="52" t="s">
        <v>177</v>
      </c>
      <c r="E6" s="52" t="s">
        <v>184</v>
      </c>
      <c r="F6" s="52" t="s">
        <v>206</v>
      </c>
      <c r="G6" s="52" t="s">
        <v>192</v>
      </c>
      <c r="H6" s="52" t="s">
        <v>222</v>
      </c>
    </row>
    <row r="7" spans="2:11" x14ac:dyDescent="0.25">
      <c r="B7" s="51"/>
      <c r="C7" s="51"/>
      <c r="D7" s="52" t="s">
        <v>178</v>
      </c>
      <c r="E7" s="52" t="s">
        <v>186</v>
      </c>
      <c r="F7" s="52" t="s">
        <v>207</v>
      </c>
      <c r="G7" s="52" t="s">
        <v>193</v>
      </c>
      <c r="H7" s="52" t="s">
        <v>210</v>
      </c>
    </row>
    <row r="8" spans="2:11" x14ac:dyDescent="0.25">
      <c r="B8" s="51"/>
      <c r="C8" s="51"/>
      <c r="D8" s="52" t="s">
        <v>179</v>
      </c>
      <c r="E8" s="52" t="s">
        <v>187</v>
      </c>
      <c r="F8" s="52"/>
      <c r="G8" s="52" t="s">
        <v>194</v>
      </c>
      <c r="H8" s="52" t="s">
        <v>211</v>
      </c>
    </row>
    <row r="9" spans="2:11" x14ac:dyDescent="0.25">
      <c r="B9" s="51"/>
      <c r="C9" s="51"/>
      <c r="D9" s="52" t="s">
        <v>180</v>
      </c>
      <c r="E9" s="52" t="s">
        <v>185</v>
      </c>
      <c r="F9" s="52"/>
      <c r="G9" s="52" t="s">
        <v>195</v>
      </c>
      <c r="H9" s="52" t="s">
        <v>212</v>
      </c>
    </row>
    <row r="10" spans="2:11" x14ac:dyDescent="0.25">
      <c r="B10" s="51"/>
      <c r="C10" s="51"/>
      <c r="D10" s="52" t="s">
        <v>181</v>
      </c>
      <c r="E10" s="52" t="s">
        <v>188</v>
      </c>
      <c r="F10" s="52"/>
      <c r="G10" s="52" t="s">
        <v>196</v>
      </c>
      <c r="H10" s="52" t="s">
        <v>213</v>
      </c>
    </row>
    <row r="11" spans="2:11" x14ac:dyDescent="0.25">
      <c r="B11" s="51"/>
      <c r="C11" s="51"/>
      <c r="D11" s="52" t="s">
        <v>182</v>
      </c>
      <c r="E11" s="52" t="s">
        <v>189</v>
      </c>
      <c r="F11" s="52"/>
      <c r="G11" s="52" t="s">
        <v>197</v>
      </c>
      <c r="H11" s="52" t="s">
        <v>214</v>
      </c>
    </row>
    <row r="12" spans="2:11" x14ac:dyDescent="0.25">
      <c r="B12" s="51"/>
      <c r="C12" s="51"/>
      <c r="D12" s="52"/>
      <c r="E12" s="52"/>
      <c r="F12" s="52"/>
      <c r="G12" s="52" t="s">
        <v>198</v>
      </c>
      <c r="H12" s="52" t="s">
        <v>215</v>
      </c>
    </row>
    <row r="13" spans="2:11" x14ac:dyDescent="0.25">
      <c r="B13" s="51"/>
      <c r="C13" s="51"/>
      <c r="D13" s="52"/>
      <c r="E13" s="52"/>
      <c r="F13" s="52"/>
      <c r="G13" s="52" t="s">
        <v>199</v>
      </c>
      <c r="H13" s="52" t="s">
        <v>216</v>
      </c>
    </row>
    <row r="14" spans="2:11" x14ac:dyDescent="0.25">
      <c r="B14" s="51"/>
      <c r="C14" s="51"/>
      <c r="D14" s="52"/>
      <c r="E14" s="52"/>
      <c r="F14" s="52"/>
      <c r="G14" s="52" t="s">
        <v>200</v>
      </c>
      <c r="H14" s="52" t="s">
        <v>217</v>
      </c>
    </row>
    <row r="15" spans="2:11" x14ac:dyDescent="0.25">
      <c r="B15" s="51"/>
      <c r="C15" s="51"/>
      <c r="D15" s="52"/>
      <c r="E15" s="52"/>
      <c r="F15" s="52"/>
      <c r="G15" s="52" t="s">
        <v>201</v>
      </c>
      <c r="H15" s="52" t="s">
        <v>218</v>
      </c>
    </row>
    <row r="16" spans="2:11" x14ac:dyDescent="0.25">
      <c r="B16" s="51"/>
      <c r="C16" s="51"/>
      <c r="D16" s="52"/>
      <c r="E16" s="52"/>
      <c r="F16" s="52"/>
      <c r="G16" s="52" t="s">
        <v>202</v>
      </c>
      <c r="H16" s="52" t="s">
        <v>219</v>
      </c>
    </row>
    <row r="17" spans="2:8" x14ac:dyDescent="0.25">
      <c r="B17" s="51"/>
      <c r="C17" s="51"/>
      <c r="D17" s="52"/>
      <c r="E17" s="52"/>
      <c r="F17" s="52"/>
      <c r="G17" s="52" t="s">
        <v>203</v>
      </c>
      <c r="H17" s="52" t="s">
        <v>220</v>
      </c>
    </row>
    <row r="18" spans="2:8" x14ac:dyDescent="0.25">
      <c r="B18" s="51"/>
      <c r="C18" s="51"/>
      <c r="D18" s="52"/>
      <c r="E18" s="52"/>
      <c r="F18" s="52"/>
      <c r="G18" s="52" t="s">
        <v>204</v>
      </c>
      <c r="H18" s="52" t="s">
        <v>221</v>
      </c>
    </row>
    <row r="24" spans="2:8" x14ac:dyDescent="0.25">
      <c r="C24" t="s">
        <v>166</v>
      </c>
    </row>
    <row r="25" spans="2:8" x14ac:dyDescent="0.25">
      <c r="C25" t="s">
        <v>223</v>
      </c>
    </row>
    <row r="26" spans="2:8" x14ac:dyDescent="0.25">
      <c r="C26" t="s">
        <v>224</v>
      </c>
    </row>
    <row r="27" spans="2:8" x14ac:dyDescent="0.25">
      <c r="C27" t="s">
        <v>225</v>
      </c>
    </row>
    <row r="28" spans="2:8" x14ac:dyDescent="0.25">
      <c r="C28" t="s">
        <v>226</v>
      </c>
    </row>
    <row r="29" spans="2:8" x14ac:dyDescent="0.25">
      <c r="C29" t="s">
        <v>227</v>
      </c>
    </row>
    <row r="30" spans="2:8" x14ac:dyDescent="0.25">
      <c r="C30" t="s">
        <v>166</v>
      </c>
    </row>
    <row r="33" spans="3:11" x14ac:dyDescent="0.25">
      <c r="J33">
        <v>1</v>
      </c>
      <c r="K33">
        <v>2</v>
      </c>
    </row>
    <row r="34" spans="3:11" x14ac:dyDescent="0.25">
      <c r="C34" s="55" t="s">
        <v>234</v>
      </c>
      <c r="D34" s="52" t="s">
        <v>232</v>
      </c>
      <c r="E34" s="52" t="s">
        <v>237</v>
      </c>
      <c r="F34" s="52" t="s">
        <v>235</v>
      </c>
      <c r="G34" s="52" t="s">
        <v>236</v>
      </c>
      <c r="H34" s="52" t="s">
        <v>238</v>
      </c>
      <c r="J34" t="s">
        <v>190</v>
      </c>
      <c r="K34" t="s">
        <v>206</v>
      </c>
    </row>
    <row r="35" spans="3:11" x14ac:dyDescent="0.25">
      <c r="C35" s="51" t="s">
        <v>233</v>
      </c>
      <c r="D35" s="52" t="s">
        <v>167</v>
      </c>
      <c r="E35" s="52" t="s">
        <v>242</v>
      </c>
      <c r="F35" s="52" t="s">
        <v>244</v>
      </c>
      <c r="G35" s="52" t="s">
        <v>246</v>
      </c>
      <c r="H35" s="52"/>
    </row>
    <row r="36" spans="3:11" x14ac:dyDescent="0.25">
      <c r="C36" s="51"/>
      <c r="D36" s="52" t="s">
        <v>239</v>
      </c>
      <c r="E36" s="52" t="s">
        <v>243</v>
      </c>
      <c r="F36" s="52" t="s">
        <v>245</v>
      </c>
      <c r="G36" s="52" t="s">
        <v>247</v>
      </c>
      <c r="H36" s="52"/>
    </row>
    <row r="37" spans="3:11" x14ac:dyDescent="0.25">
      <c r="C37" s="51"/>
      <c r="D37" s="52" t="s">
        <v>240</v>
      </c>
      <c r="E37" s="52"/>
      <c r="F37" s="52"/>
      <c r="G37" s="52" t="s">
        <v>248</v>
      </c>
      <c r="H37" s="52"/>
    </row>
    <row r="38" spans="3:11" x14ac:dyDescent="0.25">
      <c r="C38" s="51"/>
      <c r="D38" s="52" t="s">
        <v>241</v>
      </c>
      <c r="E38" s="52"/>
      <c r="F38" s="52"/>
      <c r="G38" s="52" t="s">
        <v>248</v>
      </c>
      <c r="H38" s="52"/>
    </row>
    <row r="39" spans="3:11" x14ac:dyDescent="0.25">
      <c r="C39" s="51"/>
      <c r="D39" s="52"/>
      <c r="E39" s="52"/>
      <c r="F39" s="52"/>
      <c r="G39" s="52" t="s">
        <v>249</v>
      </c>
      <c r="H39" s="52"/>
    </row>
    <row r="40" spans="3:11" x14ac:dyDescent="0.25">
      <c r="C40" s="51"/>
      <c r="D40" s="52"/>
      <c r="E40" s="52"/>
      <c r="F40" s="52"/>
      <c r="G40" s="52" t="s">
        <v>250</v>
      </c>
      <c r="H40" s="52"/>
    </row>
    <row r="41" spans="3:11" x14ac:dyDescent="0.25">
      <c r="C41" s="51"/>
      <c r="D41" s="52"/>
      <c r="E41" s="52"/>
      <c r="F41" s="52"/>
      <c r="G41" s="52"/>
      <c r="H41" s="52"/>
    </row>
    <row r="43" spans="3:11" x14ac:dyDescent="0.25">
      <c r="C43" t="s">
        <v>251</v>
      </c>
    </row>
    <row r="44" spans="3:11" x14ac:dyDescent="0.25">
      <c r="C44" t="s">
        <v>169</v>
      </c>
      <c r="D44" t="s">
        <v>252</v>
      </c>
    </row>
    <row r="45" spans="3:11" x14ac:dyDescent="0.25">
      <c r="D45" t="s">
        <v>253</v>
      </c>
    </row>
    <row r="46" spans="3:11" x14ac:dyDescent="0.25">
      <c r="D46" t="s">
        <v>254</v>
      </c>
    </row>
    <row r="47" spans="3:11" x14ac:dyDescent="0.25">
      <c r="D47" t="s">
        <v>255</v>
      </c>
    </row>
    <row r="48" spans="3:11" x14ac:dyDescent="0.25">
      <c r="D48" t="s">
        <v>256</v>
      </c>
    </row>
    <row r="49" spans="3:4" x14ac:dyDescent="0.25">
      <c r="C49" t="s">
        <v>175</v>
      </c>
      <c r="D49" t="s">
        <v>257</v>
      </c>
    </row>
    <row r="50" spans="3:4" x14ac:dyDescent="0.25">
      <c r="D50" t="s">
        <v>258</v>
      </c>
    </row>
    <row r="51" spans="3:4" x14ac:dyDescent="0.25">
      <c r="D51" t="s">
        <v>259</v>
      </c>
    </row>
    <row r="52" spans="3:4" x14ac:dyDescent="0.25">
      <c r="D52" t="s">
        <v>262</v>
      </c>
    </row>
    <row r="53" spans="3:4" x14ac:dyDescent="0.25">
      <c r="D53" t="s">
        <v>260</v>
      </c>
    </row>
    <row r="54" spans="3:4" x14ac:dyDescent="0.25">
      <c r="D54" t="s">
        <v>261</v>
      </c>
    </row>
    <row r="55" spans="3:4" x14ac:dyDescent="0.25">
      <c r="D55" t="s">
        <v>263</v>
      </c>
    </row>
    <row r="56" spans="3:4" x14ac:dyDescent="0.25">
      <c r="D56" t="s">
        <v>264</v>
      </c>
    </row>
    <row r="57" spans="3:4" x14ac:dyDescent="0.25">
      <c r="D57" t="s">
        <v>265</v>
      </c>
    </row>
    <row r="58" spans="3:4" x14ac:dyDescent="0.25">
      <c r="D58" t="s">
        <v>267</v>
      </c>
    </row>
    <row r="59" spans="3:4" x14ac:dyDescent="0.25">
      <c r="D59" t="s">
        <v>276</v>
      </c>
    </row>
    <row r="60" spans="3:4" x14ac:dyDescent="0.25">
      <c r="C60" t="s">
        <v>190</v>
      </c>
      <c r="D60" t="s">
        <v>268</v>
      </c>
    </row>
    <row r="61" spans="3:4" x14ac:dyDescent="0.25">
      <c r="D61" t="s">
        <v>266</v>
      </c>
    </row>
    <row r="62" spans="3:4" x14ac:dyDescent="0.25">
      <c r="D62" t="s">
        <v>256</v>
      </c>
    </row>
    <row r="63" spans="3:4" x14ac:dyDescent="0.25">
      <c r="D63" t="s">
        <v>269</v>
      </c>
    </row>
    <row r="64" spans="3:4" x14ac:dyDescent="0.25">
      <c r="D64" t="s">
        <v>270</v>
      </c>
    </row>
    <row r="65" spans="3:4" x14ac:dyDescent="0.25">
      <c r="D65" t="s">
        <v>271</v>
      </c>
    </row>
    <row r="66" spans="3:4" x14ac:dyDescent="0.25">
      <c r="D66" t="s">
        <v>272</v>
      </c>
    </row>
    <row r="67" spans="3:4" x14ac:dyDescent="0.25">
      <c r="C67" t="s">
        <v>185</v>
      </c>
      <c r="D67" t="s">
        <v>273</v>
      </c>
    </row>
    <row r="68" spans="3:4" x14ac:dyDescent="0.25">
      <c r="D68" t="s">
        <v>274</v>
      </c>
    </row>
    <row r="69" spans="3:4" x14ac:dyDescent="0.25">
      <c r="D69" t="s">
        <v>275</v>
      </c>
    </row>
  </sheetData>
  <dataValidations count="2">
    <dataValidation type="list" allowBlank="1" showInputMessage="1" showErrorMessage="1" sqref="J4 J34">
      <formula1>$D$4:$H$4</formula1>
    </dataValidation>
    <dataValidation type="list" allowBlank="1" showInputMessage="1" showErrorMessage="1" sqref="K4 K34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2025-09-03T07:26:01Z</cp:lastPrinted>
  <dcterms:created xsi:type="dcterms:W3CDTF">2019-07-16T09:29:46Z</dcterms:created>
  <dcterms:modified xsi:type="dcterms:W3CDTF">2025-09-03T07:36:55Z</dcterms:modified>
</cp:coreProperties>
</file>