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/>
  </bookViews>
  <sheets>
    <sheet name="Report" sheetId="1" r:id="rId1"/>
    <sheet name="valuation" sheetId="5" r:id="rId2"/>
    <sheet name="Research" sheetId="4" r:id="rId3"/>
  </sheets>
  <definedNames>
    <definedName name="_xlnm._FilterDatabase" localSheetId="0" hidden="1">Report!$A$111:$H$176</definedName>
    <definedName name="_xlnm.Print_Area" localSheetId="0">Report!$A$1:$H$302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D150" i="1"/>
  <c r="F150" i="1" s="1"/>
  <c r="H150" i="1" s="1"/>
  <c r="D149" i="1"/>
  <c r="F149" i="1" s="1"/>
  <c r="H149" i="1" s="1"/>
  <c r="D146" i="1"/>
  <c r="F146" i="1" s="1"/>
  <c r="H146" i="1" s="1"/>
  <c r="D145" i="1"/>
  <c r="F145" i="1" s="1"/>
  <c r="H145" i="1" s="1"/>
  <c r="D144" i="1"/>
  <c r="F144" i="1" s="1"/>
  <c r="H144" i="1" s="1"/>
  <c r="D142" i="1"/>
  <c r="F142" i="1" s="1"/>
  <c r="H142" i="1" s="1"/>
  <c r="D141" i="1"/>
  <c r="F141" i="1" s="1"/>
  <c r="H141" i="1" s="1"/>
  <c r="D140" i="1"/>
  <c r="F140" i="1" s="1"/>
  <c r="H140" i="1" s="1"/>
  <c r="D139" i="1"/>
  <c r="F139" i="1" s="1"/>
  <c r="H139" i="1" s="1"/>
  <c r="D137" i="1"/>
  <c r="F137" i="1" s="1"/>
  <c r="H137" i="1" s="1"/>
  <c r="D136" i="1"/>
  <c r="F136" i="1" s="1"/>
  <c r="H136" i="1" s="1"/>
  <c r="D135" i="1"/>
  <c r="F135" i="1" s="1"/>
  <c r="H135" i="1" s="1"/>
  <c r="D132" i="1"/>
  <c r="F132" i="1" s="1"/>
  <c r="H132" i="1" s="1"/>
  <c r="D131" i="1"/>
  <c r="F131" i="1" s="1"/>
  <c r="D130" i="1"/>
  <c r="F130" i="1" s="1"/>
  <c r="H130" i="1" s="1"/>
  <c r="D129" i="1"/>
  <c r="F129" i="1" s="1"/>
  <c r="H129" i="1" s="1"/>
  <c r="D125" i="1"/>
  <c r="F125" i="1" s="1"/>
  <c r="H125" i="1" s="1"/>
  <c r="D124" i="1"/>
  <c r="F124" i="1" s="1"/>
  <c r="D120" i="1"/>
  <c r="D119" i="1"/>
  <c r="D115" i="1"/>
  <c r="D114" i="1"/>
  <c r="D109" i="1"/>
  <c r="D108" i="1"/>
  <c r="D107" i="1"/>
  <c r="D106" i="1"/>
  <c r="A149" i="1"/>
  <c r="A150" i="1" s="1"/>
  <c r="A145" i="1"/>
  <c r="A146" i="1" s="1"/>
  <c r="A140" i="1"/>
  <c r="A141" i="1" s="1"/>
  <c r="A142" i="1" s="1"/>
  <c r="A135" i="1"/>
  <c r="A136" i="1" s="1"/>
  <c r="A137" i="1" s="1"/>
  <c r="A130" i="1"/>
  <c r="A131" i="1" s="1"/>
  <c r="A132" i="1" s="1"/>
  <c r="A125" i="1"/>
  <c r="A126" i="1" s="1"/>
  <c r="A127" i="1" s="1"/>
  <c r="H124" i="1" l="1"/>
  <c r="K124" i="1"/>
  <c r="H131" i="1"/>
  <c r="K131" i="1"/>
  <c r="H106" i="1"/>
  <c r="F107" i="1"/>
  <c r="F108" i="1"/>
  <c r="F109" i="1"/>
  <c r="F106" i="1"/>
  <c r="H107" i="1"/>
  <c r="H108" i="1"/>
  <c r="H109" i="1"/>
  <c r="F120" i="1"/>
  <c r="H120" i="1" s="1"/>
  <c r="F119" i="1"/>
  <c r="H119" i="1" s="1"/>
  <c r="B154" i="1"/>
  <c r="B153" i="1"/>
  <c r="F115" i="1"/>
  <c r="K115" i="1" s="1"/>
  <c r="F114" i="1"/>
  <c r="K114" i="1" l="1"/>
  <c r="C98" i="1"/>
  <c r="E98" i="1"/>
  <c r="G95" i="1"/>
  <c r="H114" i="1"/>
  <c r="E95" i="1"/>
  <c r="C95" i="1"/>
  <c r="C15" i="1"/>
  <c r="C99" i="1" l="1"/>
  <c r="E99" i="1"/>
  <c r="Z12" i="1"/>
  <c r="I14" i="1"/>
  <c r="E43" i="1" l="1"/>
  <c r="E44" i="1" s="1"/>
  <c r="E30" i="1" l="1"/>
  <c r="H115" i="1" l="1"/>
  <c r="A115" i="1"/>
  <c r="A116" i="1" s="1"/>
  <c r="A117" i="1" s="1"/>
  <c r="G98" i="1" l="1"/>
  <c r="G99" i="1" s="1"/>
  <c r="F9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6" i="1"/>
  <c r="A120" i="1"/>
  <c r="A121" i="1" s="1"/>
  <c r="A122" i="1" s="1"/>
  <c r="A107" i="1"/>
  <c r="A108" i="1" s="1"/>
  <c r="A109" i="1" s="1"/>
  <c r="C66" i="1"/>
  <c r="D55" i="1"/>
  <c r="G50" i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<sst xmlns="http://schemas.openxmlformats.org/spreadsheetml/2006/main" count="417" uniqueCount="294">
  <si>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</si>
  <si>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</si>
  <si>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</si>
  <si>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</si>
  <si>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</si>
  <si>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</si>
  <si>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</si>
  <si>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</si>
  <si>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</si>
  <si>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</si>
  <si>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</si>
  <si>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</si>
  <si>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</si>
  <si>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</si>
  <si>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</si>
  <si>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</si>
  <si>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</si>
  <si>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</si>
  <si>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</si>
  <si>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</si>
  <si>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</si>
  <si>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</si>
  <si>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</si>
  <si>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</si>
  <si>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</si>
  <si>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</si>
  <si>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</si>
  <si>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</si>
  <si>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</si>
  <si>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</si>
  <si>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</si>
  <si>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</si>
  <si>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</si>
  <si>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</si>
  <si>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</si>
  <si>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</si>
  <si>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</si>
  <si>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</si>
  <si>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</si>
  <si>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</si>
  <si>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</si>
  <si>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</si>
  <si>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</si>
  <si>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</si>
  <si>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</si>
  <si>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</si>
  <si>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</si>
  <si>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</si>
  <si>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</si>
  <si>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</si>
  <si>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</si>
  <si>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</si>
  <si>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</si>
  <si>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</si>
  <si>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</si>
  <si>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</si>
  <si>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</si>
  <si>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</si>
  <si>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</si>
  <si>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</si>
  <si>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</si>
  <si>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</si>
  <si>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</si>
  <si>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</si>
  <si>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</si>
  <si>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</si>
  <si>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</si>
  <si>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</si>
  <si>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</si>
  <si>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</si>
  <si>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</si>
  <si>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</si>
  <si>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</si>
  <si>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</si>
  <si>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</si>
  <si>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</si>
  <si>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</si>
  <si>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</si>
  <si>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</si>
  <si>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</si>
  <si>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</si>
  <si>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</si>
  <si>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</si>
  <si>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</si>
  <si>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</si>
  <si>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</si>
  <si>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</si>
  <si>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</si>
  <si>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</si>
  <si>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</si>
  <si>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</si>
  <si>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</si>
  <si>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</si>
  <si>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</si>
  <si>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</si>
  <si>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</si>
  <si>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</si>
  <si>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</si>
  <si>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</si>
  <si>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</si>
  <si>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</si>
  <si>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</si>
  <si>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</si>
  <si>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</si>
  <si>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</si>
  <si>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</si>
  <si>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</si>
  <si>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</si>
  <si>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</si>
  <si>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</si>
  <si>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</si>
  <si>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</si>
  <si>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</si>
  <si>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</si>
  <si>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</si>
  <si>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</si>
  <si>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</si>
  <si>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</si>
  <si>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</si>
  <si>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</si>
  <si>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</si>
  <si>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</si>
  <si>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</si>
  <si>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</si>
  <si>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</si>
  <si>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</si>
  <si>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</si>
  <si>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</si>
  <si>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</si>
  <si>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</si>
  <si>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</si>
  <si>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</si>
  <si>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</si>
  <si>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</si>
  <si>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</si>
  <si>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</si>
  <si>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</si>
  <si>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</si>
  <si>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</si>
  <si>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</si>
  <si>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</si>
  <si>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</si>
  <si>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</si>
  <si>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</si>
  <si>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</si>
  <si>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</si>
  <si>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</si>
  <si>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</si>
  <si>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</si>
  <si>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</si>
  <si>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</si>
  <si>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</si>
  <si>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</si>
  <si>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</si>
  <si>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</si>
  <si>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</si>
  <si>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</si>
  <si>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</si>
  <si>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</si>
  <si>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</si>
  <si>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</si>
  <si>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</si>
  <si>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</si>
  <si>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</si>
  <si>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</si>
  <si>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</si>
  <si>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</si>
  <si>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</si>
  <si>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</si>
  <si>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</si>
  <si>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</si>
  <si>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</si>
  <si>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</si>
  <si>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</si>
  <si>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</si>
  <si>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</si>
  <si>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</si>
  <si>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</si>
  <si>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</si>
  <si>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</si>
  <si>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</si>
  <si>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</si>
  <si>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</si>
  <si>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</si>
  <si>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</si>
  <si>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</si>
  <si>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</si>
  <si>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</si>
  <si>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</si>
  <si>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</si>
  <si>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</si>
  <si>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</si>
  <si>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</si>
  <si>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</si>
  <si>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</si>
  <si>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</si>
  <si>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</si>
  <si>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</si>
  <si>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</si>
  <si>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</si>
  <si>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</si>
  <si>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</si>
  <si>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</si>
  <si>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</si>
  <si>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</si>
  <si>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</si>
  <si>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</si>
  <si>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</si>
  <si>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</si>
  <si>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</si>
  <si>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</si>
  <si>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</si>
  <si>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</si>
  <si>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</si>
  <si>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</si>
  <si>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</si>
  <si>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</si>
  <si>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</si>
  <si>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</si>
  <si>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</si>
  <si>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</si>
  <si>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</si>
  <si>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</si>
  <si>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</si>
  <si>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</si>
  <si>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</si>
  <si>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</si>
  <si>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</si>
  <si>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</si>
  <si>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</si>
  <si>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Fungible area</t>
  </si>
  <si>
    <t>Carpet area</t>
  </si>
  <si>
    <t xml:space="preserve">Since Project's Builtup Area is above 20000 Sq.M. Please check for Environment Clearance Certificate.
</t>
  </si>
  <si>
    <t>Charkop Ramvijay CHS LTD</t>
  </si>
  <si>
    <t>Charkop Ramvijay Co-Op Housing Society Limited</t>
  </si>
  <si>
    <t>P51800049620</t>
  </si>
  <si>
    <t>Plot No</t>
  </si>
  <si>
    <t>245, CTS No. 1C/1/195, RDP 8 Sector 3, Self Redevlopement of "Charkop Ramvijay Co-Op Housing Society Limited"</t>
  </si>
  <si>
    <t>Kandivali</t>
  </si>
  <si>
    <t>19.219215,72.829301</t>
  </si>
  <si>
    <t>https://maps.app.goo.gl/ezGUkj14ioU4Acut8</t>
  </si>
  <si>
    <t>Charkop Gaon</t>
  </si>
  <si>
    <t>RSC Rd Number 37</t>
  </si>
  <si>
    <t>3.90KM from Kandivali Railway Station</t>
  </si>
  <si>
    <t>Kandivali West</t>
  </si>
  <si>
    <t>Safalya Building</t>
  </si>
  <si>
    <t>18.30 M. Wide Road</t>
  </si>
  <si>
    <t>Nala</t>
  </si>
  <si>
    <t>Other Plot</t>
  </si>
  <si>
    <t>Building</t>
  </si>
  <si>
    <t>Maharashtra Housing and Area Development Authority (MHADA)</t>
  </si>
  <si>
    <t>MHADA 75/1135/2022</t>
  </si>
  <si>
    <t>MH/EE/(BP)/GM/MHADA-75/1135/
2023/FCC/1/New</t>
  </si>
  <si>
    <t>Commencement-CC No</t>
  </si>
  <si>
    <t xml:space="preserve">Valid Up to: 
</t>
  </si>
  <si>
    <t>11/10/2023
27/11/2023</t>
  </si>
  <si>
    <t>Dated
Valid Upto :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</si>
  <si>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</si>
  <si>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As per RERA - 31/12/2026</t>
  </si>
  <si>
    <t>Vitrified tiles flooring, Granite Kitchen Platform, Decorative
Entrance &amp; Landscape Garden, etc.</t>
  </si>
  <si>
    <t>Ground Floor For Commercial, Entrance Lobby &amp; Parking Tower</t>
  </si>
  <si>
    <t>Shop</t>
  </si>
  <si>
    <t>1st Floor For Residential (Part Parking Tower)</t>
  </si>
  <si>
    <t>2BHK</t>
  </si>
  <si>
    <t>1.5BHK</t>
  </si>
  <si>
    <t>Parking Tower</t>
  </si>
  <si>
    <t>2nd to 5th Floor (Part Parking Tower)</t>
  </si>
  <si>
    <t>6th Floor (Part Parking Tower)</t>
  </si>
  <si>
    <t>2.5BHK</t>
  </si>
  <si>
    <t>7th Floor</t>
  </si>
  <si>
    <t>1BHK</t>
  </si>
  <si>
    <t>Yoga Room &amp; Refuge Area</t>
  </si>
  <si>
    <t>9th to 12th Floor</t>
  </si>
  <si>
    <t>13, 14th &amp; 16th Floor</t>
  </si>
  <si>
    <t>3BHK</t>
  </si>
  <si>
    <t>Society Office &amp; Refuge Area</t>
  </si>
  <si>
    <t>We considered Gross carpet area = Net carpet.</t>
  </si>
  <si>
    <t xml:space="preserve">As the project is redevelopement project but rehab statement or rehab flats is not mentioned approved on layout plan &amp; floor plan.
</t>
  </si>
  <si>
    <t>Shops</t>
  </si>
  <si>
    <t>Flats</t>
  </si>
  <si>
    <t>Rera Carpet area</t>
  </si>
  <si>
    <t>8th Floor For (Part Yoga Room &amp; Refuge Area)</t>
  </si>
  <si>
    <t>15th Floor For (Society Office &amp; Refuge Area)</t>
  </si>
  <si>
    <t>Flats - 46, Shops - 04</t>
  </si>
  <si>
    <t>Approved Plans, C.C &amp; Sale Plan.</t>
  </si>
  <si>
    <t>We have refered latest C.C. From MHADA Site.</t>
  </si>
  <si>
    <t>B + Gr + 1st to 16th Floor</t>
  </si>
  <si>
    <t>Part Basement For Tank Area &amp; Pump Room</t>
  </si>
  <si>
    <t>This F.C.C. is now granted for Building Comprising of Basement + Ground floor part for shops and part for mechanized car parking tower (within building line) + 1st to 6th floor each partly for residential and partly for void of mechanize car parking tower + 7th residential floor + 8th floor Part Residential &amp; Part Refuge Area + 9th to 14th upper residential floors with height 44.80 mtr. as per last approved Amended plans issued vide /no. MH/EE/BP Cell/GM/MHADA-75/1135/2022 dated: 22.06.2022</t>
  </si>
  <si>
    <t>Sanket Salvi</t>
  </si>
  <si>
    <t>Miss. Priti 986720889</t>
  </si>
  <si>
    <t>Pranita Mhatre</t>
  </si>
  <si>
    <t>Construction work is in process at the time of Visit. (Slow Speed)
Internal photo was not Allowed</t>
  </si>
  <si>
    <t>Validity of CC is expired on 27/11/2023 Please provide revised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</si>
</sst>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220</xdr:row>
      <xdr:rowOff>28575</xdr:rowOff>
    </xdr:from>
    <xdr:to>
      <xdr:col>7</xdr:col>
      <xdr:colOff>616789</xdr:colOff>
      <xdr:row>257</xdr:row>
      <xdr:rowOff>33996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49301400"/>
          <a:ext cx="6493714" cy="74063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762000</xdr:colOff>
      <xdr:row>262</xdr:row>
      <xdr:rowOff>28575</xdr:rowOff>
    </xdr:from>
    <xdr:to>
      <xdr:col>7</xdr:col>
      <xdr:colOff>71255</xdr:colOff>
      <xdr:row>281</xdr:row>
      <xdr:rowOff>188100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58102500"/>
          <a:ext cx="5405255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76011</xdr:colOff>
      <xdr:row>282</xdr:row>
      <xdr:rowOff>83759</xdr:rowOff>
    </xdr:from>
    <xdr:to>
      <xdr:col>6</xdr:col>
      <xdr:colOff>768626</xdr:colOff>
      <xdr:row>301</xdr:row>
      <xdr:rowOff>6626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38011" y="61032553"/>
          <a:ext cx="4840472" cy="3755279"/>
          <a:chOff x="758138" y="4382220"/>
          <a:chExt cx="5341725" cy="396000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58138" y="4382220"/>
            <a:ext cx="534172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691442" y="6090249"/>
            <a:ext cx="948905" cy="690113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>
    <xdr:from>
      <xdr:col>8</xdr:col>
      <xdr:colOff>719418</xdr:colOff>
      <xdr:row>175</xdr:row>
      <xdr:rowOff>17368</xdr:rowOff>
    </xdr:from>
    <xdr:to>
      <xdr:col>16</xdr:col>
      <xdr:colOff>147592</xdr:colOff>
      <xdr:row>206</xdr:row>
      <xdr:rowOff>76753</xdr:rowOff>
    </xdr:to>
    <xdr:grpSp>
      <xdr:nvGrpSpPr>
        <xdr:cNvPr id="8" name="Group 7"/>
        <xdr:cNvGrpSpPr/>
      </xdr:nvGrpSpPr>
      <xdr:grpSpPr>
        <a:xfrm>
          <a:off x="7196418" y="39394839"/>
          <a:ext cx="5849145" cy="6301061"/>
          <a:chOff x="304800" y="39128700"/>
          <a:chExt cx="5844663" cy="6250634"/>
        </a:xfrm>
      </xdr:grpSpPr>
      <xdr:pic>
        <xdr:nvPicPr>
          <xdr:cNvPr id="15" name="Picture 14" descr="insp-233787-15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61432" y="42859334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insp-233787-843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5438" y="3912870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insp-233787-847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3116" y="42859334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insp-233787-849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4800" y="42859334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insp-233787-851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8890" y="3912870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176</xdr:row>
      <xdr:rowOff>67237</xdr:rowOff>
    </xdr:from>
    <xdr:to>
      <xdr:col>7</xdr:col>
      <xdr:colOff>425824</xdr:colOff>
      <xdr:row>207</xdr:row>
      <xdr:rowOff>190501</xdr:rowOff>
    </xdr:to>
    <xdr:grpSp>
      <xdr:nvGrpSpPr>
        <xdr:cNvPr id="21" name="Group 20"/>
        <xdr:cNvGrpSpPr/>
      </xdr:nvGrpSpPr>
      <xdr:grpSpPr>
        <a:xfrm>
          <a:off x="0" y="39646413"/>
          <a:ext cx="6107206" cy="6364941"/>
          <a:chOff x="395733" y="698517"/>
          <a:chExt cx="5708826" cy="5809919"/>
        </a:xfrm>
      </xdr:grpSpPr>
      <xdr:pic>
        <xdr:nvPicPr>
          <xdr:cNvPr id="22" name="Picture 21" descr="https://vsjcllp.vsjadon.com/upload/insp-24382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85641" y="4892451"/>
            <a:ext cx="2118918" cy="15972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382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89455" y="2795484"/>
            <a:ext cx="1500273" cy="19947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3828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2179" y="698517"/>
            <a:ext cx="3077384" cy="409176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828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89455" y="698517"/>
            <a:ext cx="1500273" cy="19947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828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5733" y="4910036"/>
            <a:ext cx="1202144" cy="1598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3828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36271" y="4910036"/>
            <a:ext cx="2126765" cy="15972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ezGUkj14ioU4Acut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61"/>
  <sheetViews>
    <sheetView tabSelected="1" view="pageBreakPreview" zoomScale="85" zoomScaleNormal="100" zoomScaleSheetLayoutView="85" workbookViewId="0">
      <selection activeCell="K15" sqref="K15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6" width="11.7109375" style="36" customWidth="1"/>
    <col min="7" max="7" width="11.42578125" style="36" customWidth="1"/>
    <col min="8" max="8" width="11.85546875" style="36" customWidth="1"/>
    <col min="9" max="9" width="17.42578125" style="17" customWidth="1"/>
    <col min="10" max="10" width="11.42578125" style="17" customWidth="1"/>
    <col min="11" max="11" width="10.5703125" style="17" bestFit="1" customWidth="1"/>
    <col min="12" max="12" width="10.5703125" style="17" customWidth="1"/>
    <col min="13" max="13" width="11.85546875" style="17" customWidth="1"/>
    <col min="14" max="14" width="12.5703125" style="17" customWidth="1"/>
    <col min="15" max="15" width="9.85546875" style="17" customWidth="1"/>
    <col min="16" max="16" width="11.7109375" style="17" customWidth="1"/>
    <col min="17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26" ht="46.5" customHeight="1" x14ac:dyDescent="0.25">
      <c r="A1" s="140" t="s">
        <v>163</v>
      </c>
      <c r="B1" s="140"/>
      <c r="C1" s="140"/>
      <c r="D1" s="140"/>
      <c r="E1" s="140"/>
      <c r="F1" s="140"/>
      <c r="G1" s="140"/>
      <c r="H1" s="140"/>
    </row>
    <row r="2" spans="1:26" ht="16.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26" x14ac:dyDescent="0.25">
      <c r="A3" s="87" t="s">
        <v>1</v>
      </c>
      <c r="B3" s="87"/>
      <c r="C3" s="87"/>
      <c r="D3" s="87"/>
      <c r="E3" s="87" t="str">
        <f ca="1">TEXT(TODAY(),"DD/MM/YYYY")</f>
        <v>12/08/2025</v>
      </c>
      <c r="F3" s="87"/>
      <c r="G3" s="87"/>
      <c r="H3" s="87"/>
    </row>
    <row r="4" spans="1:26" ht="15" customHeight="1" x14ac:dyDescent="0.25">
      <c r="A4" s="87" t="s">
        <v>2</v>
      </c>
      <c r="B4" s="87"/>
      <c r="C4" s="87"/>
      <c r="D4" s="87"/>
      <c r="E4" s="87" t="s">
        <v>169</v>
      </c>
      <c r="F4" s="87"/>
      <c r="G4" s="87"/>
      <c r="H4" s="87"/>
    </row>
    <row r="5" spans="1:26" x14ac:dyDescent="0.25">
      <c r="A5" s="87" t="s">
        <v>3</v>
      </c>
      <c r="B5" s="87"/>
      <c r="C5" s="87"/>
      <c r="D5" s="87"/>
      <c r="E5" s="145">
        <v>45881</v>
      </c>
      <c r="F5" s="87"/>
      <c r="G5" s="87"/>
      <c r="H5" s="87"/>
    </row>
    <row r="6" spans="1:26" ht="16.5" customHeight="1" x14ac:dyDescent="0.25">
      <c r="A6" s="87" t="s">
        <v>4</v>
      </c>
      <c r="B6" s="87"/>
      <c r="C6" s="87"/>
      <c r="D6" s="87"/>
      <c r="E6" s="87" t="s">
        <v>233</v>
      </c>
      <c r="F6" s="87"/>
      <c r="G6" s="87"/>
      <c r="H6" s="87"/>
    </row>
    <row r="7" spans="1:26" ht="15" customHeight="1" x14ac:dyDescent="0.25">
      <c r="A7" s="87" t="s">
        <v>5</v>
      </c>
      <c r="B7" s="87"/>
      <c r="C7" s="87"/>
      <c r="D7" s="87"/>
      <c r="E7" s="87" t="str">
        <f>E6</f>
        <v>Charkop Ramvijay CHS LTD</v>
      </c>
      <c r="F7" s="87"/>
      <c r="G7" s="87"/>
      <c r="H7" s="87"/>
    </row>
    <row r="8" spans="1:26" x14ac:dyDescent="0.25">
      <c r="A8" s="87" t="s">
        <v>6</v>
      </c>
      <c r="B8" s="87"/>
      <c r="C8" s="87"/>
      <c r="D8" s="87"/>
      <c r="E8" s="142" t="s">
        <v>233</v>
      </c>
      <c r="F8" s="143"/>
      <c r="G8" s="143"/>
      <c r="H8" s="144"/>
    </row>
    <row r="9" spans="1:26" x14ac:dyDescent="0.25">
      <c r="A9" s="87" t="s">
        <v>166</v>
      </c>
      <c r="B9" s="87"/>
      <c r="C9" s="87"/>
      <c r="D9" s="87"/>
      <c r="E9" s="87">
        <v>8097080336</v>
      </c>
      <c r="F9" s="87"/>
      <c r="G9" s="87"/>
      <c r="H9" s="87"/>
    </row>
    <row r="10" spans="1:26" x14ac:dyDescent="0.25">
      <c r="A10" s="87" t="s">
        <v>167</v>
      </c>
      <c r="B10" s="87"/>
      <c r="C10" s="87"/>
      <c r="D10" s="87"/>
      <c r="E10" s="87" t="s">
        <v>290</v>
      </c>
      <c r="F10" s="87"/>
      <c r="G10" s="87"/>
      <c r="H10" s="87"/>
    </row>
    <row r="11" spans="1:26" x14ac:dyDescent="0.25">
      <c r="A11" s="87" t="s">
        <v>7</v>
      </c>
      <c r="B11" s="87"/>
      <c r="C11" s="87"/>
      <c r="D11" s="87"/>
      <c r="E11" s="87" t="s">
        <v>121</v>
      </c>
      <c r="F11" s="87"/>
      <c r="G11" s="87"/>
      <c r="H11" s="87"/>
    </row>
    <row r="12" spans="1:26" x14ac:dyDescent="0.25">
      <c r="A12" s="87" t="s">
        <v>170</v>
      </c>
      <c r="B12" s="87"/>
      <c r="C12" s="87"/>
      <c r="D12" s="87"/>
      <c r="E12" s="87" t="s">
        <v>234</v>
      </c>
      <c r="F12" s="87"/>
      <c r="G12" s="87"/>
      <c r="H12" s="87"/>
      <c r="S12" s="46" t="s">
        <v>177</v>
      </c>
      <c r="T12" s="46" t="s">
        <v>187</v>
      </c>
      <c r="U12" s="46" t="s">
        <v>171</v>
      </c>
      <c r="V12" s="46" t="s">
        <v>192</v>
      </c>
      <c r="W12" s="46" t="s">
        <v>210</v>
      </c>
      <c r="X12"/>
      <c r="Y12" t="s">
        <v>192</v>
      </c>
      <c r="Z12" t="e">
        <f ca="1">OFFSET($S$12,1,MATCH($G19,$S$12:$W$12,0)-1,15,1)</f>
        <v>#VALUE!</v>
      </c>
    </row>
    <row r="13" spans="1:26" x14ac:dyDescent="0.25">
      <c r="A13" s="99" t="s">
        <v>8</v>
      </c>
      <c r="B13" s="99"/>
      <c r="C13" s="99"/>
      <c r="D13" s="99"/>
      <c r="E13" s="92" t="s">
        <v>284</v>
      </c>
      <c r="F13" s="92"/>
      <c r="G13" s="92"/>
      <c r="H13" s="92"/>
      <c r="S13" s="46" t="s">
        <v>178</v>
      </c>
      <c r="T13" s="46" t="s">
        <v>185</v>
      </c>
      <c r="U13" s="46" t="s">
        <v>207</v>
      </c>
      <c r="V13" s="46" t="s">
        <v>193</v>
      </c>
      <c r="W13" s="46" t="s">
        <v>211</v>
      </c>
      <c r="X13"/>
      <c r="Y13"/>
      <c r="Z13"/>
    </row>
    <row r="14" spans="1:26" x14ac:dyDescent="0.25">
      <c r="A14" s="99" t="s">
        <v>9</v>
      </c>
      <c r="B14" s="99"/>
      <c r="C14" s="99"/>
      <c r="D14" s="99"/>
      <c r="E14" s="92" t="s">
        <v>235</v>
      </c>
      <c r="F14" s="87"/>
      <c r="G14" s="87"/>
      <c r="H14" s="87"/>
      <c r="I14" s="94" t="e">
        <f ca="1">OFFSET($D$4,1,MATCH($J12,$D$4:$H$4,0)-1,15,1)</f>
        <v>#N/A</v>
      </c>
      <c r="J14" s="95"/>
      <c r="K14" s="95"/>
      <c r="L14" s="95"/>
      <c r="M14" s="95"/>
      <c r="N14" s="95"/>
      <c r="O14" s="95"/>
      <c r="P14" s="95"/>
      <c r="S14" s="46" t="s">
        <v>179</v>
      </c>
      <c r="T14" s="46" t="s">
        <v>186</v>
      </c>
      <c r="U14" s="46" t="s">
        <v>208</v>
      </c>
      <c r="V14" s="46" t="s">
        <v>194</v>
      </c>
      <c r="W14" s="46" t="s">
        <v>224</v>
      </c>
      <c r="X14"/>
      <c r="Y14"/>
      <c r="Z14"/>
    </row>
    <row r="15" spans="1:26" ht="63.75" customHeight="1" x14ac:dyDescent="0.25">
      <c r="A15" s="84" t="s">
        <v>10</v>
      </c>
      <c r="B15" s="84"/>
      <c r="C15" s="8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Charkop Ramvijay CHS LTD, Plot No.245, CTS No. 1C/1/195, RDP 8 Sector 3, Self Redevlopement of "Charkop Ramvijay Co-Op Housing Society Limited", near Safalya Building, RSC Rd Number 37, Charkop Gaon, Kandivali, Kandivali West, Borivali, Mumbai - 400067.</v>
      </c>
      <c r="D15" s="84"/>
      <c r="E15" s="84"/>
      <c r="F15" s="84"/>
      <c r="G15" s="84"/>
      <c r="H15" s="84"/>
      <c r="S15" s="46" t="s">
        <v>180</v>
      </c>
      <c r="T15" s="46" t="s">
        <v>188</v>
      </c>
      <c r="U15" s="46" t="s">
        <v>209</v>
      </c>
      <c r="V15" s="46" t="s">
        <v>195</v>
      </c>
      <c r="W15" s="46" t="s">
        <v>212</v>
      </c>
      <c r="X15"/>
      <c r="Y15"/>
      <c r="Z15"/>
    </row>
    <row r="16" spans="1:26" ht="31.5" customHeight="1" x14ac:dyDescent="0.25">
      <c r="A16" s="92" t="s">
        <v>236</v>
      </c>
      <c r="B16" s="92"/>
      <c r="C16" s="92" t="s">
        <v>237</v>
      </c>
      <c r="D16" s="92"/>
      <c r="E16" s="92"/>
      <c r="F16" s="92"/>
      <c r="G16" s="92"/>
      <c r="H16" s="92"/>
      <c r="S16" s="46" t="s">
        <v>181</v>
      </c>
      <c r="T16" s="46" t="s">
        <v>189</v>
      </c>
      <c r="U16" s="46" t="s">
        <v>171</v>
      </c>
      <c r="V16" s="46" t="s">
        <v>196</v>
      </c>
      <c r="W16" s="46" t="s">
        <v>213</v>
      </c>
      <c r="X16"/>
      <c r="Y16"/>
      <c r="Z16"/>
    </row>
    <row r="17" spans="1:26" ht="15.75" customHeight="1" x14ac:dyDescent="0.25">
      <c r="A17" s="92" t="s">
        <v>161</v>
      </c>
      <c r="B17" s="92"/>
      <c r="C17" s="92" t="s">
        <v>241</v>
      </c>
      <c r="D17" s="92"/>
      <c r="E17" s="92"/>
      <c r="F17" s="92"/>
      <c r="G17" s="92"/>
      <c r="H17" s="92"/>
      <c r="S17" s="46" t="s">
        <v>182</v>
      </c>
      <c r="T17" s="46" t="s">
        <v>187</v>
      </c>
      <c r="U17" s="46"/>
      <c r="V17" s="46" t="s">
        <v>197</v>
      </c>
      <c r="W17" s="46" t="s">
        <v>214</v>
      </c>
      <c r="X17"/>
      <c r="Y17"/>
      <c r="Z17"/>
    </row>
    <row r="18" spans="1:26" ht="15.75" customHeight="1" x14ac:dyDescent="0.25">
      <c r="A18" s="84" t="s">
        <v>11</v>
      </c>
      <c r="B18" s="84"/>
      <c r="C18" s="87" t="s">
        <v>242</v>
      </c>
      <c r="D18" s="87"/>
      <c r="E18" s="92" t="s">
        <v>72</v>
      </c>
      <c r="F18" s="92"/>
      <c r="G18" s="92" t="s">
        <v>238</v>
      </c>
      <c r="H18" s="92"/>
      <c r="S18" s="46" t="s">
        <v>183</v>
      </c>
      <c r="T18" s="46" t="s">
        <v>190</v>
      </c>
      <c r="U18" s="46"/>
      <c r="V18" s="46" t="s">
        <v>198</v>
      </c>
      <c r="W18" s="46" t="s">
        <v>215</v>
      </c>
      <c r="X18"/>
      <c r="Y18"/>
      <c r="Z18"/>
    </row>
    <row r="19" spans="1:26" x14ac:dyDescent="0.25">
      <c r="A19" s="99" t="s">
        <v>13</v>
      </c>
      <c r="B19" s="99"/>
      <c r="C19" s="92" t="s">
        <v>244</v>
      </c>
      <c r="D19" s="92"/>
      <c r="E19" s="92" t="s">
        <v>12</v>
      </c>
      <c r="F19" s="92"/>
      <c r="G19" s="149" t="s">
        <v>171</v>
      </c>
      <c r="H19" s="149"/>
      <c r="S19" s="46" t="s">
        <v>184</v>
      </c>
      <c r="T19" s="46" t="s">
        <v>191</v>
      </c>
      <c r="U19" s="46"/>
      <c r="V19" s="46" t="s">
        <v>199</v>
      </c>
      <c r="W19" s="46" t="s">
        <v>216</v>
      </c>
      <c r="X19"/>
      <c r="Y19"/>
      <c r="Z19"/>
    </row>
    <row r="20" spans="1:26" x14ac:dyDescent="0.25">
      <c r="A20" s="99" t="s">
        <v>73</v>
      </c>
      <c r="B20" s="99"/>
      <c r="C20" s="92" t="s">
        <v>208</v>
      </c>
      <c r="D20" s="92"/>
      <c r="E20" s="92" t="s">
        <v>14</v>
      </c>
      <c r="F20" s="92"/>
      <c r="G20" s="92">
        <v>400067</v>
      </c>
      <c r="H20" s="92"/>
      <c r="S20" s="46"/>
      <c r="T20" s="46"/>
      <c r="U20" s="46"/>
      <c r="V20" s="46" t="s">
        <v>200</v>
      </c>
      <c r="W20" s="46" t="s">
        <v>217</v>
      </c>
      <c r="X20"/>
      <c r="Y20"/>
      <c r="Z20"/>
    </row>
    <row r="21" spans="1:26" ht="32.25" customHeight="1" x14ac:dyDescent="0.25">
      <c r="A21" s="99" t="s">
        <v>122</v>
      </c>
      <c r="B21" s="99"/>
      <c r="C21" s="92" t="s">
        <v>245</v>
      </c>
      <c r="D21" s="92"/>
      <c r="E21" s="92" t="s">
        <v>15</v>
      </c>
      <c r="F21" s="92"/>
      <c r="G21" s="92" t="s">
        <v>243</v>
      </c>
      <c r="H21" s="92"/>
      <c r="S21" s="46"/>
      <c r="T21" s="46"/>
      <c r="U21" s="46"/>
      <c r="V21" s="46" t="s">
        <v>201</v>
      </c>
      <c r="W21" s="46" t="s">
        <v>218</v>
      </c>
      <c r="X21"/>
      <c r="Y21"/>
      <c r="Z21"/>
    </row>
    <row r="22" spans="1:26" ht="15" customHeight="1" x14ac:dyDescent="0.25">
      <c r="A22" s="84" t="s">
        <v>75</v>
      </c>
      <c r="B22" s="84"/>
      <c r="C22" s="84"/>
      <c r="D22" s="84"/>
      <c r="E22" s="87" t="s">
        <v>16</v>
      </c>
      <c r="F22" s="87"/>
      <c r="G22" s="87"/>
      <c r="H22" s="87"/>
      <c r="S22" s="46"/>
      <c r="T22" s="46"/>
      <c r="U22" s="46"/>
      <c r="V22" s="46" t="s">
        <v>202</v>
      </c>
      <c r="W22" s="46" t="s">
        <v>219</v>
      </c>
      <c r="X22"/>
      <c r="Y22"/>
      <c r="Z22"/>
    </row>
    <row r="23" spans="1:26" ht="18.75" customHeight="1" x14ac:dyDescent="0.25">
      <c r="A23" s="84"/>
      <c r="B23" s="84"/>
      <c r="C23" s="84"/>
      <c r="D23" s="84"/>
      <c r="E23" s="87"/>
      <c r="F23" s="87"/>
      <c r="G23" s="87"/>
      <c r="H23" s="87"/>
      <c r="S23" s="46"/>
      <c r="T23" s="46"/>
      <c r="U23" s="46"/>
      <c r="V23" s="46" t="s">
        <v>203</v>
      </c>
      <c r="W23" s="46" t="s">
        <v>220</v>
      </c>
      <c r="X23"/>
      <c r="Y23"/>
      <c r="Z23"/>
    </row>
    <row r="24" spans="1:26" ht="15" customHeight="1" x14ac:dyDescent="0.25">
      <c r="A24" s="84" t="s">
        <v>17</v>
      </c>
      <c r="B24" s="84"/>
      <c r="C24" s="84"/>
      <c r="D24" s="84"/>
      <c r="E24" s="92" t="s">
        <v>18</v>
      </c>
      <c r="F24" s="92"/>
      <c r="G24" s="92"/>
      <c r="H24" s="92"/>
      <c r="S24" s="46"/>
      <c r="T24" s="46"/>
      <c r="U24" s="46"/>
      <c r="V24" s="46" t="s">
        <v>204</v>
      </c>
      <c r="W24" s="46" t="s">
        <v>221</v>
      </c>
      <c r="X24"/>
      <c r="Y24"/>
      <c r="Z24"/>
    </row>
    <row r="25" spans="1:26" ht="15" customHeight="1" x14ac:dyDescent="0.25">
      <c r="A25" s="99" t="s">
        <v>19</v>
      </c>
      <c r="B25" s="99"/>
      <c r="C25" s="99"/>
      <c r="D25" s="99"/>
      <c r="E25" s="92" t="str">
        <f>IF(AND(G19="Mumbai"),"Upper Class","Middle Class")</f>
        <v>Upper Class</v>
      </c>
      <c r="F25" s="92"/>
      <c r="G25" s="92"/>
      <c r="H25" s="92"/>
      <c r="S25" s="46"/>
      <c r="T25" s="46"/>
      <c r="U25" s="46"/>
      <c r="V25" s="46" t="s">
        <v>205</v>
      </c>
      <c r="W25" s="46" t="s">
        <v>222</v>
      </c>
      <c r="X25"/>
      <c r="Y25"/>
      <c r="Z25"/>
    </row>
    <row r="26" spans="1:26" x14ac:dyDescent="0.25">
      <c r="A26" s="99" t="s">
        <v>20</v>
      </c>
      <c r="B26" s="99"/>
      <c r="C26" s="99"/>
      <c r="D26" s="99"/>
      <c r="E26" s="92" t="s">
        <v>21</v>
      </c>
      <c r="F26" s="92"/>
      <c r="G26" s="92"/>
      <c r="H26" s="92"/>
      <c r="S26" s="46"/>
      <c r="T26" s="46"/>
      <c r="U26" s="46"/>
      <c r="V26" s="46" t="s">
        <v>206</v>
      </c>
      <c r="W26" s="46" t="s">
        <v>223</v>
      </c>
      <c r="X26"/>
      <c r="Y26"/>
      <c r="Z26"/>
    </row>
    <row r="27" spans="1:26" ht="15.75" customHeight="1" x14ac:dyDescent="0.25">
      <c r="A27" s="99" t="s">
        <v>22</v>
      </c>
      <c r="B27" s="99"/>
      <c r="C27" s="99"/>
      <c r="D27" s="99"/>
      <c r="E27" s="92" t="str">
        <f>IF(AND(G19="Mumbai"),"Developed","Developing")</f>
        <v>Developed</v>
      </c>
      <c r="F27" s="92"/>
      <c r="G27" s="92"/>
      <c r="H27" s="92"/>
    </row>
    <row r="28" spans="1:26" x14ac:dyDescent="0.25">
      <c r="A28" s="99" t="s">
        <v>23</v>
      </c>
      <c r="B28" s="99"/>
      <c r="C28" s="99"/>
      <c r="D28" s="99"/>
      <c r="E28" s="92" t="s">
        <v>24</v>
      </c>
      <c r="F28" s="92"/>
      <c r="G28" s="92"/>
      <c r="H28" s="92"/>
    </row>
    <row r="29" spans="1:26" ht="15.75" customHeight="1" x14ac:dyDescent="0.25">
      <c r="A29" s="99" t="s">
        <v>80</v>
      </c>
      <c r="B29" s="99"/>
      <c r="C29" s="99"/>
      <c r="D29" s="99"/>
      <c r="E29" s="92" t="s">
        <v>81</v>
      </c>
      <c r="F29" s="92"/>
      <c r="G29" s="92"/>
      <c r="H29" s="92"/>
    </row>
    <row r="30" spans="1:26" ht="15" customHeight="1" x14ac:dyDescent="0.25">
      <c r="A30" s="99" t="s">
        <v>32</v>
      </c>
      <c r="B30" s="99"/>
      <c r="C30" s="99"/>
      <c r="D30" s="99"/>
      <c r="E30" s="9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2"/>
      <c r="G30" s="92"/>
      <c r="H30" s="92"/>
    </row>
    <row r="31" spans="1:26" ht="15.75" customHeight="1" x14ac:dyDescent="0.25">
      <c r="A31" s="99" t="s">
        <v>92</v>
      </c>
      <c r="B31" s="99"/>
      <c r="C31" s="99"/>
      <c r="D31" s="99"/>
      <c r="E31" s="92" t="s">
        <v>33</v>
      </c>
      <c r="F31" s="92"/>
      <c r="G31" s="92"/>
      <c r="H31" s="92"/>
    </row>
    <row r="32" spans="1:26" s="18" customFormat="1" x14ac:dyDescent="0.25">
      <c r="A32" s="154" t="s">
        <v>93</v>
      </c>
      <c r="B32" s="154"/>
      <c r="C32" s="151" t="s">
        <v>172</v>
      </c>
      <c r="D32" s="152"/>
      <c r="E32" s="153"/>
      <c r="F32" s="151" t="s">
        <v>30</v>
      </c>
      <c r="G32" s="152"/>
      <c r="H32" s="153"/>
    </row>
    <row r="33" spans="1:8" s="18" customFormat="1" x14ac:dyDescent="0.25">
      <c r="A33" s="150" t="s">
        <v>25</v>
      </c>
      <c r="B33" s="150" t="s">
        <v>29</v>
      </c>
      <c r="C33" s="146" t="s">
        <v>248</v>
      </c>
      <c r="D33" s="147"/>
      <c r="E33" s="148"/>
      <c r="F33" s="146" t="s">
        <v>249</v>
      </c>
      <c r="G33" s="147"/>
      <c r="H33" s="148"/>
    </row>
    <row r="34" spans="1:8" x14ac:dyDescent="0.25">
      <c r="A34" s="150" t="s">
        <v>26</v>
      </c>
      <c r="B34" s="150" t="s">
        <v>29</v>
      </c>
      <c r="C34" s="146" t="s">
        <v>247</v>
      </c>
      <c r="D34" s="147"/>
      <c r="E34" s="148"/>
      <c r="F34" s="146" t="s">
        <v>247</v>
      </c>
      <c r="G34" s="147"/>
      <c r="H34" s="148"/>
    </row>
    <row r="35" spans="1:8" s="18" customFormat="1" x14ac:dyDescent="0.25">
      <c r="A35" s="150" t="s">
        <v>28</v>
      </c>
      <c r="B35" s="150" t="s">
        <v>29</v>
      </c>
      <c r="C35" s="146" t="s">
        <v>246</v>
      </c>
      <c r="D35" s="147"/>
      <c r="E35" s="148"/>
      <c r="F35" s="146" t="s">
        <v>242</v>
      </c>
      <c r="G35" s="147"/>
      <c r="H35" s="148"/>
    </row>
    <row r="36" spans="1:8" x14ac:dyDescent="0.25">
      <c r="A36" s="150" t="s">
        <v>27</v>
      </c>
      <c r="B36" s="150" t="s">
        <v>29</v>
      </c>
      <c r="C36" s="146" t="s">
        <v>245</v>
      </c>
      <c r="D36" s="147"/>
      <c r="E36" s="148"/>
      <c r="F36" s="146" t="s">
        <v>245</v>
      </c>
      <c r="G36" s="147"/>
      <c r="H36" s="148"/>
    </row>
    <row r="37" spans="1:8" x14ac:dyDescent="0.25">
      <c r="A37" s="99" t="s">
        <v>31</v>
      </c>
      <c r="B37" s="99"/>
      <c r="C37" s="99"/>
      <c r="D37" s="99"/>
      <c r="E37" s="99"/>
      <c r="F37" s="99"/>
      <c r="G37" s="99"/>
      <c r="H37" s="99"/>
    </row>
    <row r="38" spans="1:8" ht="15.75" customHeight="1" x14ac:dyDescent="0.25">
      <c r="A38" s="99" t="s">
        <v>164</v>
      </c>
      <c r="B38" s="99"/>
      <c r="C38" s="125" t="s">
        <v>239</v>
      </c>
      <c r="D38" s="125"/>
      <c r="E38" s="125"/>
      <c r="F38" s="125"/>
      <c r="G38" s="125"/>
      <c r="H38" s="125"/>
    </row>
    <row r="39" spans="1:8" x14ac:dyDescent="0.25">
      <c r="A39" s="99" t="s">
        <v>160</v>
      </c>
      <c r="B39" s="99"/>
      <c r="C39" s="161" t="s">
        <v>240</v>
      </c>
      <c r="D39" s="92"/>
      <c r="E39" s="92"/>
      <c r="F39" s="92"/>
      <c r="G39" s="92"/>
      <c r="H39" s="92"/>
    </row>
    <row r="40" spans="1:8" x14ac:dyDescent="0.25">
      <c r="A40" s="125" t="s">
        <v>34</v>
      </c>
      <c r="B40" s="125"/>
      <c r="C40" s="125"/>
      <c r="D40" s="125"/>
      <c r="E40" s="125"/>
      <c r="F40" s="125"/>
      <c r="G40" s="125"/>
      <c r="H40" s="125"/>
    </row>
    <row r="41" spans="1:8" x14ac:dyDescent="0.25">
      <c r="A41" s="99" t="s">
        <v>35</v>
      </c>
      <c r="B41" s="99"/>
      <c r="C41" s="99"/>
      <c r="D41" s="99"/>
      <c r="E41" s="155">
        <v>750</v>
      </c>
      <c r="F41" s="155"/>
      <c r="G41" s="155"/>
      <c r="H41" s="155"/>
    </row>
    <row r="42" spans="1:8" x14ac:dyDescent="0.25">
      <c r="A42" s="99" t="s">
        <v>36</v>
      </c>
      <c r="B42" s="99"/>
      <c r="C42" s="99"/>
      <c r="D42" s="99"/>
      <c r="E42" s="106">
        <v>3</v>
      </c>
      <c r="F42" s="106"/>
      <c r="G42" s="106"/>
      <c r="H42" s="106"/>
    </row>
    <row r="43" spans="1:8" x14ac:dyDescent="0.25">
      <c r="A43" s="99" t="s">
        <v>37</v>
      </c>
      <c r="B43" s="99"/>
      <c r="C43" s="99"/>
      <c r="D43" s="99"/>
      <c r="E43" s="106">
        <f>E45/E41-E42</f>
        <v>1.5581333333333331</v>
      </c>
      <c r="F43" s="106"/>
      <c r="G43" s="106"/>
      <c r="H43" s="106"/>
    </row>
    <row r="44" spans="1:8" x14ac:dyDescent="0.25">
      <c r="A44" s="99" t="s">
        <v>38</v>
      </c>
      <c r="B44" s="99"/>
      <c r="C44" s="99"/>
      <c r="D44" s="99"/>
      <c r="E44" s="106">
        <f>E42+E43</f>
        <v>4.5581333333333331</v>
      </c>
      <c r="F44" s="106"/>
      <c r="G44" s="106"/>
      <c r="H44" s="106"/>
    </row>
    <row r="45" spans="1:8" x14ac:dyDescent="0.25">
      <c r="A45" s="99" t="s">
        <v>91</v>
      </c>
      <c r="B45" s="99"/>
      <c r="C45" s="99"/>
      <c r="D45" s="99"/>
      <c r="E45" s="158">
        <v>3418.6</v>
      </c>
      <c r="F45" s="158"/>
      <c r="G45" s="158"/>
      <c r="H45" s="158"/>
    </row>
    <row r="46" spans="1:8" x14ac:dyDescent="0.25">
      <c r="A46" s="87" t="s">
        <v>39</v>
      </c>
      <c r="B46" s="87"/>
      <c r="C46" s="87"/>
      <c r="D46" s="87"/>
      <c r="E46" s="87" t="s">
        <v>121</v>
      </c>
      <c r="F46" s="87"/>
      <c r="G46" s="87"/>
      <c r="H46" s="87"/>
    </row>
    <row r="47" spans="1:8" x14ac:dyDescent="0.25">
      <c r="A47" s="125" t="s">
        <v>40</v>
      </c>
      <c r="B47" s="125"/>
      <c r="C47" s="125"/>
      <c r="D47" s="125"/>
      <c r="E47" s="125"/>
      <c r="F47" s="125"/>
      <c r="G47" s="125"/>
      <c r="H47" s="125"/>
    </row>
    <row r="48" spans="1:8" ht="33.75" customHeight="1" x14ac:dyDescent="0.25">
      <c r="A48" s="79" t="s">
        <v>150</v>
      </c>
      <c r="B48" s="80"/>
      <c r="C48" s="142" t="s">
        <v>250</v>
      </c>
      <c r="D48" s="143"/>
      <c r="E48" s="143"/>
      <c r="F48" s="143"/>
      <c r="G48" s="143"/>
      <c r="H48" s="144"/>
    </row>
    <row r="49" spans="1:14" ht="15.75" customHeight="1" x14ac:dyDescent="0.25">
      <c r="A49" s="79" t="s">
        <v>41</v>
      </c>
      <c r="B49" s="80"/>
      <c r="C49" s="79" t="s">
        <v>251</v>
      </c>
      <c r="D49" s="81"/>
      <c r="E49" s="80"/>
      <c r="F49" s="16" t="s">
        <v>42</v>
      </c>
      <c r="G49" s="82">
        <v>44734</v>
      </c>
      <c r="H49" s="80"/>
    </row>
    <row r="50" spans="1:14" x14ac:dyDescent="0.25">
      <c r="A50" s="79" t="s">
        <v>43</v>
      </c>
      <c r="B50" s="80"/>
      <c r="C50" s="79" t="str">
        <f>C49</f>
        <v>MHADA 75/1135/2022</v>
      </c>
      <c r="D50" s="81"/>
      <c r="E50" s="80"/>
      <c r="F50" s="16" t="s">
        <v>42</v>
      </c>
      <c r="G50" s="82">
        <f>G49</f>
        <v>44734</v>
      </c>
      <c r="H50" s="160"/>
    </row>
    <row r="51" spans="1:14" s="19" customFormat="1" ht="36" customHeight="1" x14ac:dyDescent="0.25">
      <c r="A51" s="84" t="s">
        <v>253</v>
      </c>
      <c r="B51" s="84"/>
      <c r="C51" s="84" t="s">
        <v>252</v>
      </c>
      <c r="D51" s="84"/>
      <c r="E51" s="84"/>
      <c r="F51" s="16" t="s">
        <v>256</v>
      </c>
      <c r="G51" s="83" t="s">
        <v>255</v>
      </c>
      <c r="H51" s="84"/>
    </row>
    <row r="52" spans="1:14" s="19" customFormat="1" ht="115.5" customHeight="1" x14ac:dyDescent="0.25">
      <c r="A52" s="84" t="s">
        <v>254</v>
      </c>
      <c r="B52" s="84"/>
      <c r="C52" s="84" t="s">
        <v>288</v>
      </c>
      <c r="D52" s="84"/>
      <c r="E52" s="84"/>
      <c r="F52" s="84"/>
      <c r="G52" s="84"/>
      <c r="H52" s="84"/>
    </row>
    <row r="53" spans="1:14" x14ac:dyDescent="0.25">
      <c r="A53" s="100" t="s">
        <v>44</v>
      </c>
      <c r="B53" s="101"/>
      <c r="C53" s="100" t="s">
        <v>105</v>
      </c>
      <c r="D53" s="102"/>
      <c r="E53" s="101"/>
      <c r="F53" s="39" t="s">
        <v>42</v>
      </c>
      <c r="G53" s="90" t="s">
        <v>29</v>
      </c>
      <c r="H53" s="91"/>
    </row>
    <row r="54" spans="1:14" x14ac:dyDescent="0.25">
      <c r="A54" s="107" t="s">
        <v>46</v>
      </c>
      <c r="B54" s="107"/>
      <c r="C54" s="107"/>
      <c r="D54" s="107"/>
      <c r="E54" s="107"/>
      <c r="F54" s="107"/>
      <c r="G54" s="107"/>
      <c r="H54" s="107"/>
    </row>
    <row r="55" spans="1:14" x14ac:dyDescent="0.25">
      <c r="A55" s="84" t="s">
        <v>90</v>
      </c>
      <c r="B55" s="84"/>
      <c r="C55" s="84"/>
      <c r="D55" s="99">
        <f>E45</f>
        <v>3418.6</v>
      </c>
      <c r="E55" s="99"/>
      <c r="F55" s="99"/>
      <c r="G55" s="99"/>
      <c r="H55" s="99"/>
    </row>
    <row r="56" spans="1:14" x14ac:dyDescent="0.25">
      <c r="A56" s="92" t="s">
        <v>47</v>
      </c>
      <c r="B56" s="87"/>
      <c r="C56" s="87"/>
      <c r="D56" s="87" t="s">
        <v>283</v>
      </c>
      <c r="E56" s="87"/>
      <c r="F56" s="87"/>
      <c r="G56" s="87"/>
      <c r="H56" s="87"/>
      <c r="I56" s="20"/>
    </row>
    <row r="57" spans="1:14" x14ac:dyDescent="0.25">
      <c r="A57" s="85" t="s">
        <v>48</v>
      </c>
      <c r="B57" s="86"/>
      <c r="C57" s="159"/>
      <c r="D57" s="92" t="s">
        <v>286</v>
      </c>
      <c r="E57" s="87"/>
      <c r="F57" s="87"/>
      <c r="G57" s="87"/>
      <c r="H57" s="87"/>
    </row>
    <row r="58" spans="1:14" ht="15.75" customHeight="1" x14ac:dyDescent="0.25">
      <c r="A58" s="85" t="s">
        <v>88</v>
      </c>
      <c r="B58" s="86"/>
      <c r="C58" s="86"/>
      <c r="D58" s="87" t="s">
        <v>286</v>
      </c>
      <c r="E58" s="87"/>
      <c r="F58" s="87"/>
      <c r="G58" s="87"/>
      <c r="H58" s="87"/>
    </row>
    <row r="59" spans="1:14" ht="15.75" customHeight="1" x14ac:dyDescent="0.25">
      <c r="A59" s="99" t="s">
        <v>45</v>
      </c>
      <c r="B59" s="99"/>
      <c r="C59" s="99"/>
      <c r="D59" s="156" t="s">
        <v>258</v>
      </c>
      <c r="E59" s="156"/>
      <c r="F59" s="156"/>
      <c r="G59" s="156"/>
      <c r="H59" s="156"/>
      <c r="J59" s="21"/>
      <c r="K59" s="20"/>
      <c r="N59" s="20"/>
    </row>
    <row r="60" spans="1:14" ht="15.75" customHeight="1" x14ac:dyDescent="0.25">
      <c r="A60" s="99" t="s">
        <v>86</v>
      </c>
      <c r="B60" s="99"/>
      <c r="C60" s="99"/>
      <c r="D60" s="157" t="str">
        <f>(IF(G53="NA","60 Years After Completion",IF(G53&lt;&gt;"NA",""&amp;60-ROUNDDOWN((E3-G53)/360,0)&amp;" Years"," ")))</f>
        <v>60 Years After Completion</v>
      </c>
      <c r="E60" s="157"/>
      <c r="F60" s="157"/>
      <c r="G60" s="157"/>
      <c r="H60" s="157"/>
      <c r="N60" s="20"/>
    </row>
    <row r="61" spans="1:14" ht="15.75" customHeight="1" x14ac:dyDescent="0.25">
      <c r="A61" s="99" t="s">
        <v>87</v>
      </c>
      <c r="B61" s="99"/>
      <c r="C61" s="99"/>
      <c r="D61" s="84" t="s">
        <v>24</v>
      </c>
      <c r="E61" s="84"/>
      <c r="F61" s="84"/>
      <c r="G61" s="84"/>
      <c r="H61" s="84"/>
      <c r="J61" s="22"/>
      <c r="K61" s="22"/>
    </row>
    <row r="62" spans="1:14" ht="31.5" customHeight="1" x14ac:dyDescent="0.25">
      <c r="A62" s="87" t="s">
        <v>257</v>
      </c>
      <c r="B62" s="87"/>
      <c r="C62" s="87"/>
      <c r="D62" s="92" t="s">
        <v>259</v>
      </c>
      <c r="E62" s="84"/>
      <c r="F62" s="84"/>
      <c r="G62" s="84"/>
      <c r="H62" s="84"/>
    </row>
    <row r="63" spans="1:14" x14ac:dyDescent="0.25">
      <c r="A63" s="84" t="s">
        <v>148</v>
      </c>
      <c r="B63" s="84"/>
      <c r="C63" s="84"/>
      <c r="D63" s="84" t="s">
        <v>29</v>
      </c>
      <c r="E63" s="84"/>
      <c r="F63" s="84"/>
      <c r="G63" s="84"/>
      <c r="H63" s="84"/>
      <c r="I63" s="23"/>
      <c r="J63" s="23"/>
      <c r="K63" s="23"/>
      <c r="L63" s="23"/>
      <c r="M63" s="23"/>
      <c r="N63" s="23"/>
    </row>
    <row r="64" spans="1:14" ht="15.75" customHeight="1" x14ac:dyDescent="0.25">
      <c r="A64" s="105" t="s">
        <v>85</v>
      </c>
      <c r="B64" s="105"/>
      <c r="C64" s="105"/>
      <c r="D64" s="127" t="str">
        <f ca="1">(IF(G70&gt;95%,"Nothing",IF(G70&gt;0%,"Cement, Aggregate, Steel, etc",IF(G70=0%,"Work not yet Started"))))</f>
        <v>Cement, Aggregate, Steel, etc</v>
      </c>
      <c r="E64" s="127"/>
      <c r="F64" s="127"/>
      <c r="G64" s="127"/>
      <c r="H64" s="127"/>
      <c r="J64" s="22"/>
    </row>
    <row r="65" spans="1:10" ht="33.75" customHeight="1" thickBot="1" x14ac:dyDescent="0.3">
      <c r="A65" s="93" t="s">
        <v>118</v>
      </c>
      <c r="B65" s="93"/>
      <c r="C65" s="93"/>
      <c r="D65" s="127" t="str">
        <f ca="1">(IF(D64="Nothing","Yes",IF(D64="Cement, Aggregate, Steel, etc","Under Construction",IF(D64="Work not yet Started","Work not yet Started"))))</f>
        <v>Under Construction</v>
      </c>
      <c r="E65" s="127"/>
      <c r="F65" s="127" t="str">
        <f ca="1">(IF(D64="Nothing","Yes",IF(D64="Cement, Aggregate, Steel, etc","Under Construction",IF(D64="Work not yet Started","Work not yet Started"))))</f>
        <v>Under Construction</v>
      </c>
      <c r="G65" s="127"/>
      <c r="H65" s="127"/>
    </row>
    <row r="66" spans="1:10" ht="15.75" customHeight="1" x14ac:dyDescent="0.25">
      <c r="A66" s="166" t="s">
        <v>140</v>
      </c>
      <c r="B66" s="167"/>
      <c r="C66" s="168" t="str">
        <f>D58</f>
        <v>B + Gr + 1st to 16th Floor</v>
      </c>
      <c r="D66" s="169"/>
      <c r="E66" s="169"/>
      <c r="F66" s="169"/>
      <c r="G66" s="169"/>
      <c r="H66" s="170"/>
      <c r="I66" s="41" t="str">
        <f ca="1">IF(D79=100%,"All work Completed. Possession granted to the Building.",IF(D78=100%,"All work Completed, Waiting for OC",I67&amp;""&amp;I68&amp;""&amp;J67&amp;""&amp;J66&amp;" "&amp;J68))</f>
        <v>Excavation, Plinth Completed, RCC upto 15 Slab, Brickwork upto 12 Floor, Internal Plaster upto 10 Floor, External Plaster upto 5 Floor, Flooring upto 2 Floor Completed</v>
      </c>
      <c r="J66" s="4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15 Slab, Brickwork upto 12 Floor, Internal Plaster upto 10 Floor, External Plaster upto 5 Floor, Flooring upto 2 Floor</v>
      </c>
    </row>
    <row r="67" spans="1:10" x14ac:dyDescent="0.25">
      <c r="A67" s="49" t="s">
        <v>142</v>
      </c>
      <c r="B67" s="50">
        <v>1</v>
      </c>
      <c r="C67" s="50" t="s">
        <v>71</v>
      </c>
      <c r="D67" s="50">
        <v>1</v>
      </c>
      <c r="E67" s="50" t="s">
        <v>70</v>
      </c>
      <c r="F67" s="50">
        <v>0</v>
      </c>
      <c r="G67" s="51" t="s">
        <v>79</v>
      </c>
      <c r="H67" s="52">
        <f ca="1">--TRIM(RIGHT(SUBSTITUTE(LEFT(C66,_xlfn.AGGREGATE(16,6,FIND({0,1,2,3,4,5,6,7,8,9},C66,ROW(INDIRECT("1:"&amp;LEN(C66)))),1))," ",REPT(" ",LEN(C66))),LEN(C66)))</f>
        <v>16</v>
      </c>
      <c r="I67" s="4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8" customHeight="1" x14ac:dyDescent="0.25">
      <c r="A68" s="164" t="s">
        <v>89</v>
      </c>
      <c r="B68" s="165"/>
      <c r="C68" s="171" t="str">
        <f ca="1">I66</f>
        <v>Excavation, Plinth Completed, RCC upto 15 Slab, Brickwork upto 12 Floor, Internal Plaster upto 10 Floor, External Plaster upto 5 Floor, Flooring upto 2 Floor Completed</v>
      </c>
      <c r="D68" s="171"/>
      <c r="E68" s="171"/>
      <c r="F68" s="171"/>
      <c r="G68" s="171"/>
      <c r="H68" s="172"/>
      <c r="I68" s="43" t="str">
        <f ca="1">IF(I67&lt;&gt;""," Completed","")</f>
        <v xml:space="preserve"> Completed</v>
      </c>
      <c r="J68" s="44" t="str">
        <f ca="1">IF(J66&lt;&gt;"","Completed","")</f>
        <v>Completed</v>
      </c>
    </row>
    <row r="69" spans="1:10" ht="15.75" customHeight="1" x14ac:dyDescent="0.25">
      <c r="A69" s="88" t="s">
        <v>49</v>
      </c>
      <c r="B69" s="89"/>
      <c r="C69" s="53" t="s">
        <v>139</v>
      </c>
      <c r="D69" s="53" t="s">
        <v>82</v>
      </c>
      <c r="E69" s="89" t="s">
        <v>84</v>
      </c>
      <c r="F69" s="89"/>
      <c r="G69" s="89" t="s">
        <v>83</v>
      </c>
      <c r="H69" s="128"/>
      <c r="I69" s="14" t="s">
        <v>141</v>
      </c>
      <c r="J69" s="24">
        <f ca="1">H67*25%</f>
        <v>4</v>
      </c>
    </row>
    <row r="70" spans="1:10" x14ac:dyDescent="0.25">
      <c r="A70" s="88" t="s">
        <v>128</v>
      </c>
      <c r="B70" s="89"/>
      <c r="C70" s="53">
        <f ca="1">J71</f>
        <v>16</v>
      </c>
      <c r="D70" s="54">
        <f ca="1">((100/H67)*C70)/100</f>
        <v>1</v>
      </c>
      <c r="E70" s="129">
        <f ca="1">(((C71/H67*10)+(40/(D67+F67+H67)*C72)+(7.5/(H67)*C73)+(7.5/(H67)*C74)+(10/H67*C75)+(10/H67*C76)+(5/H67*C77)+(5/H67*C78)+(5/H67*C79))/100)</f>
        <v>0.59981617647058827</v>
      </c>
      <c r="F70" s="130"/>
      <c r="G70" s="129">
        <f ca="1">((((C70/H67)*20)+((C71/H67)*25)+(30/(H67+F67+D67)*C72)+(5/H67*C73)+(5/H67*C74)+(5/H67*C75)+(5/H67*C76)+(0/H67*C77)+(0/H67*C78)+(5/H67*C79))/100)</f>
        <v>0.80533088235294115</v>
      </c>
      <c r="H70" s="135"/>
      <c r="I70" s="14" t="s">
        <v>100</v>
      </c>
      <c r="J70" s="25">
        <f ca="1">H67*50%</f>
        <v>8</v>
      </c>
    </row>
    <row r="71" spans="1:10" x14ac:dyDescent="0.25">
      <c r="A71" s="88" t="s">
        <v>50</v>
      </c>
      <c r="B71" s="89"/>
      <c r="C71" s="53">
        <f ca="1">J79</f>
        <v>16</v>
      </c>
      <c r="D71" s="54">
        <f ca="1">((100/H67)*C71)/100</f>
        <v>1</v>
      </c>
      <c r="E71" s="131"/>
      <c r="F71" s="132"/>
      <c r="G71" s="131"/>
      <c r="H71" s="136"/>
      <c r="I71" s="14" t="s">
        <v>101</v>
      </c>
      <c r="J71" s="25">
        <f ca="1">H67</f>
        <v>16</v>
      </c>
    </row>
    <row r="72" spans="1:10" ht="15.75" customHeight="1" x14ac:dyDescent="0.25">
      <c r="A72" s="178" t="s">
        <v>129</v>
      </c>
      <c r="B72" s="179"/>
      <c r="C72" s="53">
        <v>15</v>
      </c>
      <c r="D72" s="54">
        <f ca="1">((100/(D67+F67+H67))*C72)/100</f>
        <v>0.88235294117647067</v>
      </c>
      <c r="E72" s="131"/>
      <c r="F72" s="132"/>
      <c r="G72" s="131"/>
      <c r="H72" s="136"/>
      <c r="I72" s="14" t="s">
        <v>102</v>
      </c>
      <c r="J72" s="26">
        <f ca="1">(IF(B67&gt;1,(H67/(B67+2)),H67/4))</f>
        <v>4</v>
      </c>
    </row>
    <row r="73" spans="1:10" ht="15.75" customHeight="1" x14ac:dyDescent="0.25">
      <c r="A73" s="88" t="s">
        <v>136</v>
      </c>
      <c r="B73" s="89" t="s">
        <v>130</v>
      </c>
      <c r="C73" s="53">
        <v>12</v>
      </c>
      <c r="D73" s="54">
        <f ca="1">((100/H67)*C73)/100</f>
        <v>0.75</v>
      </c>
      <c r="E73" s="131"/>
      <c r="F73" s="132"/>
      <c r="G73" s="131"/>
      <c r="H73" s="136"/>
      <c r="I73" s="14" t="s">
        <v>103</v>
      </c>
      <c r="J73" s="26">
        <f ca="1">(IF(B67&gt;1,(H67/(B67+2)+J72),H67/4+J72))</f>
        <v>8</v>
      </c>
    </row>
    <row r="74" spans="1:10" ht="15.75" customHeight="1" x14ac:dyDescent="0.25">
      <c r="A74" s="88" t="s">
        <v>137</v>
      </c>
      <c r="B74" s="89" t="s">
        <v>130</v>
      </c>
      <c r="C74" s="53">
        <v>10</v>
      </c>
      <c r="D74" s="54">
        <f ca="1">((100/H67)*C74)/100</f>
        <v>0.625</v>
      </c>
      <c r="E74" s="131"/>
      <c r="F74" s="132"/>
      <c r="G74" s="131"/>
      <c r="H74" s="136"/>
      <c r="I74" s="14" t="s">
        <v>146</v>
      </c>
      <c r="J74" s="26">
        <f>(IF(B67&gt;1,(H67/(B67+2)+J73),0))</f>
        <v>0</v>
      </c>
    </row>
    <row r="75" spans="1:10" ht="15" customHeight="1" x14ac:dyDescent="0.25">
      <c r="A75" s="88" t="s">
        <v>135</v>
      </c>
      <c r="B75" s="89" t="s">
        <v>132</v>
      </c>
      <c r="C75" s="53">
        <v>5</v>
      </c>
      <c r="D75" s="54">
        <f ca="1">((100/(H67))*C75)/100</f>
        <v>0.3125</v>
      </c>
      <c r="E75" s="131"/>
      <c r="F75" s="132"/>
      <c r="G75" s="131"/>
      <c r="H75" s="136"/>
      <c r="I75" s="14" t="s">
        <v>143</v>
      </c>
      <c r="J75" s="26">
        <f>(IF(B67&gt;2,(H67/(B67+2)+J74),0))</f>
        <v>0</v>
      </c>
    </row>
    <row r="76" spans="1:10" ht="15.75" customHeight="1" x14ac:dyDescent="0.25">
      <c r="A76" s="88" t="s">
        <v>131</v>
      </c>
      <c r="B76" s="89" t="s">
        <v>131</v>
      </c>
      <c r="C76" s="53">
        <v>2</v>
      </c>
      <c r="D76" s="54">
        <f ca="1">((100/H67)*C76)/100</f>
        <v>0.125</v>
      </c>
      <c r="E76" s="131"/>
      <c r="F76" s="132"/>
      <c r="G76" s="131"/>
      <c r="H76" s="136"/>
      <c r="I76" s="14" t="s">
        <v>144</v>
      </c>
      <c r="J76" s="27">
        <f>(IF(B67&gt;3,(H67/(B67+2)+J75),0))</f>
        <v>0</v>
      </c>
    </row>
    <row r="77" spans="1:10" ht="15.75" customHeight="1" x14ac:dyDescent="0.25">
      <c r="A77" s="88" t="s">
        <v>138</v>
      </c>
      <c r="B77" s="89"/>
      <c r="C77" s="53">
        <v>0</v>
      </c>
      <c r="D77" s="54">
        <f ca="1">((100/H67)*C77)/100</f>
        <v>0</v>
      </c>
      <c r="E77" s="131"/>
      <c r="F77" s="132"/>
      <c r="G77" s="131"/>
      <c r="H77" s="136"/>
      <c r="I77" s="14" t="s">
        <v>145</v>
      </c>
      <c r="J77" s="26">
        <f>(IF(B67&gt;4,(H67/(B67+2)+J76),0))</f>
        <v>0</v>
      </c>
    </row>
    <row r="78" spans="1:10" ht="15.75" customHeight="1" x14ac:dyDescent="0.25">
      <c r="A78" s="88" t="s">
        <v>133</v>
      </c>
      <c r="B78" s="89" t="s">
        <v>133</v>
      </c>
      <c r="C78" s="53">
        <v>0</v>
      </c>
      <c r="D78" s="54">
        <f ca="1">((100/(H67))*C78)/100</f>
        <v>0</v>
      </c>
      <c r="E78" s="131"/>
      <c r="F78" s="132"/>
      <c r="G78" s="131"/>
      <c r="H78" s="136"/>
      <c r="I78" s="14" t="s">
        <v>147</v>
      </c>
      <c r="J78" s="26">
        <f ca="1">(IF(B67=1,(H67/(B67+3)+J73),IF(B67=0,(H67/4+J73),IF(B67&gt;1,0))))</f>
        <v>12</v>
      </c>
    </row>
    <row r="79" spans="1:10" ht="16.5" thickBot="1" x14ac:dyDescent="0.3">
      <c r="A79" s="138" t="s">
        <v>134</v>
      </c>
      <c r="B79" s="139"/>
      <c r="C79" s="55">
        <v>0</v>
      </c>
      <c r="D79" s="56">
        <f ca="1">((100/(H67))*C79)/100</f>
        <v>0</v>
      </c>
      <c r="E79" s="133"/>
      <c r="F79" s="134"/>
      <c r="G79" s="133"/>
      <c r="H79" s="137"/>
      <c r="I79" s="15" t="s">
        <v>104</v>
      </c>
      <c r="J79" s="28">
        <f ca="1">(IF(B67&gt;1.5,(H67/(B67+2)+J73+MAX(0,J74-J73)+MAX(0,J75-J74)+MAX(0,J76-J75)+MAX(0,J77-J76)+MAX(0,J78-J77)),IF(B67=1,(H67/(B67+3)+J78),IF(B67=0,H67/4+J78))))</f>
        <v>16</v>
      </c>
    </row>
    <row r="80" spans="1:10" x14ac:dyDescent="0.25">
      <c r="A80" s="173" t="s">
        <v>155</v>
      </c>
      <c r="B80" s="173"/>
      <c r="C80" s="173"/>
      <c r="D80" s="173"/>
      <c r="E80" s="173"/>
      <c r="F80" s="176" t="s">
        <v>159</v>
      </c>
      <c r="G80" s="176"/>
      <c r="H80" s="176"/>
    </row>
    <row r="81" spans="1:8" x14ac:dyDescent="0.25">
      <c r="A81" s="99" t="s">
        <v>157</v>
      </c>
      <c r="B81" s="99"/>
      <c r="C81" s="99"/>
      <c r="D81" s="99"/>
      <c r="E81" s="99"/>
      <c r="F81" s="96">
        <v>15000</v>
      </c>
      <c r="G81" s="96"/>
      <c r="H81" s="96"/>
    </row>
    <row r="82" spans="1:8" x14ac:dyDescent="0.25">
      <c r="A82" s="99" t="s">
        <v>156</v>
      </c>
      <c r="B82" s="99"/>
      <c r="C82" s="99"/>
      <c r="D82" s="99"/>
      <c r="E82" s="99"/>
      <c r="F82" s="96">
        <v>25000</v>
      </c>
      <c r="G82" s="96"/>
      <c r="H82" s="96"/>
    </row>
    <row r="83" spans="1:8" hidden="1" x14ac:dyDescent="0.25">
      <c r="A83" s="99" t="s">
        <v>158</v>
      </c>
      <c r="B83" s="99"/>
      <c r="C83" s="99"/>
      <c r="D83" s="99"/>
      <c r="E83" s="99"/>
      <c r="F83" s="96"/>
      <c r="G83" s="96"/>
      <c r="H83" s="96"/>
    </row>
    <row r="84" spans="1:8" s="29" customFormat="1" hidden="1" x14ac:dyDescent="0.25">
      <c r="A84" s="99" t="s">
        <v>174</v>
      </c>
      <c r="B84" s="99"/>
      <c r="C84" s="99"/>
      <c r="D84" s="99"/>
      <c r="E84" s="99"/>
      <c r="F84" s="96"/>
      <c r="G84" s="96"/>
      <c r="H84" s="96"/>
    </row>
    <row r="85" spans="1:8" s="29" customFormat="1" hidden="1" x14ac:dyDescent="0.25">
      <c r="A85" s="99" t="s">
        <v>94</v>
      </c>
      <c r="B85" s="99"/>
      <c r="C85" s="99"/>
      <c r="D85" s="99"/>
      <c r="E85" s="99"/>
      <c r="F85" s="96"/>
      <c r="G85" s="96"/>
      <c r="H85" s="96"/>
    </row>
    <row r="86" spans="1:8" s="29" customFormat="1" hidden="1" x14ac:dyDescent="0.25">
      <c r="A86" s="99" t="s">
        <v>95</v>
      </c>
      <c r="B86" s="99"/>
      <c r="C86" s="99"/>
      <c r="D86" s="99"/>
      <c r="E86" s="99"/>
      <c r="F86" s="96"/>
      <c r="G86" s="96"/>
      <c r="H86" s="96"/>
    </row>
    <row r="87" spans="1:8" s="29" customFormat="1" hidden="1" x14ac:dyDescent="0.25">
      <c r="A87" s="99" t="s">
        <v>96</v>
      </c>
      <c r="B87" s="99"/>
      <c r="C87" s="99"/>
      <c r="D87" s="99"/>
      <c r="E87" s="99"/>
      <c r="F87" s="96"/>
      <c r="G87" s="96"/>
      <c r="H87" s="96"/>
    </row>
    <row r="88" spans="1:8" s="29" customFormat="1" hidden="1" x14ac:dyDescent="0.25">
      <c r="A88" s="99" t="s">
        <v>97</v>
      </c>
      <c r="B88" s="99"/>
      <c r="C88" s="99"/>
      <c r="D88" s="99"/>
      <c r="E88" s="99"/>
      <c r="F88" s="96"/>
      <c r="G88" s="96"/>
      <c r="H88" s="96"/>
    </row>
    <row r="89" spans="1:8" s="29" customFormat="1" hidden="1" x14ac:dyDescent="0.25">
      <c r="A89" s="99" t="s">
        <v>98</v>
      </c>
      <c r="B89" s="99"/>
      <c r="C89" s="99"/>
      <c r="D89" s="99"/>
      <c r="E89" s="99"/>
      <c r="F89" s="96"/>
      <c r="G89" s="96"/>
      <c r="H89" s="96"/>
    </row>
    <row r="90" spans="1:8" s="29" customFormat="1" hidden="1" x14ac:dyDescent="0.25">
      <c r="A90" s="99" t="s">
        <v>99</v>
      </c>
      <c r="B90" s="99"/>
      <c r="C90" s="99"/>
      <c r="D90" s="99"/>
      <c r="E90" s="99"/>
      <c r="F90" s="96"/>
      <c r="G90" s="96"/>
      <c r="H90" s="96"/>
    </row>
    <row r="91" spans="1:8" x14ac:dyDescent="0.25">
      <c r="A91" s="99" t="s">
        <v>51</v>
      </c>
      <c r="B91" s="99"/>
      <c r="C91" s="99"/>
      <c r="D91" s="99"/>
      <c r="E91" s="99"/>
      <c r="F91" s="96">
        <v>800000</v>
      </c>
      <c r="G91" s="96"/>
      <c r="H91" s="96"/>
    </row>
    <row r="92" spans="1:8" s="30" customFormat="1" x14ac:dyDescent="0.25">
      <c r="A92" s="125" t="s">
        <v>52</v>
      </c>
      <c r="B92" s="125"/>
      <c r="C92" s="125"/>
      <c r="D92" s="125"/>
      <c r="E92" s="125"/>
      <c r="F92" s="96">
        <f>F81*0.8</f>
        <v>12000</v>
      </c>
      <c r="G92" s="96"/>
      <c r="H92" s="96"/>
    </row>
    <row r="93" spans="1:8" s="31" customFormat="1" ht="15.75" customHeight="1" x14ac:dyDescent="0.25">
      <c r="A93" s="124" t="s">
        <v>74</v>
      </c>
      <c r="B93" s="124"/>
      <c r="C93" s="124"/>
      <c r="D93" s="124"/>
      <c r="E93" s="124"/>
      <c r="F93" s="124"/>
      <c r="G93" s="124"/>
      <c r="H93" s="124"/>
    </row>
    <row r="94" spans="1:8" s="31" customFormat="1" ht="15.75" customHeight="1" x14ac:dyDescent="0.25">
      <c r="A94" s="98" t="s">
        <v>53</v>
      </c>
      <c r="B94" s="98"/>
      <c r="C94" s="104" t="s">
        <v>77</v>
      </c>
      <c r="D94" s="104"/>
      <c r="E94" s="103" t="s">
        <v>54</v>
      </c>
      <c r="F94" s="103"/>
      <c r="G94" s="98" t="s">
        <v>55</v>
      </c>
      <c r="H94" s="98"/>
    </row>
    <row r="95" spans="1:8" s="31" customFormat="1" x14ac:dyDescent="0.25">
      <c r="A95" s="126" t="s">
        <v>278</v>
      </c>
      <c r="B95" s="126"/>
      <c r="C95" s="162">
        <f>COUNT(F106:F109)</f>
        <v>4</v>
      </c>
      <c r="D95" s="163"/>
      <c r="E95" s="111">
        <f>SUM(F106:F109)</f>
        <v>1336.5648035999998</v>
      </c>
      <c r="F95" s="112"/>
      <c r="G95" s="111">
        <f>SUM(H106:H109)</f>
        <v>2071.6754455800001</v>
      </c>
      <c r="H95" s="112"/>
    </row>
    <row r="96" spans="1:8" s="31" customFormat="1" x14ac:dyDescent="0.25">
      <c r="A96" s="124" t="s">
        <v>69</v>
      </c>
      <c r="B96" s="124"/>
      <c r="C96" s="124"/>
      <c r="D96" s="124"/>
      <c r="E96" s="124"/>
      <c r="F96" s="124"/>
      <c r="G96" s="124"/>
      <c r="H96" s="124"/>
    </row>
    <row r="97" spans="1:14" s="31" customFormat="1" ht="15.75" customHeight="1" x14ac:dyDescent="0.25">
      <c r="A97" s="98" t="s">
        <v>53</v>
      </c>
      <c r="B97" s="98"/>
      <c r="C97" s="104" t="s">
        <v>77</v>
      </c>
      <c r="D97" s="104"/>
      <c r="E97" s="103" t="s">
        <v>54</v>
      </c>
      <c r="F97" s="103"/>
      <c r="G97" s="98" t="s">
        <v>55</v>
      </c>
      <c r="H97" s="98"/>
    </row>
    <row r="98" spans="1:14" s="31" customFormat="1" ht="16.5" thickBot="1" x14ac:dyDescent="0.3">
      <c r="A98" s="126" t="s">
        <v>279</v>
      </c>
      <c r="B98" s="126"/>
      <c r="C98" s="163">
        <f>COUNT(F114:F115)+COUNT(F119:F120)*4+COUNT(F124:F125)+COUNT(F129:F132)+COUNT(F135:F137)+COUNT(F139:F142)*4+COUNT(F144:F146)*3+COUNT(F149:F150)</f>
        <v>46</v>
      </c>
      <c r="D98" s="163"/>
      <c r="E98" s="111">
        <f>SUM(F114:F115)+SUM(F119:F120)*4+SUM(F124:F125)+SUM(F129:F132)+SUM(F135:F137)+SUM(F139:F142)*4+SUM(F144:F146)*3+SUM(F149:F150)</f>
        <v>31553.266680000004</v>
      </c>
      <c r="F98" s="111"/>
      <c r="G98" s="111">
        <f>SUM(H114:H115)+SUM(H119:H120)*4+SUM(H124:H125)+SUM(H129:H132)+SUM(H135:H137)+SUM(H139:H142)*4+SUM(H144:H146)*3+SUM(H149:H150)</f>
        <v>47329.900020000001</v>
      </c>
      <c r="H98" s="111"/>
    </row>
    <row r="99" spans="1:14" s="31" customFormat="1" ht="16.5" thickBot="1" x14ac:dyDescent="0.3">
      <c r="A99" s="116" t="s">
        <v>165</v>
      </c>
      <c r="B99" s="117"/>
      <c r="C99" s="118">
        <f>C95+C98</f>
        <v>50</v>
      </c>
      <c r="D99" s="119"/>
      <c r="E99" s="118">
        <f t="shared" ref="E99" si="0">E95+E98</f>
        <v>32889.831483600006</v>
      </c>
      <c r="F99" s="119"/>
      <c r="G99" s="118">
        <f t="shared" ref="G99" si="1">G95+G98</f>
        <v>49401.575465579997</v>
      </c>
      <c r="H99" s="119"/>
    </row>
    <row r="100" spans="1:14" s="30" customFormat="1" x14ac:dyDescent="0.25">
      <c r="A100" s="176" t="s">
        <v>56</v>
      </c>
      <c r="B100" s="176"/>
      <c r="C100" s="176"/>
      <c r="D100" s="176"/>
      <c r="E100" s="176"/>
      <c r="F100" s="176"/>
      <c r="G100" s="176"/>
      <c r="H100" s="176"/>
    </row>
    <row r="101" spans="1:14" x14ac:dyDescent="0.25">
      <c r="A101" s="97" t="s">
        <v>173</v>
      </c>
      <c r="B101" s="97"/>
      <c r="C101" s="97"/>
      <c r="D101" s="97"/>
      <c r="E101" s="97"/>
      <c r="F101" s="97"/>
      <c r="G101" s="97"/>
      <c r="H101" s="97"/>
    </row>
    <row r="102" spans="1:14" ht="47.25" customHeight="1" x14ac:dyDescent="0.25">
      <c r="A102" s="109" t="s">
        <v>119</v>
      </c>
      <c r="B102" s="109" t="s">
        <v>175</v>
      </c>
      <c r="C102" s="109" t="s">
        <v>57</v>
      </c>
      <c r="D102" s="109" t="s">
        <v>231</v>
      </c>
      <c r="E102" s="120" t="s">
        <v>154</v>
      </c>
      <c r="F102" s="109" t="s">
        <v>58</v>
      </c>
      <c r="G102" s="120" t="s">
        <v>59</v>
      </c>
      <c r="H102" s="47" t="s">
        <v>149</v>
      </c>
    </row>
    <row r="103" spans="1:14" s="33" customFormat="1" x14ac:dyDescent="0.25">
      <c r="A103" s="110"/>
      <c r="B103" s="110"/>
      <c r="C103" s="110"/>
      <c r="D103" s="110"/>
      <c r="E103" s="121"/>
      <c r="F103" s="110"/>
      <c r="G103" s="121"/>
      <c r="H103" s="13">
        <v>0.55000000000000004</v>
      </c>
    </row>
    <row r="104" spans="1:14" s="33" customFormat="1" x14ac:dyDescent="0.25">
      <c r="A104" s="113" t="s">
        <v>287</v>
      </c>
      <c r="B104" s="114"/>
      <c r="C104" s="114"/>
      <c r="D104" s="114"/>
      <c r="E104" s="114"/>
      <c r="F104" s="114"/>
      <c r="G104" s="114"/>
      <c r="H104" s="115"/>
      <c r="J104" s="32"/>
    </row>
    <row r="105" spans="1:14" s="33" customFormat="1" x14ac:dyDescent="0.25">
      <c r="A105" s="113" t="s">
        <v>260</v>
      </c>
      <c r="B105" s="114"/>
      <c r="C105" s="114"/>
      <c r="D105" s="114"/>
      <c r="E105" s="114"/>
      <c r="F105" s="114"/>
      <c r="G105" s="114"/>
      <c r="H105" s="115"/>
      <c r="J105" s="32"/>
    </row>
    <row r="106" spans="1:14" s="33" customFormat="1" ht="15.75" customHeight="1" x14ac:dyDescent="0.25">
      <c r="A106" s="62">
        <v>1</v>
      </c>
      <c r="B106" s="64"/>
      <c r="C106" s="38" t="s">
        <v>261</v>
      </c>
      <c r="D106" s="38">
        <f>(3.26*8.11+2.05*1+1.11*0.9)*10.764</f>
        <v>317.40452639999995</v>
      </c>
      <c r="E106" s="38">
        <v>0</v>
      </c>
      <c r="F106" s="38">
        <f>D106+E106</f>
        <v>317.40452639999995</v>
      </c>
      <c r="G106" s="38">
        <v>0</v>
      </c>
      <c r="H106" s="38">
        <f>(D106+E106)*(($H$103)+1)</f>
        <v>491.97701591999993</v>
      </c>
      <c r="I106" s="32"/>
      <c r="L106" s="60"/>
      <c r="M106" s="60"/>
      <c r="N106" s="32"/>
    </row>
    <row r="107" spans="1:14" s="33" customFormat="1" ht="15.75" customHeight="1" x14ac:dyDescent="0.25">
      <c r="A107" s="62">
        <f t="shared" ref="A107:A109" si="2">A106+1</f>
        <v>2</v>
      </c>
      <c r="B107" s="64"/>
      <c r="C107" s="38" t="s">
        <v>261</v>
      </c>
      <c r="D107" s="38">
        <f>(2.84*6.38+3.4*3.81+3.17*0.46+2.06*0.98+1.2*0.98)*10.764</f>
        <v>384.55681679999998</v>
      </c>
      <c r="E107" s="38">
        <v>0</v>
      </c>
      <c r="F107" s="38">
        <f t="shared" ref="F107:F109" si="3">D107+E107</f>
        <v>384.55681679999998</v>
      </c>
      <c r="G107" s="38">
        <v>0</v>
      </c>
      <c r="H107" s="38">
        <f t="shared" ref="H107:H109" si="4">(D107+E107)*(($H$103)+1)</f>
        <v>596.06306603999997</v>
      </c>
      <c r="I107" s="32"/>
      <c r="L107" s="60"/>
      <c r="M107" s="60"/>
      <c r="N107" s="32"/>
    </row>
    <row r="108" spans="1:14" s="33" customFormat="1" ht="15.75" customHeight="1" x14ac:dyDescent="0.25">
      <c r="A108" s="62">
        <f t="shared" si="2"/>
        <v>3</v>
      </c>
      <c r="B108" s="64"/>
      <c r="C108" s="38" t="s">
        <v>261</v>
      </c>
      <c r="D108" s="38">
        <f>(5.57*4.53+1.15*2.72+1.05*0.95)*10.764</f>
        <v>316.00520640000002</v>
      </c>
      <c r="E108" s="38">
        <v>0</v>
      </c>
      <c r="F108" s="38">
        <f t="shared" si="3"/>
        <v>316.00520640000002</v>
      </c>
      <c r="G108" s="38">
        <v>0</v>
      </c>
      <c r="H108" s="38">
        <f t="shared" si="4"/>
        <v>489.80806992000004</v>
      </c>
      <c r="I108" s="32"/>
      <c r="L108" s="60"/>
      <c r="M108" s="60"/>
      <c r="N108" s="32"/>
    </row>
    <row r="109" spans="1:14" s="33" customFormat="1" ht="15.75" customHeight="1" x14ac:dyDescent="0.25">
      <c r="A109" s="62">
        <f t="shared" si="2"/>
        <v>4</v>
      </c>
      <c r="B109" s="64"/>
      <c r="C109" s="38" t="s">
        <v>261</v>
      </c>
      <c r="D109" s="38">
        <f>(2*6.29+5.4*2.81+0.35*0.77+1.05*1.5)*10.764</f>
        <v>318.598254</v>
      </c>
      <c r="E109" s="38">
        <v>0</v>
      </c>
      <c r="F109" s="38">
        <f t="shared" si="3"/>
        <v>318.598254</v>
      </c>
      <c r="G109" s="38">
        <v>0</v>
      </c>
      <c r="H109" s="38">
        <f t="shared" si="4"/>
        <v>493.82729369999998</v>
      </c>
      <c r="I109" s="32"/>
      <c r="L109" s="60"/>
      <c r="M109" s="60"/>
      <c r="N109" s="32"/>
    </row>
    <row r="110" spans="1:14" s="33" customFormat="1" x14ac:dyDescent="0.25">
      <c r="A110" s="62"/>
      <c r="B110" s="63"/>
      <c r="C110" s="63"/>
      <c r="D110" s="63"/>
      <c r="E110" s="63"/>
      <c r="F110" s="63"/>
      <c r="G110" s="63"/>
      <c r="H110" s="64"/>
      <c r="I110" s="32"/>
      <c r="N110" s="32"/>
    </row>
    <row r="111" spans="1:14" ht="47.25" customHeight="1" x14ac:dyDescent="0.25">
      <c r="A111" s="174" t="s">
        <v>120</v>
      </c>
      <c r="B111" s="109" t="s">
        <v>176</v>
      </c>
      <c r="C111" s="109" t="s">
        <v>57</v>
      </c>
      <c r="D111" s="109" t="s">
        <v>280</v>
      </c>
      <c r="E111" s="109" t="s">
        <v>230</v>
      </c>
      <c r="F111" s="109" t="s">
        <v>58</v>
      </c>
      <c r="G111" s="120" t="s">
        <v>59</v>
      </c>
      <c r="H111" s="47" t="s">
        <v>149</v>
      </c>
      <c r="I111" s="32"/>
    </row>
    <row r="112" spans="1:14" s="33" customFormat="1" x14ac:dyDescent="0.25">
      <c r="A112" s="175"/>
      <c r="B112" s="110"/>
      <c r="C112" s="110"/>
      <c r="D112" s="110"/>
      <c r="E112" s="110"/>
      <c r="F112" s="110"/>
      <c r="G112" s="121"/>
      <c r="H112" s="13">
        <v>0.5</v>
      </c>
      <c r="I112" s="32"/>
    </row>
    <row r="113" spans="1:14" s="33" customFormat="1" x14ac:dyDescent="0.25">
      <c r="A113" s="113" t="s">
        <v>262</v>
      </c>
      <c r="B113" s="114"/>
      <c r="C113" s="114"/>
      <c r="D113" s="114"/>
      <c r="E113" s="114"/>
      <c r="F113" s="114"/>
      <c r="G113" s="114"/>
      <c r="H113" s="115"/>
      <c r="J113" s="32"/>
    </row>
    <row r="114" spans="1:14" s="33" customFormat="1" ht="15.75" customHeight="1" x14ac:dyDescent="0.25">
      <c r="A114" s="62">
        <v>1</v>
      </c>
      <c r="B114" s="64"/>
      <c r="C114" s="38" t="s">
        <v>263</v>
      </c>
      <c r="D114" s="38">
        <f>(61.96)*10.764</f>
        <v>666.93743999999992</v>
      </c>
      <c r="E114" s="38">
        <v>0</v>
      </c>
      <c r="F114" s="38">
        <f>D114+E114</f>
        <v>666.93743999999992</v>
      </c>
      <c r="G114" s="38">
        <v>0</v>
      </c>
      <c r="H114" s="38">
        <f>F114*(($H$112)+1)+(IF(G114&lt;101,G114,IF(G114&lt;201,G114/2,IF(G114&lt;=301,G114/3,G114/4))))</f>
        <v>1000.4061599999999</v>
      </c>
      <c r="I114" s="32">
        <f>4.9*3.27+2.6*2.5+3.15*3.45+0.9*1.35+2.9*3.5+1.75*1.2+2.1*1.2+1.75*1.91+3.46*0.54+1*3.41</f>
        <v>57.996400000000008</v>
      </c>
      <c r="J114" s="33">
        <v>723</v>
      </c>
      <c r="K114" s="33">
        <f>J114/F114</f>
        <v>1.0840596983129334</v>
      </c>
      <c r="L114" s="60"/>
      <c r="M114" s="60"/>
      <c r="N114" s="32"/>
    </row>
    <row r="115" spans="1:14" s="33" customFormat="1" ht="15.75" customHeight="1" x14ac:dyDescent="0.25">
      <c r="A115" s="62">
        <f t="shared" ref="A115:A117" si="5">A114+1</f>
        <v>2</v>
      </c>
      <c r="B115" s="64"/>
      <c r="C115" s="38" t="s">
        <v>264</v>
      </c>
      <c r="D115" s="38">
        <f>(56.48)*10.764</f>
        <v>607.95071999999993</v>
      </c>
      <c r="E115" s="38">
        <v>0</v>
      </c>
      <c r="F115" s="38">
        <f t="shared" ref="F115" si="6">D115+E115</f>
        <v>607.95071999999993</v>
      </c>
      <c r="G115" s="38">
        <v>0</v>
      </c>
      <c r="H115" s="38">
        <f>F115*(($H$112)+1)+(IF(G115&lt;101,G115,IF(G115&lt;201,G115/2,IF(G115&lt;=301,G115/3,G115/4))))</f>
        <v>911.92607999999996</v>
      </c>
      <c r="I115" s="32"/>
      <c r="J115" s="33">
        <v>662</v>
      </c>
      <c r="K115" s="33">
        <f>J115/F115</f>
        <v>1.0889040480123127</v>
      </c>
      <c r="L115" s="60"/>
      <c r="M115" s="60"/>
      <c r="N115" s="32"/>
    </row>
    <row r="116" spans="1:14" s="33" customFormat="1" ht="15.75" customHeight="1" x14ac:dyDescent="0.25">
      <c r="A116" s="62">
        <f t="shared" si="5"/>
        <v>3</v>
      </c>
      <c r="B116" s="64"/>
      <c r="C116" s="73" t="s">
        <v>265</v>
      </c>
      <c r="D116" s="74"/>
      <c r="E116" s="74"/>
      <c r="F116" s="74"/>
      <c r="G116" s="74"/>
      <c r="H116" s="75"/>
      <c r="I116" s="32"/>
      <c r="L116" s="60"/>
      <c r="M116" s="60"/>
      <c r="N116" s="32"/>
    </row>
    <row r="117" spans="1:14" s="33" customFormat="1" ht="15.75" customHeight="1" x14ac:dyDescent="0.25">
      <c r="A117" s="62">
        <f t="shared" si="5"/>
        <v>4</v>
      </c>
      <c r="B117" s="64"/>
      <c r="C117" s="76"/>
      <c r="D117" s="77"/>
      <c r="E117" s="77"/>
      <c r="F117" s="77"/>
      <c r="G117" s="77"/>
      <c r="H117" s="78"/>
      <c r="I117" s="32"/>
      <c r="L117" s="60"/>
      <c r="M117" s="60"/>
      <c r="N117" s="32"/>
    </row>
    <row r="118" spans="1:14" s="33" customFormat="1" x14ac:dyDescent="0.25">
      <c r="A118" s="65" t="s">
        <v>266</v>
      </c>
      <c r="B118" s="65"/>
      <c r="C118" s="65"/>
      <c r="D118" s="65"/>
      <c r="E118" s="65"/>
      <c r="F118" s="65"/>
      <c r="G118" s="65"/>
      <c r="H118" s="65"/>
      <c r="I118" s="32"/>
      <c r="L118" s="60"/>
      <c r="M118" s="60"/>
    </row>
    <row r="119" spans="1:14" s="33" customFormat="1" x14ac:dyDescent="0.25">
      <c r="A119" s="61">
        <v>1</v>
      </c>
      <c r="B119" s="61"/>
      <c r="C119" s="38" t="s">
        <v>263</v>
      </c>
      <c r="D119" s="38">
        <f>(61.96)*10.764</f>
        <v>666.93743999999992</v>
      </c>
      <c r="E119" s="38">
        <v>0</v>
      </c>
      <c r="F119" s="38">
        <f>D119+E119</f>
        <v>666.93743999999992</v>
      </c>
      <c r="G119" s="38">
        <v>0</v>
      </c>
      <c r="H119" s="38">
        <f>F119*(($H$112)+1)+(IF(G119&lt;101,G119,IF(G119&lt;201,G119/2,IF(G119&lt;=301,G119/3,G119/4))))</f>
        <v>1000.4061599999999</v>
      </c>
      <c r="I119" s="32"/>
      <c r="N119" s="32"/>
    </row>
    <row r="120" spans="1:14" s="33" customFormat="1" x14ac:dyDescent="0.25">
      <c r="A120" s="61">
        <f>A119+1</f>
        <v>2</v>
      </c>
      <c r="B120" s="61"/>
      <c r="C120" s="38" t="s">
        <v>264</v>
      </c>
      <c r="D120" s="38">
        <f>(56.48)*10.764</f>
        <v>607.95071999999993</v>
      </c>
      <c r="E120" s="38">
        <v>0</v>
      </c>
      <c r="F120" s="38">
        <f t="shared" ref="F120" si="7">D120+E120</f>
        <v>607.95071999999993</v>
      </c>
      <c r="G120" s="38">
        <v>0</v>
      </c>
      <c r="H120" s="38">
        <f>F120*(($H$112)+1)+(IF(G120&lt;101,G120,IF(G120&lt;201,G120/2,IF(G120&lt;=301,G120/3,G120/4))))</f>
        <v>911.92607999999996</v>
      </c>
      <c r="I120" s="32"/>
      <c r="N120" s="32"/>
    </row>
    <row r="121" spans="1:14" s="33" customFormat="1" x14ac:dyDescent="0.25">
      <c r="A121" s="61">
        <f>A120+1</f>
        <v>3</v>
      </c>
      <c r="B121" s="61"/>
      <c r="C121" s="73" t="s">
        <v>265</v>
      </c>
      <c r="D121" s="74"/>
      <c r="E121" s="74"/>
      <c r="F121" s="74"/>
      <c r="G121" s="74"/>
      <c r="H121" s="75"/>
      <c r="I121" s="32"/>
      <c r="N121" s="32"/>
    </row>
    <row r="122" spans="1:14" s="33" customFormat="1" x14ac:dyDescent="0.25">
      <c r="A122" s="61">
        <f>A121+1</f>
        <v>4</v>
      </c>
      <c r="B122" s="61"/>
      <c r="C122" s="76"/>
      <c r="D122" s="77"/>
      <c r="E122" s="77"/>
      <c r="F122" s="77"/>
      <c r="G122" s="77"/>
      <c r="H122" s="78"/>
      <c r="I122" s="32"/>
      <c r="N122" s="32"/>
    </row>
    <row r="123" spans="1:14" s="33" customFormat="1" x14ac:dyDescent="0.25">
      <c r="A123" s="65" t="s">
        <v>267</v>
      </c>
      <c r="B123" s="65"/>
      <c r="C123" s="65"/>
      <c r="D123" s="65"/>
      <c r="E123" s="65"/>
      <c r="F123" s="65"/>
      <c r="G123" s="65"/>
      <c r="H123" s="65"/>
      <c r="I123" s="32"/>
      <c r="L123" s="60"/>
      <c r="M123" s="60"/>
    </row>
    <row r="124" spans="1:14" s="33" customFormat="1" x14ac:dyDescent="0.25">
      <c r="A124" s="61">
        <v>1</v>
      </c>
      <c r="B124" s="61"/>
      <c r="C124" s="38" t="s">
        <v>268</v>
      </c>
      <c r="D124" s="38">
        <f>(73.48)*10.764</f>
        <v>790.93871999999999</v>
      </c>
      <c r="E124" s="38">
        <v>0</v>
      </c>
      <c r="F124" s="38">
        <f>D124+E124</f>
        <v>790.93871999999999</v>
      </c>
      <c r="G124" s="38">
        <v>0</v>
      </c>
      <c r="H124" s="38">
        <f>F124*(($H$112)+1)+(IF(G124&lt;101,G124,IF(G124&lt;201,G124/2,IF(G124&lt;=301,G124/3,G124/4))))</f>
        <v>1186.4080799999999</v>
      </c>
      <c r="I124" s="32"/>
      <c r="J124" s="33">
        <v>851</v>
      </c>
      <c r="K124" s="33">
        <f>J124/F124</f>
        <v>1.0759367046792196</v>
      </c>
      <c r="N124" s="32"/>
    </row>
    <row r="125" spans="1:14" s="33" customFormat="1" x14ac:dyDescent="0.25">
      <c r="A125" s="61">
        <f>A124+1</f>
        <v>2</v>
      </c>
      <c r="B125" s="61"/>
      <c r="C125" s="38" t="s">
        <v>268</v>
      </c>
      <c r="D125" s="38">
        <f>(73.55)*10.764</f>
        <v>791.69219999999996</v>
      </c>
      <c r="E125" s="38">
        <v>0</v>
      </c>
      <c r="F125" s="38">
        <f t="shared" ref="F125" si="8">D125+E125</f>
        <v>791.69219999999996</v>
      </c>
      <c r="G125" s="38">
        <v>0</v>
      </c>
      <c r="H125" s="38">
        <f t="shared" ref="H125" si="9">F125*(($H$112)+1)+(IF(G125&lt;101,G125,IF(G125&lt;201,G125/2,IF(G125&lt;=301,G125/3,G125/4))))</f>
        <v>1187.5382999999999</v>
      </c>
      <c r="I125" s="32"/>
      <c r="N125" s="32"/>
    </row>
    <row r="126" spans="1:14" s="33" customFormat="1" x14ac:dyDescent="0.25">
      <c r="A126" s="61">
        <f>A125+1</f>
        <v>3</v>
      </c>
      <c r="B126" s="61"/>
      <c r="C126" s="73" t="s">
        <v>265</v>
      </c>
      <c r="D126" s="74"/>
      <c r="E126" s="74"/>
      <c r="F126" s="74"/>
      <c r="G126" s="74"/>
      <c r="H126" s="75"/>
      <c r="I126" s="32"/>
      <c r="N126" s="32"/>
    </row>
    <row r="127" spans="1:14" s="33" customFormat="1" x14ac:dyDescent="0.25">
      <c r="A127" s="61">
        <f>A126+1</f>
        <v>4</v>
      </c>
      <c r="B127" s="61"/>
      <c r="C127" s="76"/>
      <c r="D127" s="77"/>
      <c r="E127" s="77"/>
      <c r="F127" s="77"/>
      <c r="G127" s="77"/>
      <c r="H127" s="78"/>
      <c r="I127" s="32"/>
      <c r="N127" s="32"/>
    </row>
    <row r="128" spans="1:14" s="33" customFormat="1" x14ac:dyDescent="0.25">
      <c r="A128" s="65" t="s">
        <v>269</v>
      </c>
      <c r="B128" s="65"/>
      <c r="C128" s="65"/>
      <c r="D128" s="65"/>
      <c r="E128" s="65"/>
      <c r="F128" s="65"/>
      <c r="G128" s="65"/>
      <c r="H128" s="65"/>
      <c r="I128" s="32"/>
      <c r="L128" s="60"/>
      <c r="M128" s="60"/>
    </row>
    <row r="129" spans="1:14" s="33" customFormat="1" x14ac:dyDescent="0.25">
      <c r="A129" s="61">
        <v>1</v>
      </c>
      <c r="B129" s="61"/>
      <c r="C129" s="38" t="s">
        <v>268</v>
      </c>
      <c r="D129" s="38">
        <f>(73.48)*10.764</f>
        <v>790.93871999999999</v>
      </c>
      <c r="E129" s="38">
        <v>0</v>
      </c>
      <c r="F129" s="38">
        <f>D129+E129</f>
        <v>790.93871999999999</v>
      </c>
      <c r="G129" s="38">
        <v>0</v>
      </c>
      <c r="H129" s="38">
        <f>F129*(($H$112)+1)+(IF(G129&lt;101,G129,IF(G129&lt;201,G129/2,IF(G129&lt;=301,G129/3,G129/4))))</f>
        <v>1186.4080799999999</v>
      </c>
      <c r="I129" s="32"/>
      <c r="N129" s="32"/>
    </row>
    <row r="130" spans="1:14" s="33" customFormat="1" x14ac:dyDescent="0.25">
      <c r="A130" s="61">
        <f>A129+1</f>
        <v>2</v>
      </c>
      <c r="B130" s="61"/>
      <c r="C130" s="38" t="s">
        <v>268</v>
      </c>
      <c r="D130" s="38">
        <f>(73.55)*10.764</f>
        <v>791.69219999999996</v>
      </c>
      <c r="E130" s="38">
        <v>0</v>
      </c>
      <c r="F130" s="38">
        <f t="shared" ref="F130" si="10">D130+E130</f>
        <v>791.69219999999996</v>
      </c>
      <c r="G130" s="38">
        <v>0</v>
      </c>
      <c r="H130" s="38">
        <f t="shared" ref="H130" si="11">F130*(($H$112)+1)+(IF(G130&lt;101,G130,IF(G130&lt;201,G130/2,IF(G130&lt;=301,G130/3,G130/4))))</f>
        <v>1187.5382999999999</v>
      </c>
      <c r="I130" s="32"/>
      <c r="N130" s="32"/>
    </row>
    <row r="131" spans="1:14" s="33" customFormat="1" ht="15.75" customHeight="1" x14ac:dyDescent="0.25">
      <c r="A131" s="61">
        <f>A130+1</f>
        <v>3</v>
      </c>
      <c r="B131" s="61"/>
      <c r="C131" s="48" t="s">
        <v>270</v>
      </c>
      <c r="D131" s="38">
        <f>(43.41)*10.764</f>
        <v>467.26523999999995</v>
      </c>
      <c r="E131" s="38">
        <v>0</v>
      </c>
      <c r="F131" s="38">
        <f>D131+E131</f>
        <v>467.26523999999995</v>
      </c>
      <c r="G131" s="38">
        <v>0</v>
      </c>
      <c r="H131" s="38">
        <f>F131*(($H$112)+1)+(IF(G131&lt;101,G131,IF(G131&lt;201,G131/2,IF(G131&lt;=301,G131/3,G131/4))))</f>
        <v>700.89785999999992</v>
      </c>
      <c r="I131" s="32"/>
      <c r="J131" s="33">
        <v>516</v>
      </c>
      <c r="K131" s="33">
        <f>J131/F131</f>
        <v>1.1042978501888994</v>
      </c>
      <c r="N131" s="32"/>
    </row>
    <row r="132" spans="1:14" s="33" customFormat="1" x14ac:dyDescent="0.25">
      <c r="A132" s="61">
        <f>A131+1</f>
        <v>4</v>
      </c>
      <c r="B132" s="61"/>
      <c r="C132" s="48" t="s">
        <v>270</v>
      </c>
      <c r="D132" s="38">
        <f>(43.15)*10.764</f>
        <v>464.46659999999997</v>
      </c>
      <c r="E132" s="38">
        <v>0</v>
      </c>
      <c r="F132" s="38">
        <f t="shared" ref="F132" si="12">D132+E132</f>
        <v>464.46659999999997</v>
      </c>
      <c r="G132" s="38">
        <v>0</v>
      </c>
      <c r="H132" s="38">
        <f t="shared" ref="H132" si="13">F132*(($H$112)+1)+(IF(G132&lt;101,G132,IF(G132&lt;201,G132/2,IF(G132&lt;=301,G132/3,G132/4))))</f>
        <v>696.69989999999996</v>
      </c>
      <c r="I132" s="32"/>
      <c r="J132" s="33">
        <v>516</v>
      </c>
      <c r="N132" s="32"/>
    </row>
    <row r="133" spans="1:14" s="33" customFormat="1" x14ac:dyDescent="0.25">
      <c r="A133" s="65" t="s">
        <v>281</v>
      </c>
      <c r="B133" s="65"/>
      <c r="C133" s="65"/>
      <c r="D133" s="65"/>
      <c r="E133" s="65"/>
      <c r="F133" s="65"/>
      <c r="G133" s="65"/>
      <c r="H133" s="65"/>
      <c r="I133" s="32"/>
      <c r="L133" s="60"/>
      <c r="M133" s="60"/>
    </row>
    <row r="134" spans="1:14" s="33" customFormat="1" x14ac:dyDescent="0.25">
      <c r="A134" s="61">
        <v>1</v>
      </c>
      <c r="B134" s="61"/>
      <c r="C134" s="62" t="s">
        <v>271</v>
      </c>
      <c r="D134" s="63"/>
      <c r="E134" s="63"/>
      <c r="F134" s="63"/>
      <c r="G134" s="63"/>
      <c r="H134" s="64"/>
      <c r="I134" s="32"/>
      <c r="N134" s="32"/>
    </row>
    <row r="135" spans="1:14" s="33" customFormat="1" x14ac:dyDescent="0.25">
      <c r="A135" s="61">
        <f>A134+1</f>
        <v>2</v>
      </c>
      <c r="B135" s="61"/>
      <c r="C135" s="38" t="s">
        <v>268</v>
      </c>
      <c r="D135" s="38">
        <f>(73.55)*10.764</f>
        <v>791.69219999999996</v>
      </c>
      <c r="E135" s="38">
        <v>0</v>
      </c>
      <c r="F135" s="38">
        <f t="shared" ref="F135" si="14">D135+E135</f>
        <v>791.69219999999996</v>
      </c>
      <c r="G135" s="38">
        <v>0</v>
      </c>
      <c r="H135" s="38">
        <f t="shared" ref="H135" si="15">F135*(($H$112)+1)+(IF(G135&lt;101,G135,IF(G135&lt;201,G135/2,IF(G135&lt;=301,G135/3,G135/4))))</f>
        <v>1187.5382999999999</v>
      </c>
      <c r="I135" s="32"/>
      <c r="N135" s="32"/>
    </row>
    <row r="136" spans="1:14" s="33" customFormat="1" ht="15.75" customHeight="1" x14ac:dyDescent="0.25">
      <c r="A136" s="61">
        <f>A135+1</f>
        <v>3</v>
      </c>
      <c r="B136" s="61"/>
      <c r="C136" s="48" t="s">
        <v>270</v>
      </c>
      <c r="D136" s="38">
        <f>(43.41)*10.764</f>
        <v>467.26523999999995</v>
      </c>
      <c r="E136" s="38">
        <v>0</v>
      </c>
      <c r="F136" s="38">
        <f>D136+E136</f>
        <v>467.26523999999995</v>
      </c>
      <c r="G136" s="38">
        <v>0</v>
      </c>
      <c r="H136" s="38">
        <f>F136*(($H$112)+1)+(IF(G136&lt;101,G136,IF(G136&lt;201,G136/2,IF(G136&lt;=301,G136/3,G136/4))))</f>
        <v>700.89785999999992</v>
      </c>
      <c r="I136" s="32"/>
      <c r="J136" s="33">
        <v>516</v>
      </c>
      <c r="N136" s="32"/>
    </row>
    <row r="137" spans="1:14" s="33" customFormat="1" x14ac:dyDescent="0.25">
      <c r="A137" s="61">
        <f>A136+1</f>
        <v>4</v>
      </c>
      <c r="B137" s="61"/>
      <c r="C137" s="48" t="s">
        <v>270</v>
      </c>
      <c r="D137" s="38">
        <f>(43.15)*10.764</f>
        <v>464.46659999999997</v>
      </c>
      <c r="E137" s="38">
        <v>0</v>
      </c>
      <c r="F137" s="38">
        <f t="shared" ref="F137" si="16">D137+E137</f>
        <v>464.46659999999997</v>
      </c>
      <c r="G137" s="38">
        <v>0</v>
      </c>
      <c r="H137" s="38">
        <f t="shared" ref="H137" si="17">F137*(($H$112)+1)+(IF(G137&lt;101,G137,IF(G137&lt;201,G137/2,IF(G137&lt;=301,G137/3,G137/4))))</f>
        <v>696.69989999999996</v>
      </c>
      <c r="I137" s="32"/>
      <c r="J137" s="33">
        <v>516</v>
      </c>
      <c r="N137" s="32"/>
    </row>
    <row r="138" spans="1:14" s="33" customFormat="1" x14ac:dyDescent="0.25">
      <c r="A138" s="65" t="s">
        <v>272</v>
      </c>
      <c r="B138" s="65"/>
      <c r="C138" s="65"/>
      <c r="D138" s="65"/>
      <c r="E138" s="65"/>
      <c r="F138" s="65"/>
      <c r="G138" s="65"/>
      <c r="H138" s="65"/>
      <c r="I138" s="32"/>
      <c r="L138" s="60"/>
      <c r="M138" s="60"/>
    </row>
    <row r="139" spans="1:14" s="33" customFormat="1" x14ac:dyDescent="0.25">
      <c r="A139" s="61">
        <v>1</v>
      </c>
      <c r="B139" s="61"/>
      <c r="C139" s="38" t="s">
        <v>268</v>
      </c>
      <c r="D139" s="38">
        <f>(73.48)*10.764</f>
        <v>790.93871999999999</v>
      </c>
      <c r="E139" s="38">
        <v>0</v>
      </c>
      <c r="F139" s="38">
        <f>D139+E139</f>
        <v>790.93871999999999</v>
      </c>
      <c r="G139" s="38">
        <v>0</v>
      </c>
      <c r="H139" s="38">
        <f>F139*(($H$112)+1)+(IF(G139&lt;101,G139,IF(G139&lt;201,G139/2,IF(G139&lt;=301,G139/3,G139/4))))</f>
        <v>1186.4080799999999</v>
      </c>
      <c r="I139" s="32"/>
      <c r="N139" s="32"/>
    </row>
    <row r="140" spans="1:14" s="33" customFormat="1" x14ac:dyDescent="0.25">
      <c r="A140" s="61">
        <f>A139+1</f>
        <v>2</v>
      </c>
      <c r="B140" s="61"/>
      <c r="C140" s="38" t="s">
        <v>268</v>
      </c>
      <c r="D140" s="38">
        <f>(73.55)*10.764</f>
        <v>791.69219999999996</v>
      </c>
      <c r="E140" s="38">
        <v>0</v>
      </c>
      <c r="F140" s="38">
        <f t="shared" ref="F140" si="18">D140+E140</f>
        <v>791.69219999999996</v>
      </c>
      <c r="G140" s="38">
        <v>0</v>
      </c>
      <c r="H140" s="38">
        <f t="shared" ref="H140" si="19">F140*(($H$112)+1)+(IF(G140&lt;101,G140,IF(G140&lt;201,G140/2,IF(G140&lt;=301,G140/3,G140/4))))</f>
        <v>1187.5382999999999</v>
      </c>
      <c r="I140" s="32"/>
      <c r="N140" s="32"/>
    </row>
    <row r="141" spans="1:14" s="33" customFormat="1" ht="15.75" customHeight="1" x14ac:dyDescent="0.25">
      <c r="A141" s="61">
        <f>A140+1</f>
        <v>3</v>
      </c>
      <c r="B141" s="61"/>
      <c r="C141" s="48" t="s">
        <v>270</v>
      </c>
      <c r="D141" s="38">
        <f>(43.41)*10.764</f>
        <v>467.26523999999995</v>
      </c>
      <c r="E141" s="38">
        <v>0</v>
      </c>
      <c r="F141" s="38">
        <f>D141+E141</f>
        <v>467.26523999999995</v>
      </c>
      <c r="G141" s="38">
        <v>0</v>
      </c>
      <c r="H141" s="38">
        <f>F141*(($H$112)+1)+(IF(G141&lt;101,G141,IF(G141&lt;201,G141/2,IF(G141&lt;=301,G141/3,G141/4))))</f>
        <v>700.89785999999992</v>
      </c>
      <c r="I141" s="32"/>
      <c r="J141" s="33">
        <v>516</v>
      </c>
      <c r="N141" s="32"/>
    </row>
    <row r="142" spans="1:14" s="33" customFormat="1" x14ac:dyDescent="0.25">
      <c r="A142" s="61">
        <f>A141+1</f>
        <v>4</v>
      </c>
      <c r="B142" s="61"/>
      <c r="C142" s="48" t="s">
        <v>270</v>
      </c>
      <c r="D142" s="38">
        <f>(43.15)*10.764</f>
        <v>464.46659999999997</v>
      </c>
      <c r="E142" s="38">
        <v>0</v>
      </c>
      <c r="F142" s="38">
        <f t="shared" ref="F142" si="20">D142+E142</f>
        <v>464.46659999999997</v>
      </c>
      <c r="G142" s="38">
        <v>0</v>
      </c>
      <c r="H142" s="38">
        <f t="shared" ref="H142" si="21">F142*(($H$112)+1)+(IF(G142&lt;101,G142,IF(G142&lt;201,G142/2,IF(G142&lt;=301,G142/3,G142/4))))</f>
        <v>696.69989999999996</v>
      </c>
      <c r="I142" s="32"/>
      <c r="J142" s="33">
        <v>516</v>
      </c>
      <c r="N142" s="32"/>
    </row>
    <row r="143" spans="1:14" s="33" customFormat="1" x14ac:dyDescent="0.25">
      <c r="A143" s="65" t="s">
        <v>273</v>
      </c>
      <c r="B143" s="65"/>
      <c r="C143" s="65"/>
      <c r="D143" s="65"/>
      <c r="E143" s="65"/>
      <c r="F143" s="65"/>
      <c r="G143" s="65"/>
      <c r="H143" s="65"/>
      <c r="I143" s="32"/>
      <c r="L143" s="60"/>
      <c r="M143" s="60"/>
    </row>
    <row r="144" spans="1:14" s="33" customFormat="1" x14ac:dyDescent="0.25">
      <c r="A144" s="61">
        <v>1</v>
      </c>
      <c r="B144" s="61"/>
      <c r="C144" s="38" t="s">
        <v>268</v>
      </c>
      <c r="D144" s="38">
        <f>(73.48)*10.764</f>
        <v>790.93871999999999</v>
      </c>
      <c r="E144" s="38">
        <v>0</v>
      </c>
      <c r="F144" s="38">
        <f>D144+E144</f>
        <v>790.93871999999999</v>
      </c>
      <c r="G144" s="38">
        <v>0</v>
      </c>
      <c r="H144" s="38">
        <f>F144*(($H$112)+1)+(IF(G144&lt;101,G144,IF(G144&lt;201,G144/2,IF(G144&lt;=301,G144/3,G144/4))))</f>
        <v>1186.4080799999999</v>
      </c>
      <c r="I144" s="32"/>
      <c r="N144" s="32"/>
    </row>
    <row r="145" spans="1:14" s="33" customFormat="1" x14ac:dyDescent="0.25">
      <c r="A145" s="61">
        <f>A144+1</f>
        <v>2</v>
      </c>
      <c r="B145" s="61"/>
      <c r="C145" s="38" t="s">
        <v>268</v>
      </c>
      <c r="D145" s="38">
        <f>(73.55)*10.764</f>
        <v>791.69219999999996</v>
      </c>
      <c r="E145" s="38">
        <v>0</v>
      </c>
      <c r="F145" s="38">
        <f t="shared" ref="F145" si="22">D145+E145</f>
        <v>791.69219999999996</v>
      </c>
      <c r="G145" s="38">
        <v>0</v>
      </c>
      <c r="H145" s="38">
        <f t="shared" ref="H145" si="23">F145*(($H$112)+1)+(IF(G145&lt;101,G145,IF(G145&lt;201,G145/2,IF(G145&lt;=301,G145/3,G145/4))))</f>
        <v>1187.5382999999999</v>
      </c>
      <c r="I145" s="32"/>
      <c r="N145" s="32"/>
    </row>
    <row r="146" spans="1:14" s="33" customFormat="1" ht="15.75" customHeight="1" x14ac:dyDescent="0.25">
      <c r="A146" s="61">
        <f>A145+1</f>
        <v>3</v>
      </c>
      <c r="B146" s="61"/>
      <c r="C146" s="48" t="s">
        <v>274</v>
      </c>
      <c r="D146" s="38">
        <f>(87.36)*10.764</f>
        <v>940.34303999999997</v>
      </c>
      <c r="E146" s="38">
        <v>0</v>
      </c>
      <c r="F146" s="38">
        <f>D146+E146</f>
        <v>940.34303999999997</v>
      </c>
      <c r="G146" s="38">
        <v>0</v>
      </c>
      <c r="H146" s="38">
        <f>F146*(($H$112)+1)+(IF(G146&lt;101,G146,IF(G146&lt;201,G146/2,IF(G146&lt;=301,G146/3,G146/4))))</f>
        <v>1410.5145600000001</v>
      </c>
      <c r="I146" s="32"/>
      <c r="N146" s="32"/>
    </row>
    <row r="147" spans="1:14" s="33" customFormat="1" ht="15.75" customHeight="1" x14ac:dyDescent="0.25">
      <c r="A147" s="113" t="s">
        <v>282</v>
      </c>
      <c r="B147" s="114"/>
      <c r="C147" s="114"/>
      <c r="D147" s="114"/>
      <c r="E147" s="114"/>
      <c r="F147" s="114"/>
      <c r="G147" s="114"/>
      <c r="H147" s="115"/>
      <c r="I147" s="32"/>
    </row>
    <row r="148" spans="1:14" s="33" customFormat="1" ht="15.75" customHeight="1" x14ac:dyDescent="0.25">
      <c r="A148" s="62">
        <v>1</v>
      </c>
      <c r="B148" s="64"/>
      <c r="C148" s="62" t="s">
        <v>275</v>
      </c>
      <c r="D148" s="63"/>
      <c r="E148" s="63"/>
      <c r="F148" s="63"/>
      <c r="G148" s="63"/>
      <c r="H148" s="64"/>
      <c r="I148" s="32"/>
    </row>
    <row r="149" spans="1:14" s="33" customFormat="1" ht="15.75" customHeight="1" x14ac:dyDescent="0.25">
      <c r="A149" s="62">
        <f>A148+1</f>
        <v>2</v>
      </c>
      <c r="B149" s="64"/>
      <c r="C149" s="38" t="s">
        <v>268</v>
      </c>
      <c r="D149" s="38">
        <f>(73.55)*10.764</f>
        <v>791.69219999999996</v>
      </c>
      <c r="E149" s="38">
        <v>0</v>
      </c>
      <c r="F149" s="38">
        <f t="shared" ref="F149" si="24">D149+E149</f>
        <v>791.69219999999996</v>
      </c>
      <c r="G149" s="38">
        <v>0</v>
      </c>
      <c r="H149" s="38">
        <f t="shared" ref="H149" si="25">F149*(($H$112)+1)+(IF(G149&lt;101,G149,IF(G149&lt;201,G149/2,IF(G149&lt;=301,G149/3,G149/4))))</f>
        <v>1187.5382999999999</v>
      </c>
      <c r="I149" s="32"/>
    </row>
    <row r="150" spans="1:14" s="33" customFormat="1" ht="15.75" customHeight="1" x14ac:dyDescent="0.25">
      <c r="A150" s="62">
        <f t="shared" ref="A150" si="26">A149+1</f>
        <v>3</v>
      </c>
      <c r="B150" s="64"/>
      <c r="C150" s="48" t="s">
        <v>274</v>
      </c>
      <c r="D150" s="38">
        <f>(87.36)*10.764</f>
        <v>940.34303999999997</v>
      </c>
      <c r="E150" s="38">
        <v>0</v>
      </c>
      <c r="F150" s="38">
        <f>D150+E150</f>
        <v>940.34303999999997</v>
      </c>
      <c r="G150" s="38">
        <v>0</v>
      </c>
      <c r="H150" s="38">
        <f>F150*(($H$112)+1)+(IF(G150&lt;101,G150,IF(G150&lt;201,G150/2,IF(G150&lt;=301,G150/3,G150/4))))</f>
        <v>1410.5145600000001</v>
      </c>
      <c r="I150" s="32"/>
    </row>
    <row r="151" spans="1:14" s="31" customFormat="1" x14ac:dyDescent="0.25">
      <c r="A151" s="72" t="s">
        <v>67</v>
      </c>
      <c r="B151" s="72"/>
      <c r="C151" s="72"/>
      <c r="D151" s="72"/>
      <c r="E151" s="72"/>
      <c r="F151" s="72"/>
      <c r="G151" s="72"/>
      <c r="H151" s="72"/>
    </row>
    <row r="152" spans="1:14" s="31" customFormat="1" ht="32.25" customHeight="1" x14ac:dyDescent="0.25">
      <c r="A152" s="40" t="s">
        <v>152</v>
      </c>
      <c r="B152" s="57" t="s">
        <v>292</v>
      </c>
      <c r="C152" s="58"/>
      <c r="D152" s="58"/>
      <c r="E152" s="58"/>
      <c r="F152" s="58"/>
      <c r="G152" s="58"/>
      <c r="H152" s="59"/>
    </row>
    <row r="153" spans="1:14" s="31" customFormat="1" x14ac:dyDescent="0.25">
      <c r="A153" s="40" t="s">
        <v>152</v>
      </c>
      <c r="B153" s="57" t="str">
        <f>(IF(H111="Saleable area Loading :","We have considered Saleable area of Flats as per our Calculation.","We considered Saleable area of Flat as per Builder area Sheet."))</f>
        <v>We have considered Saleable area of Flats as per our Calculation.</v>
      </c>
      <c r="C153" s="58"/>
      <c r="D153" s="58"/>
      <c r="E153" s="58"/>
      <c r="F153" s="58"/>
      <c r="G153" s="58"/>
      <c r="H153" s="59"/>
    </row>
    <row r="154" spans="1:14" s="31" customFormat="1" x14ac:dyDescent="0.25">
      <c r="A154" s="40" t="s">
        <v>152</v>
      </c>
      <c r="B154" s="57" t="str">
        <f>(IF(H102="Saleable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4" s="58"/>
      <c r="D154" s="58"/>
      <c r="E154" s="58"/>
      <c r="F154" s="58"/>
      <c r="G154" s="58"/>
      <c r="H154" s="59"/>
    </row>
    <row r="155" spans="1:14" s="31" customFormat="1" x14ac:dyDescent="0.25">
      <c r="A155" s="40" t="s">
        <v>152</v>
      </c>
      <c r="B155" s="69" t="s">
        <v>123</v>
      </c>
      <c r="C155" s="70"/>
      <c r="D155" s="70"/>
      <c r="E155" s="70"/>
      <c r="F155" s="70"/>
      <c r="G155" s="70"/>
      <c r="H155" s="71"/>
    </row>
    <row r="156" spans="1:14" s="31" customFormat="1" x14ac:dyDescent="0.25">
      <c r="A156" s="40" t="s">
        <v>152</v>
      </c>
      <c r="B156" s="57" t="s">
        <v>276</v>
      </c>
      <c r="C156" s="58"/>
      <c r="D156" s="58"/>
      <c r="E156" s="58"/>
      <c r="F156" s="58"/>
      <c r="G156" s="58"/>
      <c r="H156" s="59"/>
    </row>
    <row r="157" spans="1:14" s="31" customFormat="1" x14ac:dyDescent="0.25">
      <c r="A157" s="40" t="s">
        <v>152</v>
      </c>
      <c r="B157" s="69" t="s">
        <v>151</v>
      </c>
      <c r="C157" s="70"/>
      <c r="D157" s="70"/>
      <c r="E157" s="70"/>
      <c r="F157" s="70"/>
      <c r="G157" s="70"/>
      <c r="H157" s="71"/>
    </row>
    <row r="158" spans="1:14" s="31" customFormat="1" x14ac:dyDescent="0.25">
      <c r="A158" s="40" t="s">
        <v>152</v>
      </c>
      <c r="B158" s="69" t="s">
        <v>124</v>
      </c>
      <c r="C158" s="70"/>
      <c r="D158" s="70"/>
      <c r="E158" s="70"/>
      <c r="F158" s="70"/>
      <c r="G158" s="70"/>
      <c r="H158" s="71"/>
    </row>
    <row r="159" spans="1:14" s="31" customFormat="1" ht="34.5" customHeight="1" x14ac:dyDescent="0.25">
      <c r="A159" s="40" t="s">
        <v>152</v>
      </c>
      <c r="B159" s="69" t="s">
        <v>153</v>
      </c>
      <c r="C159" s="70"/>
      <c r="D159" s="70"/>
      <c r="E159" s="70"/>
      <c r="F159" s="70"/>
      <c r="G159" s="70"/>
      <c r="H159" s="71"/>
    </row>
    <row r="160" spans="1:14" s="31" customFormat="1" x14ac:dyDescent="0.25">
      <c r="A160" s="40" t="s">
        <v>152</v>
      </c>
      <c r="B160" s="69" t="s">
        <v>125</v>
      </c>
      <c r="C160" s="70"/>
      <c r="D160" s="70"/>
      <c r="E160" s="70"/>
      <c r="F160" s="70"/>
      <c r="G160" s="70"/>
      <c r="H160" s="71"/>
    </row>
    <row r="161" spans="1:15" s="31" customFormat="1" x14ac:dyDescent="0.25">
      <c r="A161" s="40" t="s">
        <v>152</v>
      </c>
      <c r="B161" s="69" t="s">
        <v>285</v>
      </c>
      <c r="C161" s="70"/>
      <c r="D161" s="70"/>
      <c r="E161" s="70"/>
      <c r="F161" s="70"/>
      <c r="G161" s="70"/>
      <c r="H161" s="71"/>
    </row>
    <row r="162" spans="1:15" s="31" customFormat="1" ht="32.25" customHeight="1" x14ac:dyDescent="0.25">
      <c r="A162" s="40" t="s">
        <v>152</v>
      </c>
      <c r="B162" s="57" t="s">
        <v>277</v>
      </c>
      <c r="C162" s="58"/>
      <c r="D162" s="58"/>
      <c r="E162" s="58"/>
      <c r="F162" s="58"/>
      <c r="G162" s="58"/>
      <c r="H162" s="59"/>
      <c r="I162" s="66" t="s">
        <v>232</v>
      </c>
      <c r="J162" s="67"/>
      <c r="K162" s="67"/>
      <c r="L162" s="67"/>
      <c r="M162" s="67"/>
      <c r="N162" s="67"/>
      <c r="O162" s="68"/>
    </row>
    <row r="163" spans="1:15" s="31" customFormat="1" x14ac:dyDescent="0.25">
      <c r="A163" s="40" t="s">
        <v>152</v>
      </c>
      <c r="B163" s="57" t="s">
        <v>293</v>
      </c>
      <c r="C163" s="58"/>
      <c r="D163" s="58"/>
      <c r="E163" s="58"/>
      <c r="F163" s="58"/>
      <c r="G163" s="58"/>
      <c r="H163" s="59"/>
    </row>
    <row r="164" spans="1:15" x14ac:dyDescent="0.25">
      <c r="A164" s="107" t="s">
        <v>60</v>
      </c>
      <c r="B164" s="107"/>
      <c r="C164" s="107"/>
      <c r="D164" s="107"/>
      <c r="E164" s="107"/>
      <c r="F164" s="107"/>
      <c r="G164" s="107"/>
      <c r="H164" s="107"/>
    </row>
    <row r="165" spans="1:15" x14ac:dyDescent="0.25">
      <c r="A165" s="99" t="s">
        <v>61</v>
      </c>
      <c r="B165" s="99"/>
      <c r="C165" s="99"/>
      <c r="D165" s="99"/>
      <c r="E165" s="99"/>
      <c r="F165" s="99"/>
      <c r="G165" s="99"/>
      <c r="H165" s="99"/>
    </row>
    <row r="166" spans="1:15" ht="15.75" customHeight="1" x14ac:dyDescent="0.25">
      <c r="A166" s="108" t="s">
        <v>62</v>
      </c>
      <c r="B166" s="108"/>
      <c r="C166" s="108"/>
      <c r="D166" s="108"/>
      <c r="E166" s="108"/>
      <c r="F166" s="108"/>
      <c r="G166" s="108"/>
      <c r="H166" s="108"/>
    </row>
    <row r="167" spans="1:15" x14ac:dyDescent="0.25">
      <c r="A167" s="99" t="s">
        <v>63</v>
      </c>
      <c r="B167" s="99"/>
      <c r="C167" s="99"/>
      <c r="D167" s="99"/>
      <c r="E167" s="99"/>
      <c r="F167" s="99"/>
      <c r="G167" s="99"/>
      <c r="H167" s="99"/>
    </row>
    <row r="168" spans="1:15" x14ac:dyDescent="0.25">
      <c r="A168" s="99" t="s">
        <v>64</v>
      </c>
      <c r="B168" s="99"/>
      <c r="C168" s="99"/>
      <c r="D168" s="99"/>
      <c r="E168" s="99"/>
      <c r="F168" s="99"/>
      <c r="G168" s="99"/>
      <c r="H168" s="99"/>
    </row>
    <row r="169" spans="1:15" x14ac:dyDescent="0.25">
      <c r="A169" s="99" t="s">
        <v>126</v>
      </c>
      <c r="B169" s="99"/>
      <c r="C169" s="99"/>
      <c r="D169" s="99"/>
      <c r="E169" s="99"/>
      <c r="F169" s="99"/>
      <c r="G169" s="99"/>
      <c r="H169" s="99"/>
    </row>
    <row r="170" spans="1:15" ht="33.950000000000003" customHeight="1" x14ac:dyDescent="0.25">
      <c r="A170" s="84" t="s">
        <v>127</v>
      </c>
      <c r="B170" s="84"/>
      <c r="C170" s="84"/>
      <c r="D170" s="84"/>
      <c r="E170" s="84"/>
      <c r="F170" s="84"/>
      <c r="G170" s="84"/>
      <c r="H170" s="84"/>
    </row>
    <row r="171" spans="1:15" x14ac:dyDescent="0.25">
      <c r="A171" s="123" t="s">
        <v>76</v>
      </c>
      <c r="B171" s="123"/>
      <c r="C171" s="123" t="s">
        <v>289</v>
      </c>
      <c r="D171" s="123"/>
      <c r="E171" s="123" t="s">
        <v>106</v>
      </c>
      <c r="F171" s="123"/>
      <c r="G171" s="123" t="s">
        <v>291</v>
      </c>
      <c r="H171" s="123"/>
    </row>
    <row r="172" spans="1:15" x14ac:dyDescent="0.25">
      <c r="A172" s="122" t="s">
        <v>78</v>
      </c>
      <c r="B172" s="122"/>
      <c r="C172" s="122"/>
      <c r="D172" s="122"/>
      <c r="E172" s="122"/>
      <c r="F172" s="122"/>
      <c r="G172" s="122"/>
      <c r="H172" s="122"/>
    </row>
    <row r="173" spans="1:15" x14ac:dyDescent="0.25">
      <c r="A173" s="122"/>
      <c r="B173" s="122"/>
      <c r="C173" s="122"/>
      <c r="D173" s="122"/>
      <c r="E173" s="122"/>
      <c r="F173" s="122"/>
      <c r="G173" s="122"/>
      <c r="H173" s="122"/>
    </row>
    <row r="174" spans="1:15" x14ac:dyDescent="0.25">
      <c r="A174" s="122"/>
      <c r="B174" s="122"/>
      <c r="C174" s="122"/>
      <c r="D174" s="122"/>
      <c r="E174" s="122"/>
      <c r="F174" s="122"/>
      <c r="G174" s="122"/>
      <c r="H174" s="122"/>
    </row>
    <row r="175" spans="1:15" x14ac:dyDescent="0.25">
      <c r="A175" s="122"/>
      <c r="B175" s="122"/>
      <c r="C175" s="122"/>
      <c r="D175" s="122"/>
      <c r="E175" s="122"/>
      <c r="F175" s="122"/>
      <c r="G175" s="122"/>
      <c r="H175" s="122"/>
    </row>
    <row r="176" spans="1:15" x14ac:dyDescent="0.25">
      <c r="A176" s="34" t="s">
        <v>65</v>
      </c>
      <c r="B176" s="35"/>
      <c r="C176" s="35"/>
      <c r="D176" s="34" t="str">
        <f>E8</f>
        <v>Charkop Ramvijay CHS LTD</v>
      </c>
      <c r="F176" s="35"/>
      <c r="G176" s="35"/>
      <c r="H176" s="35"/>
    </row>
    <row r="177" spans="1:8" x14ac:dyDescent="0.25">
      <c r="A177" s="35"/>
      <c r="B177" s="35"/>
      <c r="C177" s="35"/>
      <c r="D177" s="35"/>
      <c r="E177" s="35"/>
      <c r="F177" s="35"/>
      <c r="G177" s="35"/>
      <c r="H177" s="35"/>
    </row>
    <row r="178" spans="1:8" x14ac:dyDescent="0.25">
      <c r="A178" s="35"/>
      <c r="B178" s="35"/>
      <c r="C178" s="35"/>
      <c r="D178" s="35"/>
      <c r="E178" s="35"/>
      <c r="F178" s="35"/>
      <c r="G178" s="35"/>
      <c r="H178" s="35"/>
    </row>
    <row r="179" spans="1:8" ht="15" customHeight="1" x14ac:dyDescent="0.25"/>
    <row r="219" spans="1:1" x14ac:dyDescent="0.25">
      <c r="A219" s="37" t="s">
        <v>162</v>
      </c>
    </row>
    <row r="261" spans="1:1" x14ac:dyDescent="0.25">
      <c r="A261" s="37" t="s">
        <v>66</v>
      </c>
    </row>
  </sheetData>
  <mergeCells count="313">
    <mergeCell ref="I162:O162"/>
    <mergeCell ref="B154:H154"/>
    <mergeCell ref="B152:H152"/>
    <mergeCell ref="A128:H128"/>
    <mergeCell ref="A141:B141"/>
    <mergeCell ref="A142:B142"/>
    <mergeCell ref="A143:H143"/>
    <mergeCell ref="A133:H133"/>
    <mergeCell ref="F80:H80"/>
    <mergeCell ref="F85:H85"/>
    <mergeCell ref="A114:B114"/>
    <mergeCell ref="A109:B109"/>
    <mergeCell ref="A108:B108"/>
    <mergeCell ref="A86:E86"/>
    <mergeCell ref="F86:H86"/>
    <mergeCell ref="A85:E85"/>
    <mergeCell ref="A90:E90"/>
    <mergeCell ref="F82:H82"/>
    <mergeCell ref="A82:E82"/>
    <mergeCell ref="D102:D103"/>
    <mergeCell ref="A84:E84"/>
    <mergeCell ref="A83:E83"/>
    <mergeCell ref="E97:F97"/>
    <mergeCell ref="L114:M114"/>
    <mergeCell ref="A115:B115"/>
    <mergeCell ref="G99:H99"/>
    <mergeCell ref="L115:M115"/>
    <mergeCell ref="A116:B116"/>
    <mergeCell ref="L116:M116"/>
    <mergeCell ref="C111:C112"/>
    <mergeCell ref="G111:G112"/>
    <mergeCell ref="L109:M109"/>
    <mergeCell ref="L108:M108"/>
    <mergeCell ref="L107:M107"/>
    <mergeCell ref="L106:M106"/>
    <mergeCell ref="A105:H105"/>
    <mergeCell ref="A110:H110"/>
    <mergeCell ref="A111:A112"/>
    <mergeCell ref="A104:H104"/>
    <mergeCell ref="A100:H100"/>
    <mergeCell ref="A39:B39"/>
    <mergeCell ref="C39:H39"/>
    <mergeCell ref="F102:F103"/>
    <mergeCell ref="C95:D95"/>
    <mergeCell ref="E95:F95"/>
    <mergeCell ref="B102:B103"/>
    <mergeCell ref="A102:A103"/>
    <mergeCell ref="A48:B48"/>
    <mergeCell ref="C48:H48"/>
    <mergeCell ref="A77:B77"/>
    <mergeCell ref="C98:D98"/>
    <mergeCell ref="E98:F98"/>
    <mergeCell ref="G98:H98"/>
    <mergeCell ref="A81:E81"/>
    <mergeCell ref="E102:E103"/>
    <mergeCell ref="A68:B68"/>
    <mergeCell ref="A66:B66"/>
    <mergeCell ref="C66:H66"/>
    <mergeCell ref="A74:B74"/>
    <mergeCell ref="A61:C61"/>
    <mergeCell ref="D61:H61"/>
    <mergeCell ref="C68:H68"/>
    <mergeCell ref="A80:E80"/>
    <mergeCell ref="F84:H8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A46:D46"/>
    <mergeCell ref="A47:H47"/>
    <mergeCell ref="D57:H57"/>
    <mergeCell ref="A57:C57"/>
    <mergeCell ref="G50:H50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D65:H65"/>
    <mergeCell ref="A63:C63"/>
    <mergeCell ref="D64:H64"/>
    <mergeCell ref="A70:B70"/>
    <mergeCell ref="G69:H69"/>
    <mergeCell ref="E70:F79"/>
    <mergeCell ref="G70:H79"/>
    <mergeCell ref="A78:B78"/>
    <mergeCell ref="A79:B79"/>
    <mergeCell ref="A76:B76"/>
    <mergeCell ref="A69:B69"/>
    <mergeCell ref="A72:B72"/>
    <mergeCell ref="A75:B75"/>
    <mergeCell ref="A172:H175"/>
    <mergeCell ref="A171:B171"/>
    <mergeCell ref="E171:F171"/>
    <mergeCell ref="C171:D171"/>
    <mergeCell ref="G171:H171"/>
    <mergeCell ref="A93:H93"/>
    <mergeCell ref="A91:E91"/>
    <mergeCell ref="F91:H91"/>
    <mergeCell ref="A92:E92"/>
    <mergeCell ref="F92:H92"/>
    <mergeCell ref="A118:H118"/>
    <mergeCell ref="A98:B98"/>
    <mergeCell ref="A150:B150"/>
    <mergeCell ref="A95:B95"/>
    <mergeCell ref="A167:H167"/>
    <mergeCell ref="A96:H96"/>
    <mergeCell ref="A170:H170"/>
    <mergeCell ref="A168:H168"/>
    <mergeCell ref="A164:H164"/>
    <mergeCell ref="G97:H97"/>
    <mergeCell ref="C102:C103"/>
    <mergeCell ref="B111:B112"/>
    <mergeCell ref="A165:H165"/>
    <mergeCell ref="A120:B120"/>
    <mergeCell ref="A169:H169"/>
    <mergeCell ref="A166:H166"/>
    <mergeCell ref="A119:B119"/>
    <mergeCell ref="A97:B97"/>
    <mergeCell ref="D111:D112"/>
    <mergeCell ref="E111:E112"/>
    <mergeCell ref="F81:H81"/>
    <mergeCell ref="G95:H95"/>
    <mergeCell ref="F87:H87"/>
    <mergeCell ref="C94:D94"/>
    <mergeCell ref="A113:H113"/>
    <mergeCell ref="A148:B148"/>
    <mergeCell ref="A106:B106"/>
    <mergeCell ref="B162:H162"/>
    <mergeCell ref="A99:B99"/>
    <mergeCell ref="C99:D99"/>
    <mergeCell ref="E99:F99"/>
    <mergeCell ref="B160:H160"/>
    <mergeCell ref="F111:F112"/>
    <mergeCell ref="G102:G103"/>
    <mergeCell ref="A147:H147"/>
    <mergeCell ref="A88:E88"/>
    <mergeCell ref="F83:H83"/>
    <mergeCell ref="A87:E87"/>
    <mergeCell ref="I14:P14"/>
    <mergeCell ref="F90:H90"/>
    <mergeCell ref="F88:H88"/>
    <mergeCell ref="A149:B149"/>
    <mergeCell ref="A101:H101"/>
    <mergeCell ref="G94:H94"/>
    <mergeCell ref="A89:E89"/>
    <mergeCell ref="A107:B107"/>
    <mergeCell ref="A53:B53"/>
    <mergeCell ref="C53:E53"/>
    <mergeCell ref="D55:H55"/>
    <mergeCell ref="F89:H89"/>
    <mergeCell ref="E94:F94"/>
    <mergeCell ref="A94:B94"/>
    <mergeCell ref="C97:D97"/>
    <mergeCell ref="D63:H63"/>
    <mergeCell ref="A64:C64"/>
    <mergeCell ref="E42:H42"/>
    <mergeCell ref="A42:D42"/>
    <mergeCell ref="A50:B50"/>
    <mergeCell ref="A54:H54"/>
    <mergeCell ref="A55:C55"/>
    <mergeCell ref="A56:C56"/>
    <mergeCell ref="D56:H56"/>
    <mergeCell ref="A49:B49"/>
    <mergeCell ref="C49:E49"/>
    <mergeCell ref="G49:H49"/>
    <mergeCell ref="G51:H51"/>
    <mergeCell ref="L128:M128"/>
    <mergeCell ref="A129:B129"/>
    <mergeCell ref="A130:B130"/>
    <mergeCell ref="A131:B131"/>
    <mergeCell ref="A132:B132"/>
    <mergeCell ref="A121:B121"/>
    <mergeCell ref="A58:C58"/>
    <mergeCell ref="D58:H58"/>
    <mergeCell ref="C50:E50"/>
    <mergeCell ref="A71:B71"/>
    <mergeCell ref="G53:H53"/>
    <mergeCell ref="C52:H52"/>
    <mergeCell ref="A51:B51"/>
    <mergeCell ref="A52:B52"/>
    <mergeCell ref="C51:E51"/>
    <mergeCell ref="A73:B73"/>
    <mergeCell ref="E69:F69"/>
    <mergeCell ref="A62:C62"/>
    <mergeCell ref="D62:H62"/>
    <mergeCell ref="A65:C65"/>
    <mergeCell ref="L133:M133"/>
    <mergeCell ref="C116:H117"/>
    <mergeCell ref="C121:H122"/>
    <mergeCell ref="A123:H123"/>
    <mergeCell ref="L123:M123"/>
    <mergeCell ref="A124:B124"/>
    <mergeCell ref="A125:B125"/>
    <mergeCell ref="A126:B126"/>
    <mergeCell ref="C126:H127"/>
    <mergeCell ref="A127:B127"/>
    <mergeCell ref="L118:M118"/>
    <mergeCell ref="L117:M117"/>
    <mergeCell ref="A122:B122"/>
    <mergeCell ref="A117:B117"/>
    <mergeCell ref="B163:H163"/>
    <mergeCell ref="L143:M143"/>
    <mergeCell ref="A144:B144"/>
    <mergeCell ref="A145:B145"/>
    <mergeCell ref="A146:B146"/>
    <mergeCell ref="C148:H148"/>
    <mergeCell ref="A134:B134"/>
    <mergeCell ref="A135:B135"/>
    <mergeCell ref="A136:B136"/>
    <mergeCell ref="A137:B137"/>
    <mergeCell ref="C134:H134"/>
    <mergeCell ref="A138:H138"/>
    <mergeCell ref="L138:M138"/>
    <mergeCell ref="A139:B139"/>
    <mergeCell ref="A140:B140"/>
    <mergeCell ref="B159:H159"/>
    <mergeCell ref="B161:H161"/>
    <mergeCell ref="B157:H157"/>
    <mergeCell ref="B158:H158"/>
    <mergeCell ref="B153:H153"/>
    <mergeCell ref="B155:H155"/>
    <mergeCell ref="B156:H156"/>
    <mergeCell ref="A151:H151"/>
  </mergeCells>
  <dataValidations disablePrompts="1" count="13">
    <dataValidation type="list" allowBlank="1" showInputMessage="1" showErrorMessage="1" sqref="E4:H4">
      <formula1>"Axis Goregaon,Axis Thane,Axis Badlapur,Axis Sanpada, PNB Thane,IBHF Vashi,IBHF Thane,IBHF Andheri"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2:E103">
      <formula1>"Attached Loft area,Attached Otla area,Attached Mezzanine area"</formula1>
    </dataValidation>
    <dataValidation type="list" allowBlank="1" showInputMessage="1" showErrorMessage="1" sqref="G171:H171">
      <formula1>"Gaurav Panchal,Kunal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1:H91">
      <formula1>"100000,150000,200000,250000,300000,350000,400000,500000,600000,700000,800000,900000,1000000,1200000,1400000,1500000"</formula1>
    </dataValidation>
    <dataValidation type="list" allowBlank="1" showInputMessage="1" showErrorMessage="1" sqref="B102:B103">
      <formula1>"Shop No. (Sale Plan),Sale / Rehab,Sale / Mhada"</formula1>
    </dataValidation>
    <dataValidation type="list" allowBlank="1" showInputMessage="1" showErrorMessage="1" sqref="B111:B112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E111:E112">
      <formula1>"Fungible area,Balcony Area,Chajja Area,Cornice Area,AP Area,WS Area"</formula1>
    </dataValidation>
    <dataValidation type="list" allowBlank="1" showInputMessage="1" showErrorMessage="1" sqref="H112 H103">
      <formula1>"45%,50%,55%,60%"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5" max="5" man="1"/>
    <brk id="110" max="7" man="1"/>
    <brk id="150" max="16383" man="1"/>
    <brk id="175" max="16383" man="1"/>
    <brk id="218" max="16383" man="1"/>
    <brk id="26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K3" sqref="K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7" t="s">
        <v>107</v>
      </c>
      <c r="C3" s="177"/>
      <c r="D3" s="177"/>
      <c r="E3" s="177"/>
      <c r="F3" s="177"/>
      <c r="G3" s="177"/>
      <c r="H3" s="177"/>
    </row>
    <row r="4" spans="1:9" x14ac:dyDescent="0.25">
      <c r="A4" s="2"/>
      <c r="B4" s="3" t="s">
        <v>108</v>
      </c>
      <c r="C4" s="3" t="s">
        <v>109</v>
      </c>
      <c r="D4" s="3" t="s">
        <v>68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" sqref="C3:K18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5"/>
      <c r="C4" s="45" t="s">
        <v>12</v>
      </c>
      <c r="D4" s="46" t="s">
        <v>177</v>
      </c>
      <c r="E4" s="46" t="s">
        <v>187</v>
      </c>
      <c r="F4" s="46" t="s">
        <v>171</v>
      </c>
      <c r="G4" s="46" t="s">
        <v>192</v>
      </c>
      <c r="H4" s="46" t="s">
        <v>210</v>
      </c>
      <c r="J4" t="s">
        <v>192</v>
      </c>
      <c r="K4" t="s">
        <v>208</v>
      </c>
    </row>
    <row r="5" spans="2:11" x14ac:dyDescent="0.25">
      <c r="B5" s="45"/>
      <c r="C5" s="45"/>
      <c r="D5" s="46" t="s">
        <v>178</v>
      </c>
      <c r="E5" s="46" t="s">
        <v>185</v>
      </c>
      <c r="F5" s="46" t="s">
        <v>207</v>
      </c>
      <c r="G5" s="46" t="s">
        <v>193</v>
      </c>
      <c r="H5" s="46" t="s">
        <v>211</v>
      </c>
    </row>
    <row r="6" spans="2:11" x14ac:dyDescent="0.25">
      <c r="B6" s="45"/>
      <c r="C6" s="45"/>
      <c r="D6" s="46" t="s">
        <v>179</v>
      </c>
      <c r="E6" s="46" t="s">
        <v>186</v>
      </c>
      <c r="F6" s="46" t="s">
        <v>208</v>
      </c>
      <c r="G6" s="46" t="s">
        <v>194</v>
      </c>
      <c r="H6" s="46" t="s">
        <v>224</v>
      </c>
    </row>
    <row r="7" spans="2:11" x14ac:dyDescent="0.25">
      <c r="B7" s="45"/>
      <c r="C7" s="45"/>
      <c r="D7" s="46" t="s">
        <v>180</v>
      </c>
      <c r="E7" s="46" t="s">
        <v>188</v>
      </c>
      <c r="F7" s="46" t="s">
        <v>209</v>
      </c>
      <c r="G7" s="46" t="s">
        <v>195</v>
      </c>
      <c r="H7" s="46" t="s">
        <v>212</v>
      </c>
    </row>
    <row r="8" spans="2:11" x14ac:dyDescent="0.25">
      <c r="B8" s="45"/>
      <c r="C8" s="45"/>
      <c r="D8" s="46" t="s">
        <v>181</v>
      </c>
      <c r="E8" s="46" t="s">
        <v>189</v>
      </c>
      <c r="F8" s="46"/>
      <c r="G8" s="46" t="s">
        <v>196</v>
      </c>
      <c r="H8" s="46" t="s">
        <v>213</v>
      </c>
    </row>
    <row r="9" spans="2:11" x14ac:dyDescent="0.25">
      <c r="B9" s="45"/>
      <c r="C9" s="45"/>
      <c r="D9" s="46" t="s">
        <v>182</v>
      </c>
      <c r="E9" s="46" t="s">
        <v>187</v>
      </c>
      <c r="F9" s="46"/>
      <c r="G9" s="46" t="s">
        <v>197</v>
      </c>
      <c r="H9" s="46" t="s">
        <v>214</v>
      </c>
    </row>
    <row r="10" spans="2:11" x14ac:dyDescent="0.25">
      <c r="B10" s="45"/>
      <c r="C10" s="45"/>
      <c r="D10" s="46" t="s">
        <v>183</v>
      </c>
      <c r="E10" s="46" t="s">
        <v>190</v>
      </c>
      <c r="F10" s="46"/>
      <c r="G10" s="46" t="s">
        <v>198</v>
      </c>
      <c r="H10" s="46" t="s">
        <v>215</v>
      </c>
    </row>
    <row r="11" spans="2:11" x14ac:dyDescent="0.25">
      <c r="B11" s="45"/>
      <c r="C11" s="45"/>
      <c r="D11" s="46" t="s">
        <v>184</v>
      </c>
      <c r="E11" s="46" t="s">
        <v>191</v>
      </c>
      <c r="F11" s="46"/>
      <c r="G11" s="46" t="s">
        <v>199</v>
      </c>
      <c r="H11" s="46" t="s">
        <v>216</v>
      </c>
    </row>
    <row r="12" spans="2:11" x14ac:dyDescent="0.25">
      <c r="B12" s="45"/>
      <c r="C12" s="45"/>
      <c r="D12" s="46"/>
      <c r="E12" s="46"/>
      <c r="F12" s="46"/>
      <c r="G12" s="46" t="s">
        <v>200</v>
      </c>
      <c r="H12" s="46" t="s">
        <v>217</v>
      </c>
    </row>
    <row r="13" spans="2:11" x14ac:dyDescent="0.25">
      <c r="B13" s="45"/>
      <c r="C13" s="45"/>
      <c r="D13" s="46"/>
      <c r="E13" s="46"/>
      <c r="F13" s="46"/>
      <c r="G13" s="46" t="s">
        <v>201</v>
      </c>
      <c r="H13" s="46" t="s">
        <v>218</v>
      </c>
    </row>
    <row r="14" spans="2:11" x14ac:dyDescent="0.25">
      <c r="B14" s="45"/>
      <c r="C14" s="45"/>
      <c r="D14" s="46"/>
      <c r="E14" s="46"/>
      <c r="F14" s="46"/>
      <c r="G14" s="46" t="s">
        <v>202</v>
      </c>
      <c r="H14" s="46" t="s">
        <v>219</v>
      </c>
    </row>
    <row r="15" spans="2:11" x14ac:dyDescent="0.25">
      <c r="B15" s="45"/>
      <c r="C15" s="45"/>
      <c r="D15" s="46"/>
      <c r="E15" s="46"/>
      <c r="F15" s="46"/>
      <c r="G15" s="46" t="s">
        <v>203</v>
      </c>
      <c r="H15" s="46" t="s">
        <v>220</v>
      </c>
    </row>
    <row r="16" spans="2:11" x14ac:dyDescent="0.25">
      <c r="B16" s="45"/>
      <c r="C16" s="45"/>
      <c r="D16" s="46"/>
      <c r="E16" s="46"/>
      <c r="F16" s="46"/>
      <c r="G16" s="46" t="s">
        <v>204</v>
      </c>
      <c r="H16" s="46" t="s">
        <v>221</v>
      </c>
    </row>
    <row r="17" spans="2:8" x14ac:dyDescent="0.25">
      <c r="B17" s="45"/>
      <c r="C17" s="45"/>
      <c r="D17" s="46"/>
      <c r="E17" s="46"/>
      <c r="F17" s="46"/>
      <c r="G17" s="46" t="s">
        <v>205</v>
      </c>
      <c r="H17" s="46" t="s">
        <v>222</v>
      </c>
    </row>
    <row r="18" spans="2:8" x14ac:dyDescent="0.25">
      <c r="B18" s="45"/>
      <c r="C18" s="45"/>
      <c r="D18" s="46"/>
      <c r="E18" s="46"/>
      <c r="F18" s="46"/>
      <c r="G18" s="46" t="s">
        <v>206</v>
      </c>
      <c r="H18" s="46" t="s">
        <v>223</v>
      </c>
    </row>
    <row r="24" spans="2:8" x14ac:dyDescent="0.25">
      <c r="C24" t="s">
        <v>168</v>
      </c>
    </row>
    <row r="25" spans="2:8" x14ac:dyDescent="0.25">
      <c r="C25" t="s">
        <v>225</v>
      </c>
    </row>
    <row r="26" spans="2:8" x14ac:dyDescent="0.25">
      <c r="C26" t="s">
        <v>226</v>
      </c>
    </row>
    <row r="27" spans="2:8" x14ac:dyDescent="0.25">
      <c r="C27" t="s">
        <v>227</v>
      </c>
    </row>
    <row r="28" spans="2:8" x14ac:dyDescent="0.25">
      <c r="C28" t="s">
        <v>228</v>
      </c>
    </row>
    <row r="29" spans="2:8" x14ac:dyDescent="0.25">
      <c r="C29" t="s">
        <v>229</v>
      </c>
    </row>
    <row r="30" spans="2:8" x14ac:dyDescent="0.25">
      <c r="C30" t="s">
        <v>168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2025-08-12T11:49:02Z</cp:lastPrinted>
  <dcterms:created xsi:type="dcterms:W3CDTF">2019-07-16T09:29:46Z</dcterms:created>
  <dcterms:modified xsi:type="dcterms:W3CDTF">2025-08-12T11:54:07Z</dcterms:modified>
</cp:coreProperties>
</file>